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zaw\Downloads\"/>
    </mc:Choice>
  </mc:AlternateContent>
  <xr:revisionPtr revIDLastSave="0" documentId="8_{D0741062-051A-4931-A210-6E6A6B5DCCC6}" xr6:coauthVersionLast="47" xr6:coauthVersionMax="47" xr10:uidLastSave="{00000000-0000-0000-0000-000000000000}"/>
  <bookViews>
    <workbookView xWindow="-108" yWindow="-108" windowWidth="23256" windowHeight="12576" tabRatio="867" xr2:uid="{00000000-000D-0000-FFFF-FFFF00000000}"/>
  </bookViews>
  <sheets>
    <sheet name="C-EGL-1" sheetId="2" r:id="rId1"/>
  </sheets>
  <externalReferences>
    <externalReference r:id="rId2"/>
  </externalReferences>
  <definedNames>
    <definedName name="Bt">'[1]Design Truss Members'!$M$2</definedName>
    <definedName name="Fy">'[1]Design Truss Members'!$E$5</definedName>
    <definedName name="OA">'[1]Design Truss Members'!$N$1</definedName>
    <definedName name="_xlnm.Print_Area" localSheetId="0">'C-EGL-1'!$A$1:$I$44</definedName>
    <definedName name="S_37">'[1]Design Truss Members'!$L$1</definedName>
    <definedName name="S_44">'[1]Design Truss Members'!$L$2</definedName>
    <definedName name="Sec_Table">#REF!</definedName>
    <definedName name="SF">'[1]Design Truss Members'!$O$1</definedName>
    <definedName name="STL">'[1]Design Truss Members'!$E$4</definedName>
    <definedName name="TA">'[1]Design Truss Members'!$N$2</definedName>
    <definedName name="USF">'[1]Design Truss Members'!$O$2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4" i="2" l="1"/>
  <c r="AX5" i="2"/>
  <c r="AX3" i="2"/>
  <c r="B41" i="2"/>
  <c r="F39" i="2" l="1"/>
  <c r="B39" i="2"/>
  <c r="A39" i="2"/>
  <c r="B37" i="2"/>
  <c r="B38" i="2"/>
  <c r="C38" i="2"/>
  <c r="C37" i="2"/>
  <c r="A37" i="2"/>
  <c r="C32" i="2" l="1"/>
  <c r="A32" i="2"/>
  <c r="C30" i="2" l="1"/>
  <c r="A22" i="2" l="1"/>
  <c r="B17" i="2"/>
  <c r="B28" i="2" l="1"/>
  <c r="E17" i="2"/>
  <c r="B18" i="2" s="1"/>
  <c r="B29" i="2"/>
  <c r="B31" i="2" s="1"/>
  <c r="E18" i="2" l="1"/>
  <c r="I18" i="2" s="1"/>
  <c r="E28" i="2"/>
  <c r="B30" i="2" s="1"/>
  <c r="B32" i="2" s="1"/>
  <c r="D22" i="2" l="1"/>
  <c r="C22" i="2" s="1"/>
  <c r="F36" i="2"/>
  <c r="F35" i="2"/>
  <c r="E41" i="2" l="1"/>
  <c r="F22" i="2"/>
  <c r="E39" i="2"/>
  <c r="G39" i="2" s="1"/>
  <c r="H5" i="2"/>
  <c r="H4" i="2"/>
  <c r="B19" i="2" s="1"/>
  <c r="F19" i="2" s="1"/>
  <c r="E40" i="2" s="1"/>
  <c r="G40" i="2" l="1"/>
  <c r="I40" i="2" s="1"/>
  <c r="D25" i="2"/>
  <c r="D30" i="2" s="1"/>
  <c r="D26" i="2"/>
  <c r="D32" i="2" s="1"/>
  <c r="D3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000-000001000000}">
      <text>
        <r>
          <rPr>
            <sz val="9"/>
            <color indexed="81"/>
            <rFont val="Tahoma"/>
            <family val="2"/>
          </rPr>
          <t>Choose Steel Material</t>
        </r>
      </text>
    </comment>
  </commentList>
</comments>
</file>

<file path=xl/sharedStrings.xml><?xml version="1.0" encoding="utf-8"?>
<sst xmlns="http://schemas.openxmlformats.org/spreadsheetml/2006/main" count="203" uniqueCount="163">
  <si>
    <t>t</t>
  </si>
  <si>
    <t>r</t>
  </si>
  <si>
    <t>cm</t>
  </si>
  <si>
    <t>ry</t>
  </si>
  <si>
    <t>Zx</t>
  </si>
  <si>
    <t>Sx</t>
  </si>
  <si>
    <t>b</t>
  </si>
  <si>
    <t>h</t>
  </si>
  <si>
    <t>Iy</t>
  </si>
  <si>
    <t>HEB 120</t>
  </si>
  <si>
    <t>Section</t>
  </si>
  <si>
    <t>Weight</t>
  </si>
  <si>
    <t>Area</t>
  </si>
  <si>
    <t>Aweb</t>
  </si>
  <si>
    <t>sw</t>
  </si>
  <si>
    <t>tf</t>
  </si>
  <si>
    <t>Ix</t>
  </si>
  <si>
    <t>rx</t>
  </si>
  <si>
    <t>Sy</t>
  </si>
  <si>
    <t>Zy</t>
  </si>
  <si>
    <t>kg/m`</t>
  </si>
  <si>
    <r>
      <t>cm</t>
    </r>
    <r>
      <rPr>
        <vertAlign val="superscript"/>
        <sz val="11"/>
        <rFont val="Calibri"/>
        <family val="2"/>
        <scheme val="minor"/>
      </rPr>
      <t>2</t>
    </r>
  </si>
  <si>
    <t>mm</t>
  </si>
  <si>
    <r>
      <t>cm</t>
    </r>
    <r>
      <rPr>
        <vertAlign val="superscript"/>
        <sz val="11"/>
        <rFont val="Calibri"/>
        <family val="2"/>
        <scheme val="minor"/>
      </rPr>
      <t>4</t>
    </r>
  </si>
  <si>
    <r>
      <t>cm</t>
    </r>
    <r>
      <rPr>
        <vertAlign val="superscript"/>
        <sz val="11"/>
        <rFont val="Calibri"/>
        <family val="2"/>
        <scheme val="minor"/>
      </rPr>
      <t>3</t>
    </r>
  </si>
  <si>
    <t>HEB 100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</si>
  <si>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</si>
  <si>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</si>
  <si>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</si>
  <si>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</si>
  <si>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</si>
  <si>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</si>
  <si>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</si>
  <si>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</si>
  <si>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</si>
  <si>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</si>
  <si>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</si>
  <si>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</si>
  <si>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</si>
  <si>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</si>
  <si>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</si>
  <si>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</si>
  <si>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</si>
  <si>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</si>
  <si>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</si>
  <si>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</si>
  <si>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</si>
  <si>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</si>
  <si>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HEB 1100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</si>
  <si>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</si>
  <si>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</si>
  <si>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</si>
  <si>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</si>
  <si>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</si>
  <si>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</si>
  <si>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</si>
  <si>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</si>
  <si>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</si>
  <si>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</si>
  <si>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</si>
  <si>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</si>
  <si>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</si>
  <si>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</si>
  <si>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</si>
  <si>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</si>
  <si>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</si>
  <si>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</si>
  <si>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St.37</t>
  </si>
  <si>
    <t>St.44</t>
  </si>
  <si>
    <t>St.52</t>
  </si>
  <si>
    <t>Steel Grade</t>
  </si>
  <si>
    <t>=</t>
  </si>
  <si>
    <r>
      <t>t/cm</t>
    </r>
    <r>
      <rPr>
        <vertAlign val="superscript"/>
        <sz val="10"/>
        <rFont val="Calibri"/>
        <family val="2"/>
        <scheme val="minor"/>
      </rPr>
      <t>2</t>
    </r>
  </si>
  <si>
    <t xml:space="preserve"> 1)- INPUT DATA :-</t>
  </si>
  <si>
    <r>
      <t>F</t>
    </r>
    <r>
      <rPr>
        <sz val="10"/>
        <color theme="1"/>
        <rFont val="Calibri"/>
        <family val="2"/>
        <scheme val="minor"/>
      </rPr>
      <t>y</t>
    </r>
  </si>
  <si>
    <r>
      <t>F</t>
    </r>
    <r>
      <rPr>
        <sz val="10"/>
        <color theme="1"/>
        <rFont val="Calibri"/>
        <family val="2"/>
        <scheme val="minor"/>
      </rPr>
      <t>u</t>
    </r>
  </si>
  <si>
    <r>
      <t>cm</t>
    </r>
    <r>
      <rPr>
        <vertAlign val="superscript"/>
        <sz val="10"/>
        <color theme="1"/>
        <rFont val="Calibri"/>
        <family val="2"/>
        <scheme val="minor"/>
      </rPr>
      <t>2</t>
    </r>
  </si>
  <si>
    <t>Safe</t>
  </si>
  <si>
    <t>un Safe</t>
  </si>
  <si>
    <t>A</t>
  </si>
  <si>
    <t>GRADE</t>
  </si>
  <si>
    <t>Fyb</t>
  </si>
  <si>
    <t>Fub</t>
  </si>
  <si>
    <t>As</t>
  </si>
  <si>
    <t>M</t>
  </si>
  <si>
    <t>Grade</t>
  </si>
  <si>
    <r>
      <t>F</t>
    </r>
    <r>
      <rPr>
        <sz val="10"/>
        <color theme="1"/>
        <rFont val="Calibri"/>
        <family val="2"/>
        <scheme val="minor"/>
      </rPr>
      <t>ub</t>
    </r>
    <r>
      <rPr>
        <sz val="11"/>
        <color theme="1"/>
        <rFont val="Calibri"/>
        <family val="2"/>
        <scheme val="minor"/>
      </rPr>
      <t xml:space="preserve">   =</t>
    </r>
  </si>
  <si>
    <r>
      <t>A</t>
    </r>
    <r>
      <rPr>
        <sz val="10"/>
        <color theme="1"/>
        <rFont val="Calibri"/>
        <family val="2"/>
      </rPr>
      <t>s</t>
    </r>
    <r>
      <rPr>
        <sz val="11"/>
        <color theme="1"/>
        <rFont val="Calibri"/>
        <family val="2"/>
      </rPr>
      <t xml:space="preserve">   =</t>
    </r>
  </si>
  <si>
    <t>h   =</t>
  </si>
  <si>
    <r>
      <t>b</t>
    </r>
    <r>
      <rPr>
        <sz val="10"/>
        <color theme="1"/>
        <rFont val="Calibri"/>
        <family val="2"/>
        <scheme val="minor"/>
      </rPr>
      <t>f   =</t>
    </r>
  </si>
  <si>
    <r>
      <t>t</t>
    </r>
    <r>
      <rPr>
        <sz val="10"/>
        <color theme="1"/>
        <rFont val="Calibri"/>
        <family val="2"/>
        <scheme val="minor"/>
      </rPr>
      <t>f   =</t>
    </r>
  </si>
  <si>
    <t>Column Section</t>
  </si>
  <si>
    <r>
      <t xml:space="preserve">t </t>
    </r>
    <r>
      <rPr>
        <sz val="10"/>
        <color theme="1"/>
        <rFont val="Calibri"/>
        <family val="2"/>
        <scheme val="minor"/>
      </rPr>
      <t>web  =</t>
    </r>
  </si>
  <si>
    <r>
      <t>φ.R</t>
    </r>
    <r>
      <rPr>
        <sz val="10"/>
        <color theme="1"/>
        <rFont val="Calibri"/>
        <family val="2"/>
      </rPr>
      <t>nw =</t>
    </r>
  </si>
  <si>
    <r>
      <t>φ.R</t>
    </r>
    <r>
      <rPr>
        <sz val="10"/>
        <color theme="1"/>
        <rFont val="Calibri"/>
        <family val="2"/>
      </rPr>
      <t>nw,eff =</t>
    </r>
  </si>
  <si>
    <t>Description :</t>
  </si>
  <si>
    <t>dim (mm)</t>
  </si>
  <si>
    <t>Design of Hinged Base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</si>
  <si>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</si>
  <si>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</si>
  <si>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</si>
  <si>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</si>
  <si>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</si>
  <si>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</si>
  <si>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</si>
  <si>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</si>
  <si>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</si>
  <si>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</si>
  <si>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</si>
  <si>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</si>
  <si>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</si>
  <si>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</si>
  <si>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</si>
  <si>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</si>
  <si>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</si>
  <si>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</si>
  <si>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</si>
  <si>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</si>
  <si>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</si>
  <si>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</si>
  <si>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</si>
  <si>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</si>
  <si>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Fcu    =</t>
  </si>
  <si>
    <r>
      <t>N</t>
    </r>
    <r>
      <rPr>
        <sz val="10"/>
        <color theme="1"/>
        <rFont val="Calibri"/>
        <family val="2"/>
        <scheme val="minor"/>
      </rPr>
      <t>u   =</t>
    </r>
  </si>
  <si>
    <r>
      <t>Q</t>
    </r>
    <r>
      <rPr>
        <sz val="10"/>
        <color theme="1"/>
        <rFont val="Calibri"/>
        <family val="2"/>
        <scheme val="minor"/>
      </rPr>
      <t>u   =</t>
    </r>
  </si>
  <si>
    <r>
      <t>S,</t>
    </r>
    <r>
      <rPr>
        <sz val="10"/>
        <color theme="1"/>
        <rFont val="Calibri"/>
        <family val="2"/>
        <scheme val="minor"/>
      </rPr>
      <t>weld =</t>
    </r>
  </si>
  <si>
    <r>
      <t>t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  =</t>
    </r>
  </si>
  <si>
    <t>m   =</t>
  </si>
  <si>
    <t>n   =</t>
  </si>
  <si>
    <r>
      <t>cm</t>
    </r>
    <r>
      <rPr>
        <vertAlign val="superscript"/>
        <sz val="10"/>
        <rFont val="Calibri"/>
        <family val="2"/>
        <scheme val="minor"/>
      </rPr>
      <t>2</t>
    </r>
  </si>
  <si>
    <r>
      <t>Kg/cm</t>
    </r>
    <r>
      <rPr>
        <vertAlign val="superscript"/>
        <sz val="10"/>
        <rFont val="Calibri"/>
        <family val="2"/>
        <scheme val="minor"/>
      </rPr>
      <t>2</t>
    </r>
  </si>
  <si>
    <r>
      <t>b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  =</t>
    </r>
  </si>
  <si>
    <r>
      <t>L</t>
    </r>
    <r>
      <rPr>
        <sz val="10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  =</t>
    </r>
  </si>
  <si>
    <r>
      <t>A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(A</t>
    </r>
    <r>
      <rPr>
        <sz val="10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  =</t>
    </r>
  </si>
  <si>
    <r>
      <t>A</t>
    </r>
    <r>
      <rPr>
        <sz val="10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(A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 =</t>
    </r>
  </si>
  <si>
    <r>
      <t>t</t>
    </r>
    <r>
      <rPr>
        <sz val="10"/>
        <color theme="1"/>
        <rFont val="Calibri"/>
        <family val="2"/>
        <scheme val="minor"/>
      </rPr>
      <t>p,Choosen</t>
    </r>
    <r>
      <rPr>
        <sz val="11"/>
        <color theme="1"/>
        <rFont val="Calibri"/>
        <family val="2"/>
        <scheme val="minor"/>
      </rPr>
      <t xml:space="preserve">   =</t>
    </r>
  </si>
  <si>
    <t>2)- End Plate dimensions :</t>
  </si>
  <si>
    <r>
      <t xml:space="preserve">0.6 x 0.67 x Fcu x A1 x </t>
    </r>
    <r>
      <rPr>
        <sz val="11"/>
        <color theme="1"/>
        <rFont val="Tahoma"/>
        <family val="2"/>
      </rPr>
      <t>√</t>
    </r>
    <r>
      <rPr>
        <sz val="11"/>
        <color theme="1"/>
        <rFont val="Calibri"/>
        <family val="2"/>
        <scheme val="minor"/>
      </rPr>
      <t xml:space="preserve"> ( A2 / A1 )</t>
    </r>
  </si>
  <si>
    <t>≤</t>
  </si>
  <si>
    <r>
      <t>N</t>
    </r>
    <r>
      <rPr>
        <sz val="10"/>
        <color theme="1"/>
        <rFont val="Calibri"/>
        <family val="2"/>
        <scheme val="minor"/>
      </rPr>
      <t xml:space="preserve">u  </t>
    </r>
  </si>
  <si>
    <r>
      <t xml:space="preserve">√ </t>
    </r>
    <r>
      <rPr>
        <sz val="11"/>
        <color theme="1"/>
        <rFont val="Calibri"/>
        <family val="2"/>
        <scheme val="minor"/>
      </rPr>
      <t xml:space="preserve">A2 / A1     </t>
    </r>
    <r>
      <rPr>
        <sz val="11"/>
        <color theme="1"/>
        <rFont val="Calibri"/>
        <family val="2"/>
      </rPr>
      <t>≤  2</t>
    </r>
  </si>
  <si>
    <t>ok</t>
  </si>
  <si>
    <t>not ok</t>
  </si>
  <si>
    <t>3)- Check Concrete Capacity :</t>
  </si>
  <si>
    <r>
      <t xml:space="preserve">A </t>
    </r>
    <r>
      <rPr>
        <sz val="10"/>
        <color theme="1"/>
        <rFont val="Calibri"/>
        <family val="2"/>
        <scheme val="minor"/>
      </rPr>
      <t>w,web   =</t>
    </r>
  </si>
  <si>
    <r>
      <t xml:space="preserve">A </t>
    </r>
    <r>
      <rPr>
        <sz val="10"/>
        <color theme="1"/>
        <rFont val="Calibri"/>
        <family val="2"/>
        <scheme val="minor"/>
      </rPr>
      <t>w,flange   =</t>
    </r>
  </si>
  <si>
    <r>
      <t>0.7 x</t>
    </r>
    <r>
      <rPr>
        <sz val="11"/>
        <color theme="1"/>
        <rFont val="Calibri"/>
        <family val="2"/>
        <scheme val="minor"/>
      </rPr>
      <t xml:space="preserve"> 0.4 x F</t>
    </r>
    <r>
      <rPr>
        <sz val="10"/>
        <color theme="1"/>
        <rFont val="Calibri"/>
        <family val="2"/>
        <scheme val="minor"/>
      </rPr>
      <t>u  =</t>
    </r>
  </si>
  <si>
    <r>
      <t>0.77</t>
    </r>
    <r>
      <rPr>
        <sz val="10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x 0.4 x F</t>
    </r>
    <r>
      <rPr>
        <sz val="10"/>
        <color theme="1"/>
        <rFont val="Calibri"/>
        <family val="2"/>
        <scheme val="minor"/>
      </rPr>
      <t>u  =</t>
    </r>
  </si>
  <si>
    <r>
      <t>A</t>
    </r>
    <r>
      <rPr>
        <sz val="10"/>
        <color theme="1"/>
        <rFont val="Calibri"/>
        <family val="2"/>
        <scheme val="minor"/>
      </rPr>
      <t>w,total  =</t>
    </r>
  </si>
  <si>
    <r>
      <t>R</t>
    </r>
    <r>
      <rPr>
        <sz val="10"/>
        <color theme="1"/>
        <rFont val="Calibri"/>
        <family val="2"/>
        <scheme val="minor"/>
      </rPr>
      <t>uw,N</t>
    </r>
    <r>
      <rPr>
        <sz val="11"/>
        <color theme="1"/>
        <rFont val="Calibri"/>
        <family val="2"/>
        <scheme val="minor"/>
      </rPr>
      <t xml:space="preserve">  =</t>
    </r>
  </si>
  <si>
    <t>5)- Anchor Bolts :</t>
  </si>
  <si>
    <t>4)- Check welding Safety :</t>
  </si>
  <si>
    <t>n.of anchors  =</t>
  </si>
  <si>
    <t>φv.Rv   =</t>
  </si>
  <si>
    <t>φbr.Rnbr  =</t>
  </si>
  <si>
    <t>α  = (0.8 x e)/d</t>
  </si>
  <si>
    <t>Ru,v  =</t>
  </si>
  <si>
    <t>built up sections</t>
  </si>
  <si>
    <t>ton</t>
  </si>
  <si>
    <r>
      <t>Q</t>
    </r>
    <r>
      <rPr>
        <sz val="8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 =</t>
    </r>
  </si>
  <si>
    <r>
      <t>0.7 x d x t</t>
    </r>
    <r>
      <rPr>
        <sz val="10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x α x F</t>
    </r>
    <r>
      <rPr>
        <sz val="10"/>
        <color theme="1"/>
        <rFont val="Calibri"/>
        <family val="2"/>
        <scheme val="minor"/>
      </rPr>
      <t>u =</t>
    </r>
  </si>
  <si>
    <t>Length=40*3=120</t>
  </si>
  <si>
    <t>C-EGL-1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</si>
</sst>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rgb="FF00B050"/>
      <name val="Calibri"/>
      <family val="2"/>
      <scheme val="minor"/>
    </font>
    <font>
      <sz val="10"/>
      <color theme="1"/>
      <name val="Calibri"/>
      <family val="2"/>
    </font>
    <font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b/>
      <u/>
      <sz val="14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0"/>
    <xf numFmtId="0" fontId="24" fillId="0" borderId="0"/>
    <xf numFmtId="0" fontId="24" fillId="0" borderId="0"/>
    <xf numFmtId="0" fontId="26" fillId="0" borderId="7" applyNumberFormat="0" applyFill="0" applyAlignment="0" applyProtection="0"/>
  </cellStyleXfs>
  <cellXfs count="74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165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 applyProtection="1">
      <alignment horizontal="center" vertical="center"/>
      <protection locked="0"/>
    </xf>
    <xf numFmtId="165" fontId="12" fillId="0" borderId="0" xfId="0" applyNumberFormat="1" applyFont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2" fillId="0" borderId="0" xfId="0" applyFont="1"/>
    <xf numFmtId="0" fontId="20" fillId="0" borderId="0" xfId="0" applyFont="1"/>
    <xf numFmtId="0" fontId="10" fillId="0" borderId="0" xfId="0" applyFont="1"/>
    <xf numFmtId="0" fontId="0" fillId="0" borderId="1" xfId="0" applyBorder="1" applyAlignment="1" applyProtection="1">
      <alignment horizontal="center"/>
      <protection hidden="1"/>
    </xf>
    <xf numFmtId="1" fontId="16" fillId="0" borderId="1" xfId="0" applyNumberFormat="1" applyFont="1" applyBorder="1" applyAlignment="1" applyProtection="1">
      <alignment horizontal="center"/>
      <protection hidden="1"/>
    </xf>
    <xf numFmtId="2" fontId="16" fillId="0" borderId="1" xfId="0" applyNumberFormat="1" applyFont="1" applyBorder="1" applyAlignment="1" applyProtection="1">
      <alignment horizontal="center"/>
      <protection hidden="1"/>
    </xf>
    <xf numFmtId="164" fontId="16" fillId="0" borderId="1" xfId="0" applyNumberFormat="1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16" fillId="0" borderId="1" xfId="0" applyFont="1" applyBorder="1" applyAlignment="1" applyProtection="1">
      <alignment horizontal="center"/>
      <protection hidden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" fontId="2" fillId="0" borderId="5" xfId="0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22" fillId="5" borderId="0" xfId="0" applyFont="1" applyFill="1" applyAlignment="1" applyProtection="1">
      <alignment horizontal="center" vertical="center"/>
      <protection locked="0"/>
    </xf>
    <xf numFmtId="0" fontId="4" fillId="6" borderId="0" xfId="0" applyFont="1" applyFill="1" applyAlignment="1" applyProtection="1">
      <alignment horizontal="center" vertical="center"/>
      <protection locked="0"/>
    </xf>
    <xf numFmtId="0" fontId="24" fillId="4" borderId="6" xfId="2" applyFill="1" applyBorder="1" applyAlignment="1">
      <alignment horizontal="center"/>
    </xf>
    <xf numFmtId="0" fontId="24" fillId="0" borderId="6" xfId="2" applyBorder="1" applyAlignment="1">
      <alignment horizontal="center"/>
    </xf>
    <xf numFmtId="0" fontId="26" fillId="0" borderId="7" xfId="4" applyAlignment="1" applyProtection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6" fillId="0" borderId="0" xfId="4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3" fillId="3" borderId="0" xfId="0" applyFont="1" applyFill="1" applyAlignment="1" applyProtection="1">
      <alignment horizontal="center" vertical="center"/>
      <protection hidden="1"/>
    </xf>
    <xf numFmtId="0" fontId="13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26" fillId="0" borderId="0" xfId="4" applyBorder="1" applyAlignment="1" applyProtection="1">
      <alignment horizontal="center" vertical="top"/>
    </xf>
  </cellXfs>
  <cellStyles count="5">
    <cellStyle name="Heading 1" xfId="4" builtinId="16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6</xdr:row>
      <xdr:rowOff>19051</xdr:rowOff>
    </xdr:from>
    <xdr:to>
      <xdr:col>8</xdr:col>
      <xdr:colOff>133350</xdr:colOff>
      <xdr:row>13</xdr:row>
      <xdr:rowOff>167640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1190626"/>
          <a:ext cx="2457450" cy="1543050"/>
        </a:xfrm>
        <a:prstGeom prst="rect">
          <a:avLst/>
        </a:prstGeom>
      </xdr:spPr>
    </xdr:pic>
    <xdr:clientData/>
  </xdr:twoCellAnchor>
  <xdr:twoCellAnchor>
    <xdr:from>
      <xdr:col>4</xdr:col>
      <xdr:colOff>371475</xdr:colOff>
      <xdr:row>20</xdr:row>
      <xdr:rowOff>9525</xdr:rowOff>
    </xdr:from>
    <xdr:to>
      <xdr:col>5</xdr:col>
      <xdr:colOff>428625</xdr:colOff>
      <xdr:row>20</xdr:row>
      <xdr:rowOff>9526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3400425" y="3543300"/>
          <a:ext cx="619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17</xdr:row>
      <xdr:rowOff>0</xdr:rowOff>
    </xdr:from>
    <xdr:to>
      <xdr:col>7</xdr:col>
      <xdr:colOff>133350</xdr:colOff>
      <xdr:row>17</xdr:row>
      <xdr:rowOff>1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4581525" y="2962275"/>
          <a:ext cx="4572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LAASER\Desktop\Tention-Comp-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Truss Members"/>
      <sheetName val="old"/>
      <sheetName val="GENERAL"/>
      <sheetName val="SECTIONS"/>
      <sheetName val="SECTIONS_original"/>
    </sheetNames>
    <sheetDataSet>
      <sheetData sheetId="0">
        <row r="1">
          <cell r="L1">
            <v>37</v>
          </cell>
          <cell r="N1" t="str">
            <v>one angle</v>
          </cell>
          <cell r="O1" t="str">
            <v>Safe</v>
          </cell>
        </row>
        <row r="2">
          <cell r="L2">
            <v>44</v>
          </cell>
          <cell r="M2" t="str">
            <v>Bolted</v>
          </cell>
          <cell r="N2" t="str">
            <v>two angle</v>
          </cell>
          <cell r="O2" t="str">
            <v>Unsafe</v>
          </cell>
        </row>
        <row r="4">
          <cell r="E4">
            <v>37</v>
          </cell>
        </row>
        <row r="5">
          <cell r="E5">
            <v>2.4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3"/>
  <sheetViews>
    <sheetView tabSelected="1" zoomScale="115" zoomScaleNormal="115" zoomScaleSheetLayoutView="100" workbookViewId="0">
      <pane xSplit="9" topLeftCell="J1" activePane="topRight" state="frozen"/>
      <selection pane="topRight" activeCell="B6" sqref="B6"/>
    </sheetView>
  </sheetViews>
  <sheetFormatPr defaultColWidth="9" defaultRowHeight="14.4" x14ac:dyDescent="0.3"/>
  <cols>
    <col min="1" max="1" width="15" customWidth="1"/>
    <col min="2" max="2" width="10.44140625" customWidth="1"/>
    <col min="3" max="3" width="10.33203125" customWidth="1"/>
    <col min="4" max="4" width="9.6640625" customWidth="1"/>
    <col min="5" max="5" width="8.6640625" customWidth="1"/>
    <col min="6" max="6" width="10.44140625" customWidth="1"/>
    <col min="7" max="7" width="9.33203125" customWidth="1"/>
    <col min="8" max="8" width="9.6640625" customWidth="1"/>
    <col min="9" max="9" width="6.6640625" customWidth="1"/>
    <col min="10" max="10" width="9" customWidth="1"/>
    <col min="12" max="38" width="0" hidden="1" customWidth="1"/>
  </cols>
  <sheetData>
    <row r="1" spans="1:51" ht="19.8" x14ac:dyDescent="0.3">
      <c r="A1" s="62"/>
      <c r="B1" s="62"/>
      <c r="D1" s="73"/>
      <c r="E1" s="73"/>
      <c r="F1" s="73"/>
      <c r="O1" s="69" t="s">
        <v>10</v>
      </c>
      <c r="P1" s="4" t="s">
        <v>11</v>
      </c>
      <c r="Q1" s="4" t="s">
        <v>12</v>
      </c>
      <c r="R1" s="4" t="s">
        <v>13</v>
      </c>
      <c r="S1" s="4" t="s">
        <v>7</v>
      </c>
      <c r="T1" s="4" t="s">
        <v>6</v>
      </c>
      <c r="U1" s="4" t="s">
        <v>14</v>
      </c>
      <c r="V1" s="4" t="s">
        <v>15</v>
      </c>
      <c r="W1" s="4" t="s">
        <v>1</v>
      </c>
      <c r="X1" s="4" t="s">
        <v>16</v>
      </c>
      <c r="Y1" s="4" t="s">
        <v>5</v>
      </c>
      <c r="Z1" s="4" t="s">
        <v>17</v>
      </c>
      <c r="AA1" s="4" t="s">
        <v>8</v>
      </c>
      <c r="AB1" s="4" t="s">
        <v>18</v>
      </c>
      <c r="AC1" s="4" t="s">
        <v>3</v>
      </c>
      <c r="AD1" s="4" t="s">
        <v>4</v>
      </c>
      <c r="AE1" s="4" t="s">
        <v>19</v>
      </c>
      <c r="AT1" s="59"/>
      <c r="AU1" s="59"/>
      <c r="AV1" s="59"/>
      <c r="AX1" s="46"/>
      <c r="AY1" s="46"/>
    </row>
    <row r="2" spans="1:51" ht="20.399999999999999" thickBot="1" x14ac:dyDescent="0.35">
      <c r="B2" s="58" t="s">
        <v>97</v>
      </c>
      <c r="C2" s="58"/>
      <c r="D2" s="58"/>
      <c r="E2" s="58"/>
      <c r="L2" s="1" t="s">
        <v>67</v>
      </c>
      <c r="M2" s="44">
        <v>2.4</v>
      </c>
      <c r="N2" s="44">
        <v>3.7</v>
      </c>
      <c r="O2" s="69"/>
      <c r="P2" s="4" t="s">
        <v>20</v>
      </c>
      <c r="Q2" s="4" t="s">
        <v>21</v>
      </c>
      <c r="R2" s="4" t="s">
        <v>21</v>
      </c>
      <c r="S2" s="4" t="s">
        <v>22</v>
      </c>
      <c r="T2" s="4" t="s">
        <v>22</v>
      </c>
      <c r="U2" s="4" t="s">
        <v>22</v>
      </c>
      <c r="V2" s="4" t="s">
        <v>22</v>
      </c>
      <c r="W2" s="4" t="s">
        <v>22</v>
      </c>
      <c r="X2" s="4" t="s">
        <v>23</v>
      </c>
      <c r="Y2" s="4" t="s">
        <v>24</v>
      </c>
      <c r="Z2" s="4" t="s">
        <v>2</v>
      </c>
      <c r="AA2" s="4" t="s">
        <v>23</v>
      </c>
      <c r="AB2" s="4" t="s">
        <v>24</v>
      </c>
      <c r="AC2" s="4" t="s">
        <v>2</v>
      </c>
      <c r="AD2" s="4" t="s">
        <v>24</v>
      </c>
      <c r="AE2" s="4" t="s">
        <v>24</v>
      </c>
    </row>
    <row r="3" spans="1:51" ht="15" thickTop="1" x14ac:dyDescent="0.3">
      <c r="C3" s="61" t="s">
        <v>162</v>
      </c>
      <c r="D3" s="61"/>
      <c r="F3" s="44" t="s">
        <v>70</v>
      </c>
      <c r="G3" s="48" t="s">
        <v>67</v>
      </c>
      <c r="H3" s="44"/>
      <c r="I3" s="44"/>
      <c r="L3" s="1" t="s">
        <v>68</v>
      </c>
      <c r="M3" s="44">
        <v>2.8</v>
      </c>
      <c r="N3" s="44">
        <v>4.4000000000000004</v>
      </c>
      <c r="O3" s="6" t="s">
        <v>49</v>
      </c>
      <c r="P3" s="4">
        <v>6</v>
      </c>
      <c r="Q3" s="4">
        <v>7.64</v>
      </c>
      <c r="R3" s="4">
        <v>2.64</v>
      </c>
      <c r="S3" s="4">
        <v>80</v>
      </c>
      <c r="T3" s="4">
        <v>46</v>
      </c>
      <c r="U3" s="4">
        <v>3.8</v>
      </c>
      <c r="V3" s="4">
        <v>5.2</v>
      </c>
      <c r="W3" s="4">
        <v>5</v>
      </c>
      <c r="X3" s="4">
        <v>80.099999999999994</v>
      </c>
      <c r="Y3" s="4">
        <v>20</v>
      </c>
      <c r="Z3" s="4">
        <v>3.24</v>
      </c>
      <c r="AA3" s="4">
        <v>8.49</v>
      </c>
      <c r="AB3" s="4">
        <v>3.69</v>
      </c>
      <c r="AC3" s="4">
        <v>1.05</v>
      </c>
      <c r="AD3" s="4">
        <v>23.2</v>
      </c>
      <c r="AE3" s="4">
        <v>5.8</v>
      </c>
      <c r="AX3">
        <f>AT4+10</f>
        <v>10</v>
      </c>
    </row>
    <row r="4" spans="1:51" ht="15" x14ac:dyDescent="0.3">
      <c r="A4" s="28" t="s">
        <v>95</v>
      </c>
      <c r="F4" s="44" t="s">
        <v>74</v>
      </c>
      <c r="G4" s="44" t="s">
        <v>71</v>
      </c>
      <c r="H4" s="44">
        <f>VLOOKUP(G3,L2:N4,2,0)</f>
        <v>2.4</v>
      </c>
      <c r="I4" s="2" t="s">
        <v>72</v>
      </c>
      <c r="L4" s="1" t="s">
        <v>69</v>
      </c>
      <c r="M4" s="44">
        <v>3.6</v>
      </c>
      <c r="N4" s="44">
        <v>5.2</v>
      </c>
      <c r="O4" s="6" t="s">
        <v>50</v>
      </c>
      <c r="P4" s="4">
        <v>8.1</v>
      </c>
      <c r="Q4" s="4">
        <v>10.3</v>
      </c>
      <c r="R4" s="4">
        <v>3.63</v>
      </c>
      <c r="S4" s="4">
        <v>100</v>
      </c>
      <c r="T4" s="4">
        <v>55</v>
      </c>
      <c r="U4" s="4">
        <v>4.0999999999999996</v>
      </c>
      <c r="V4" s="4">
        <v>5.7</v>
      </c>
      <c r="W4" s="4">
        <v>7</v>
      </c>
      <c r="X4" s="4">
        <v>171</v>
      </c>
      <c r="Y4" s="4">
        <v>34.200000000000003</v>
      </c>
      <c r="Z4" s="4">
        <v>4.07</v>
      </c>
      <c r="AA4" s="4">
        <v>15.9</v>
      </c>
      <c r="AB4" s="4">
        <v>5.79</v>
      </c>
      <c r="AC4" s="4">
        <v>1.24</v>
      </c>
      <c r="AD4" s="4">
        <v>39.4</v>
      </c>
      <c r="AE4" s="4">
        <v>9.1</v>
      </c>
      <c r="AX4">
        <f>AT5+10</f>
        <v>10</v>
      </c>
    </row>
    <row r="5" spans="1:51" ht="18.600000000000001" thickBot="1" x14ac:dyDescent="0.35">
      <c r="A5" s="70" t="s">
        <v>73</v>
      </c>
      <c r="B5" s="70"/>
      <c r="C5" s="70"/>
      <c r="F5" s="44" t="s">
        <v>75</v>
      </c>
      <c r="G5" s="44" t="s">
        <v>71</v>
      </c>
      <c r="H5" s="44">
        <f>VLOOKUP(G3,L2:N4,3,0)</f>
        <v>3.7</v>
      </c>
      <c r="I5" s="2" t="s">
        <v>72</v>
      </c>
      <c r="O5" s="6" t="s">
        <v>51</v>
      </c>
      <c r="P5" s="4">
        <v>10.4</v>
      </c>
      <c r="Q5" s="4">
        <v>13.2</v>
      </c>
      <c r="R5" s="4">
        <v>4.7300000000000004</v>
      </c>
      <c r="S5" s="4">
        <v>120</v>
      </c>
      <c r="T5" s="4">
        <v>64</v>
      </c>
      <c r="U5" s="4">
        <v>4.4000000000000004</v>
      </c>
      <c r="V5" s="4">
        <v>6.3</v>
      </c>
      <c r="W5" s="4">
        <v>7</v>
      </c>
      <c r="X5" s="4">
        <v>318</v>
      </c>
      <c r="Y5" s="4">
        <v>53</v>
      </c>
      <c r="Z5" s="4">
        <v>4.9000000000000004</v>
      </c>
      <c r="AA5" s="4">
        <v>27.7</v>
      </c>
      <c r="AB5" s="4">
        <v>8.65</v>
      </c>
      <c r="AC5" s="4">
        <v>1.45</v>
      </c>
      <c r="AD5" s="4">
        <v>60.7</v>
      </c>
      <c r="AE5" s="4">
        <v>13.6</v>
      </c>
      <c r="AX5">
        <f>AT6+10</f>
        <v>10</v>
      </c>
    </row>
    <row r="6" spans="1:51" ht="15" thickBot="1" x14ac:dyDescent="0.35">
      <c r="A6" s="44" t="s">
        <v>123</v>
      </c>
      <c r="B6" s="56">
        <v>-43.513800000000003</v>
      </c>
      <c r="C6" s="5" t="s">
        <v>0</v>
      </c>
      <c r="E6" s="44"/>
      <c r="J6" s="44"/>
      <c r="N6" s="44"/>
      <c r="O6" s="6" t="s">
        <v>52</v>
      </c>
      <c r="P6" s="4">
        <v>12.9</v>
      </c>
      <c r="Q6" s="4">
        <v>16.399999999999999</v>
      </c>
      <c r="R6" s="4">
        <v>5.93</v>
      </c>
      <c r="S6" s="4">
        <v>140</v>
      </c>
      <c r="T6" s="4">
        <v>73</v>
      </c>
      <c r="U6" s="4">
        <v>4.7</v>
      </c>
      <c r="V6" s="4">
        <v>6.9</v>
      </c>
      <c r="W6" s="4">
        <v>7</v>
      </c>
      <c r="X6" s="4">
        <v>541</v>
      </c>
      <c r="Y6" s="4">
        <v>77.3</v>
      </c>
      <c r="Z6" s="4">
        <v>5.74</v>
      </c>
      <c r="AA6" s="4">
        <v>44.9</v>
      </c>
      <c r="AB6" s="4">
        <v>12.3</v>
      </c>
      <c r="AC6" s="4">
        <v>1.65</v>
      </c>
      <c r="AD6" s="4">
        <v>88.3</v>
      </c>
      <c r="AE6" s="4">
        <v>19.2</v>
      </c>
      <c r="AG6" s="37" t="s">
        <v>96</v>
      </c>
      <c r="AH6" s="37" t="s">
        <v>79</v>
      </c>
      <c r="AI6" s="37" t="s">
        <v>83</v>
      </c>
      <c r="AJ6" s="37" t="s">
        <v>80</v>
      </c>
      <c r="AK6" s="37" t="s">
        <v>81</v>
      </c>
      <c r="AL6" s="41" t="s">
        <v>82</v>
      </c>
    </row>
    <row r="7" spans="1:51" ht="15.6" x14ac:dyDescent="0.3">
      <c r="A7" s="44" t="s">
        <v>124</v>
      </c>
      <c r="B7" s="57">
        <v>-2.52E-2</v>
      </c>
      <c r="C7" s="5" t="s">
        <v>0</v>
      </c>
      <c r="E7" s="44"/>
      <c r="L7" s="44"/>
      <c r="M7" s="44"/>
      <c r="O7" s="6" t="s">
        <v>53</v>
      </c>
      <c r="P7" s="4">
        <v>15.8</v>
      </c>
      <c r="Q7" s="4">
        <v>20.100000000000001</v>
      </c>
      <c r="R7" s="4">
        <v>7.26</v>
      </c>
      <c r="S7" s="4">
        <v>160</v>
      </c>
      <c r="T7" s="4">
        <v>82</v>
      </c>
      <c r="U7" s="4">
        <v>5</v>
      </c>
      <c r="V7" s="4">
        <v>7.4</v>
      </c>
      <c r="W7" s="4">
        <v>9</v>
      </c>
      <c r="X7" s="4">
        <v>869</v>
      </c>
      <c r="Y7" s="4">
        <v>109</v>
      </c>
      <c r="Z7" s="4">
        <v>6.58</v>
      </c>
      <c r="AA7" s="4">
        <v>68.3</v>
      </c>
      <c r="AB7" s="4">
        <v>16.7</v>
      </c>
      <c r="AC7" s="4">
        <v>1.84</v>
      </c>
      <c r="AD7" s="4">
        <v>124</v>
      </c>
      <c r="AE7" s="4">
        <v>26.1</v>
      </c>
      <c r="AG7" s="38">
        <v>12</v>
      </c>
      <c r="AH7" s="39">
        <v>1.1299999999999999</v>
      </c>
      <c r="AI7" s="39">
        <v>0.84</v>
      </c>
      <c r="AJ7" s="40">
        <v>4.5999999999999996</v>
      </c>
      <c r="AK7" s="39">
        <v>2.4</v>
      </c>
      <c r="AL7" s="39">
        <v>4</v>
      </c>
    </row>
    <row r="8" spans="1:51" ht="15.6" x14ac:dyDescent="0.3">
      <c r="A8" s="44" t="s">
        <v>122</v>
      </c>
      <c r="B8" s="22">
        <v>250</v>
      </c>
      <c r="C8" s="2" t="s">
        <v>130</v>
      </c>
      <c r="L8" s="44" t="s">
        <v>141</v>
      </c>
      <c r="M8" s="44"/>
      <c r="O8" s="6" t="s">
        <v>54</v>
      </c>
      <c r="P8" s="4">
        <v>18.8</v>
      </c>
      <c r="Q8" s="4">
        <v>23.9</v>
      </c>
      <c r="R8" s="4">
        <v>8.69</v>
      </c>
      <c r="S8" s="4">
        <v>180</v>
      </c>
      <c r="T8" s="4">
        <v>91</v>
      </c>
      <c r="U8" s="4">
        <v>5.3</v>
      </c>
      <c r="V8" s="4">
        <v>8</v>
      </c>
      <c r="W8" s="4">
        <v>9</v>
      </c>
      <c r="X8" s="4">
        <v>1320</v>
      </c>
      <c r="Y8" s="4">
        <v>146</v>
      </c>
      <c r="Z8" s="4">
        <v>7.42</v>
      </c>
      <c r="AA8" s="4">
        <v>101</v>
      </c>
      <c r="AB8" s="4">
        <v>22.2</v>
      </c>
      <c r="AC8" s="4">
        <v>2.0499999999999998</v>
      </c>
      <c r="AD8" s="4">
        <v>166</v>
      </c>
      <c r="AE8" s="4">
        <v>34.6</v>
      </c>
      <c r="AG8" s="38">
        <v>16</v>
      </c>
      <c r="AH8" s="39">
        <v>2.0099999999999998</v>
      </c>
      <c r="AI8" s="39">
        <v>1.57</v>
      </c>
      <c r="AJ8" s="40">
        <v>4.8</v>
      </c>
      <c r="AK8" s="39">
        <v>3.2</v>
      </c>
      <c r="AL8" s="39">
        <v>4</v>
      </c>
    </row>
    <row r="9" spans="1:51" ht="15.6" x14ac:dyDescent="0.3">
      <c r="A9" s="44" t="s">
        <v>125</v>
      </c>
      <c r="B9" s="22">
        <v>0.8</v>
      </c>
      <c r="C9" s="5" t="s">
        <v>2</v>
      </c>
      <c r="J9" s="3"/>
      <c r="L9" s="44" t="s">
        <v>142</v>
      </c>
      <c r="M9" s="44"/>
      <c r="O9" s="6" t="s">
        <v>55</v>
      </c>
      <c r="P9" s="4">
        <v>22.4</v>
      </c>
      <c r="Q9" s="4">
        <v>28.5</v>
      </c>
      <c r="R9" s="4">
        <v>10.25</v>
      </c>
      <c r="S9" s="4">
        <v>200</v>
      </c>
      <c r="T9" s="4">
        <v>100</v>
      </c>
      <c r="U9" s="4">
        <v>5.6</v>
      </c>
      <c r="V9" s="4">
        <v>8.5</v>
      </c>
      <c r="W9" s="4">
        <v>12</v>
      </c>
      <c r="X9" s="4">
        <v>1940</v>
      </c>
      <c r="Y9" s="4">
        <v>194</v>
      </c>
      <c r="Z9" s="4">
        <v>8.26</v>
      </c>
      <c r="AA9" s="4">
        <v>142</v>
      </c>
      <c r="AB9" s="4">
        <v>28.5</v>
      </c>
      <c r="AC9" s="4">
        <v>2.2400000000000002</v>
      </c>
      <c r="AD9" s="4">
        <v>221</v>
      </c>
      <c r="AE9" s="4">
        <v>44.6</v>
      </c>
      <c r="AG9" s="38">
        <v>20</v>
      </c>
      <c r="AH9" s="39">
        <v>3.14</v>
      </c>
      <c r="AI9" s="39">
        <v>2.4500000000000002</v>
      </c>
      <c r="AJ9" s="40">
        <v>5.6</v>
      </c>
      <c r="AK9" s="39">
        <v>3</v>
      </c>
      <c r="AL9" s="39">
        <v>5</v>
      </c>
    </row>
    <row r="10" spans="1:51" ht="15.6" x14ac:dyDescent="0.3">
      <c r="A10" s="44" t="s">
        <v>91</v>
      </c>
      <c r="B10" s="44" t="s">
        <v>71</v>
      </c>
      <c r="C10" s="72" t="s">
        <v>157</v>
      </c>
      <c r="D10" s="72"/>
      <c r="H10" s="44"/>
      <c r="O10" s="6" t="s">
        <v>56</v>
      </c>
      <c r="P10" s="4">
        <v>26.2</v>
      </c>
      <c r="Q10" s="4">
        <v>33.4</v>
      </c>
      <c r="R10" s="4">
        <v>11.89</v>
      </c>
      <c r="S10" s="4">
        <v>220</v>
      </c>
      <c r="T10" s="4">
        <v>110</v>
      </c>
      <c r="U10" s="4">
        <v>5.9</v>
      </c>
      <c r="V10" s="4">
        <v>9.1999999999999993</v>
      </c>
      <c r="W10" s="4">
        <v>12</v>
      </c>
      <c r="X10" s="4">
        <v>2770</v>
      </c>
      <c r="Y10" s="4">
        <v>252</v>
      </c>
      <c r="Z10" s="4">
        <v>9.11</v>
      </c>
      <c r="AA10" s="4">
        <v>205</v>
      </c>
      <c r="AB10" s="4">
        <v>37.299999999999997</v>
      </c>
      <c r="AC10" s="4">
        <v>2.48</v>
      </c>
      <c r="AD10" s="4">
        <v>285</v>
      </c>
      <c r="AE10" s="4">
        <v>58.1</v>
      </c>
      <c r="AG10" s="38">
        <v>22</v>
      </c>
      <c r="AH10" s="39">
        <v>3.8</v>
      </c>
      <c r="AI10" s="39">
        <v>3.03</v>
      </c>
      <c r="AJ10" s="40">
        <v>5.8</v>
      </c>
      <c r="AK10" s="39">
        <v>4</v>
      </c>
      <c r="AL10" s="39">
        <v>5</v>
      </c>
    </row>
    <row r="11" spans="1:51" ht="15.6" x14ac:dyDescent="0.3">
      <c r="A11" s="44" t="s">
        <v>88</v>
      </c>
      <c r="B11" s="60">
        <v>80</v>
      </c>
      <c r="C11" s="60"/>
      <c r="D11" s="5" t="s">
        <v>2</v>
      </c>
      <c r="L11" s="44" t="s">
        <v>77</v>
      </c>
      <c r="O11" s="6" t="s">
        <v>57</v>
      </c>
      <c r="P11" s="4">
        <v>30.7</v>
      </c>
      <c r="Q11" s="4">
        <v>39.1</v>
      </c>
      <c r="R11" s="4">
        <v>13.66</v>
      </c>
      <c r="S11" s="4">
        <v>240</v>
      </c>
      <c r="T11" s="4">
        <v>120</v>
      </c>
      <c r="U11" s="4">
        <v>6.2</v>
      </c>
      <c r="V11" s="4">
        <v>9.8000000000000007</v>
      </c>
      <c r="W11" s="4">
        <v>15</v>
      </c>
      <c r="X11" s="4">
        <v>3890</v>
      </c>
      <c r="Y11" s="4">
        <v>324</v>
      </c>
      <c r="Z11" s="4">
        <v>9.9700000000000006</v>
      </c>
      <c r="AA11" s="4">
        <v>284</v>
      </c>
      <c r="AB11" s="4">
        <v>47.3</v>
      </c>
      <c r="AC11" s="4">
        <v>2.69</v>
      </c>
      <c r="AD11" s="4">
        <v>367</v>
      </c>
      <c r="AE11" s="4">
        <v>73.900000000000006</v>
      </c>
      <c r="AG11" s="38">
        <v>24</v>
      </c>
      <c r="AH11" s="39">
        <v>4.5199999999999996</v>
      </c>
      <c r="AI11" s="39">
        <v>3.53</v>
      </c>
      <c r="AJ11" s="40">
        <v>6.8</v>
      </c>
      <c r="AK11" s="39">
        <v>4.8</v>
      </c>
      <c r="AL11" s="39">
        <v>6</v>
      </c>
    </row>
    <row r="12" spans="1:51" ht="15.6" x14ac:dyDescent="0.3">
      <c r="A12" s="44" t="s">
        <v>92</v>
      </c>
      <c r="B12" s="60">
        <v>2</v>
      </c>
      <c r="C12" s="60"/>
      <c r="D12" s="5" t="s">
        <v>2</v>
      </c>
      <c r="L12" s="44" t="s">
        <v>78</v>
      </c>
      <c r="O12" s="6" t="s">
        <v>58</v>
      </c>
      <c r="P12" s="4">
        <v>36.1</v>
      </c>
      <c r="Q12" s="4">
        <v>45.9</v>
      </c>
      <c r="R12" s="4">
        <v>16.47</v>
      </c>
      <c r="S12" s="4">
        <v>270</v>
      </c>
      <c r="T12" s="4">
        <v>135</v>
      </c>
      <c r="U12" s="4">
        <v>6.6</v>
      </c>
      <c r="V12" s="4">
        <v>10.199999999999999</v>
      </c>
      <c r="W12" s="4">
        <v>15</v>
      </c>
      <c r="X12" s="4">
        <v>5790</v>
      </c>
      <c r="Y12" s="4">
        <v>429</v>
      </c>
      <c r="Z12" s="4">
        <v>11.2</v>
      </c>
      <c r="AA12" s="4">
        <v>420</v>
      </c>
      <c r="AB12" s="4">
        <v>62.2</v>
      </c>
      <c r="AC12" s="4">
        <v>3.02</v>
      </c>
      <c r="AD12" s="4">
        <v>484</v>
      </c>
      <c r="AE12" s="4">
        <v>97</v>
      </c>
      <c r="AG12" s="38">
        <v>27</v>
      </c>
      <c r="AH12" s="39">
        <v>5.73</v>
      </c>
      <c r="AI12" s="39">
        <v>4.59</v>
      </c>
      <c r="AJ12" s="40">
        <v>8.8000000000000007</v>
      </c>
      <c r="AK12" s="39">
        <v>6.4</v>
      </c>
      <c r="AL12" s="39">
        <v>8</v>
      </c>
    </row>
    <row r="13" spans="1:51" ht="15.6" x14ac:dyDescent="0.3">
      <c r="A13" s="44" t="s">
        <v>89</v>
      </c>
      <c r="B13" s="60">
        <v>30</v>
      </c>
      <c r="C13" s="60"/>
      <c r="D13" s="5" t="s">
        <v>2</v>
      </c>
      <c r="J13" s="26"/>
      <c r="O13" s="6" t="s">
        <v>59</v>
      </c>
      <c r="P13" s="4">
        <v>42.2</v>
      </c>
      <c r="Q13" s="4">
        <v>53.8</v>
      </c>
      <c r="R13" s="4">
        <v>19.78</v>
      </c>
      <c r="S13" s="4">
        <v>300</v>
      </c>
      <c r="T13" s="4">
        <v>150</v>
      </c>
      <c r="U13" s="4">
        <v>7.1</v>
      </c>
      <c r="V13" s="4">
        <v>10.7</v>
      </c>
      <c r="W13" s="4">
        <v>15</v>
      </c>
      <c r="X13" s="4">
        <v>8360</v>
      </c>
      <c r="Y13" s="4">
        <v>557</v>
      </c>
      <c r="Z13" s="4">
        <v>12.5</v>
      </c>
      <c r="AA13" s="4">
        <v>604</v>
      </c>
      <c r="AB13" s="4">
        <v>80.5</v>
      </c>
      <c r="AC13" s="4">
        <v>3.35</v>
      </c>
      <c r="AD13" s="4">
        <v>628</v>
      </c>
      <c r="AE13" s="4">
        <v>125</v>
      </c>
      <c r="AG13" s="38">
        <v>30</v>
      </c>
      <c r="AH13" s="39">
        <v>7.06</v>
      </c>
      <c r="AI13" s="39">
        <v>5.61</v>
      </c>
      <c r="AJ13" s="40">
        <v>10.9</v>
      </c>
      <c r="AK13" s="39">
        <v>9</v>
      </c>
      <c r="AL13" s="39">
        <v>10</v>
      </c>
    </row>
    <row r="14" spans="1:51" ht="15.6" x14ac:dyDescent="0.3">
      <c r="A14" s="44" t="s">
        <v>90</v>
      </c>
      <c r="B14" s="60">
        <v>2</v>
      </c>
      <c r="C14" s="60"/>
      <c r="D14" s="5" t="s">
        <v>2</v>
      </c>
      <c r="H14" s="8"/>
      <c r="L14" s="44"/>
      <c r="O14" s="6" t="s">
        <v>60</v>
      </c>
      <c r="P14" s="4">
        <v>49.1</v>
      </c>
      <c r="Q14" s="4">
        <v>62.6</v>
      </c>
      <c r="R14" s="4">
        <v>23.03</v>
      </c>
      <c r="S14" s="4">
        <v>330</v>
      </c>
      <c r="T14" s="4">
        <v>160</v>
      </c>
      <c r="U14" s="4">
        <v>7.5</v>
      </c>
      <c r="V14" s="4">
        <v>11.5</v>
      </c>
      <c r="W14" s="4">
        <v>18</v>
      </c>
      <c r="X14" s="4">
        <v>11770</v>
      </c>
      <c r="Y14" s="4">
        <v>713</v>
      </c>
      <c r="Z14" s="4">
        <v>13.7</v>
      </c>
      <c r="AA14" s="4">
        <v>788</v>
      </c>
      <c r="AB14" s="4">
        <v>98.5</v>
      </c>
      <c r="AC14" s="4">
        <v>3.55</v>
      </c>
      <c r="AD14" s="4">
        <v>804</v>
      </c>
      <c r="AE14" s="4">
        <v>154</v>
      </c>
      <c r="AG14" s="38">
        <v>36</v>
      </c>
      <c r="AH14" s="39">
        <v>10.18</v>
      </c>
      <c r="AI14" s="39">
        <v>8.17</v>
      </c>
      <c r="AJ14" s="42"/>
      <c r="AK14" s="42"/>
      <c r="AL14" s="42"/>
    </row>
    <row r="15" spans="1:51" ht="15" customHeight="1" x14ac:dyDescent="0.3">
      <c r="A15" s="70" t="s">
        <v>136</v>
      </c>
      <c r="B15" s="70"/>
      <c r="C15" s="70"/>
      <c r="J15" s="26"/>
      <c r="L15" s="44"/>
      <c r="O15" s="6" t="s">
        <v>61</v>
      </c>
      <c r="P15" s="4">
        <v>57.1</v>
      </c>
      <c r="Q15" s="4">
        <v>72.7</v>
      </c>
      <c r="R15" s="4">
        <v>26.77</v>
      </c>
      <c r="S15" s="4">
        <v>360</v>
      </c>
      <c r="T15" s="4">
        <v>170</v>
      </c>
      <c r="U15" s="4">
        <v>8</v>
      </c>
      <c r="V15" s="4">
        <v>12.7</v>
      </c>
      <c r="W15" s="4">
        <v>18</v>
      </c>
      <c r="X15" s="4">
        <v>16270</v>
      </c>
      <c r="Y15" s="4">
        <v>904</v>
      </c>
      <c r="Z15" s="4">
        <v>15</v>
      </c>
      <c r="AA15" s="4">
        <v>1040</v>
      </c>
      <c r="AB15" s="4">
        <v>123</v>
      </c>
      <c r="AC15" s="4">
        <v>3.79</v>
      </c>
      <c r="AD15" s="4">
        <v>1019</v>
      </c>
      <c r="AE15" s="4">
        <v>191</v>
      </c>
    </row>
    <row r="16" spans="1:51" x14ac:dyDescent="0.3">
      <c r="A16" s="44" t="s">
        <v>127</v>
      </c>
      <c r="B16" s="55">
        <v>2.5</v>
      </c>
      <c r="C16" s="5" t="s">
        <v>2</v>
      </c>
      <c r="D16" s="44" t="s">
        <v>128</v>
      </c>
      <c r="E16" s="55">
        <v>2.5</v>
      </c>
      <c r="F16" s="5" t="s">
        <v>2</v>
      </c>
      <c r="O16" s="6" t="s">
        <v>62</v>
      </c>
      <c r="P16" s="4">
        <v>66.3</v>
      </c>
      <c r="Q16" s="4">
        <v>84.5</v>
      </c>
      <c r="R16" s="4">
        <v>32.08</v>
      </c>
      <c r="S16" s="4">
        <v>400</v>
      </c>
      <c r="T16" s="4">
        <v>180</v>
      </c>
      <c r="U16" s="4">
        <v>8.6</v>
      </c>
      <c r="V16" s="4">
        <v>13.5</v>
      </c>
      <c r="W16" s="4">
        <v>21</v>
      </c>
      <c r="X16" s="4">
        <v>23130</v>
      </c>
      <c r="Y16" s="4">
        <v>1160</v>
      </c>
      <c r="Z16" s="4">
        <v>16.5</v>
      </c>
      <c r="AA16" s="4">
        <v>1320</v>
      </c>
      <c r="AB16" s="4">
        <v>146</v>
      </c>
      <c r="AC16" s="4">
        <v>3.95</v>
      </c>
      <c r="AD16" s="4">
        <v>1307</v>
      </c>
      <c r="AE16" s="4">
        <v>229</v>
      </c>
    </row>
    <row r="17" spans="1:31" x14ac:dyDescent="0.3">
      <c r="A17" s="44" t="s">
        <v>132</v>
      </c>
      <c r="B17" s="51">
        <f>B11+B16*2</f>
        <v>85</v>
      </c>
      <c r="C17" s="5" t="s">
        <v>2</v>
      </c>
      <c r="D17" s="44" t="s">
        <v>131</v>
      </c>
      <c r="E17" s="51">
        <f>B13+E16*2</f>
        <v>35</v>
      </c>
      <c r="F17" s="5" t="s">
        <v>2</v>
      </c>
      <c r="O17" s="6" t="s">
        <v>63</v>
      </c>
      <c r="P17" s="4">
        <v>77.599999999999994</v>
      </c>
      <c r="Q17" s="4">
        <v>98.8</v>
      </c>
      <c r="R17" s="4">
        <v>39.56</v>
      </c>
      <c r="S17" s="4">
        <v>450</v>
      </c>
      <c r="T17" s="4">
        <v>190</v>
      </c>
      <c r="U17" s="4">
        <v>9.4</v>
      </c>
      <c r="V17" s="4">
        <v>14.6</v>
      </c>
      <c r="W17" s="4">
        <v>21</v>
      </c>
      <c r="X17" s="4">
        <v>33740</v>
      </c>
      <c r="Y17" s="4">
        <v>1500</v>
      </c>
      <c r="Z17" s="4">
        <v>18.5</v>
      </c>
      <c r="AA17" s="4">
        <v>1680</v>
      </c>
      <c r="AB17" s="4">
        <v>176</v>
      </c>
      <c r="AC17" s="4">
        <v>4.12</v>
      </c>
      <c r="AD17" s="4">
        <v>1702</v>
      </c>
      <c r="AE17" s="4">
        <v>276</v>
      </c>
    </row>
    <row r="18" spans="1:31" ht="15" x14ac:dyDescent="0.3">
      <c r="A18" s="44" t="s">
        <v>133</v>
      </c>
      <c r="B18" s="44">
        <f>B17*E17</f>
        <v>2975</v>
      </c>
      <c r="C18" s="2" t="s">
        <v>129</v>
      </c>
      <c r="D18" s="44" t="s">
        <v>134</v>
      </c>
      <c r="E18" s="44">
        <f>(B17+10)*(E17+10)</f>
        <v>4275</v>
      </c>
      <c r="F18" s="2" t="s">
        <v>129</v>
      </c>
      <c r="G18" s="71" t="s">
        <v>140</v>
      </c>
      <c r="H18" s="71"/>
      <c r="I18" s="13" t="str">
        <f>IF((E18/B18)^0.5&lt;=2,L8,L9)</f>
        <v>ok</v>
      </c>
      <c r="O18" s="6" t="s">
        <v>64</v>
      </c>
      <c r="P18" s="4">
        <v>90.7</v>
      </c>
      <c r="Q18" s="4">
        <v>116</v>
      </c>
      <c r="R18" s="4">
        <v>47.74</v>
      </c>
      <c r="S18" s="4">
        <v>500</v>
      </c>
      <c r="T18" s="4">
        <v>200</v>
      </c>
      <c r="U18" s="4">
        <v>10.199999999999999</v>
      </c>
      <c r="V18" s="4">
        <v>16</v>
      </c>
      <c r="W18" s="4">
        <v>21</v>
      </c>
      <c r="X18" s="4">
        <v>48200</v>
      </c>
      <c r="Y18" s="4">
        <v>1930</v>
      </c>
      <c r="Z18" s="4">
        <v>20.399999999999999</v>
      </c>
      <c r="AA18" s="4">
        <v>2140</v>
      </c>
      <c r="AB18" s="4">
        <v>214</v>
      </c>
      <c r="AC18" s="4">
        <v>4.3099999999999996</v>
      </c>
      <c r="AD18" s="4">
        <v>2194</v>
      </c>
      <c r="AE18" s="4">
        <v>336</v>
      </c>
    </row>
    <row r="19" spans="1:31" x14ac:dyDescent="0.3">
      <c r="A19" s="44" t="s">
        <v>126</v>
      </c>
      <c r="B19" s="44">
        <f>MAX(2,ROUND(B16*((2*ABS(B6))/(0.85*H4*B18))^0.5,2))</f>
        <v>2</v>
      </c>
      <c r="C19" s="5" t="s">
        <v>2</v>
      </c>
      <c r="D19" s="64" t="s">
        <v>135</v>
      </c>
      <c r="E19" s="64"/>
      <c r="F19" s="52">
        <f>IF(B19&gt;=2,B19,2)</f>
        <v>2</v>
      </c>
      <c r="G19" s="5" t="s">
        <v>2</v>
      </c>
      <c r="L19" s="44"/>
      <c r="O19" s="6" t="s">
        <v>65</v>
      </c>
      <c r="P19" s="4">
        <v>106</v>
      </c>
      <c r="Q19" s="4">
        <v>134</v>
      </c>
      <c r="R19" s="4">
        <v>57.23</v>
      </c>
      <c r="S19" s="4">
        <v>550</v>
      </c>
      <c r="T19" s="4">
        <v>210</v>
      </c>
      <c r="U19" s="4">
        <v>11.1</v>
      </c>
      <c r="V19" s="4">
        <v>17.2</v>
      </c>
      <c r="W19" s="4">
        <v>24</v>
      </c>
      <c r="X19" s="4">
        <v>67120</v>
      </c>
      <c r="Y19" s="4">
        <v>2440</v>
      </c>
      <c r="Z19" s="4">
        <v>22.3</v>
      </c>
      <c r="AA19" s="4">
        <v>2670</v>
      </c>
      <c r="AB19" s="4">
        <v>254</v>
      </c>
      <c r="AC19" s="4">
        <v>4.45</v>
      </c>
      <c r="AD19" s="4">
        <v>2787</v>
      </c>
      <c r="AE19" s="4">
        <v>401</v>
      </c>
    </row>
    <row r="20" spans="1:31" ht="15" customHeight="1" x14ac:dyDescent="0.3">
      <c r="A20" s="70" t="s">
        <v>143</v>
      </c>
      <c r="B20" s="70"/>
      <c r="C20" s="70"/>
      <c r="L20" s="44"/>
      <c r="O20" s="6" t="s">
        <v>66</v>
      </c>
      <c r="P20" s="4">
        <v>122</v>
      </c>
      <c r="Q20" s="4">
        <v>156</v>
      </c>
      <c r="R20" s="4">
        <v>67.44</v>
      </c>
      <c r="S20" s="4">
        <v>600</v>
      </c>
      <c r="T20" s="4">
        <v>220</v>
      </c>
      <c r="U20" s="4">
        <v>12</v>
      </c>
      <c r="V20" s="4">
        <v>19</v>
      </c>
      <c r="W20" s="4">
        <v>24</v>
      </c>
      <c r="X20" s="4">
        <v>92080</v>
      </c>
      <c r="Y20" s="4">
        <v>3070</v>
      </c>
      <c r="Z20" s="4">
        <v>24.3</v>
      </c>
      <c r="AA20" s="4">
        <v>3390</v>
      </c>
      <c r="AB20" s="4">
        <v>308</v>
      </c>
      <c r="AC20" s="4">
        <v>4.66</v>
      </c>
      <c r="AD20" s="4">
        <v>3512</v>
      </c>
      <c r="AE20" s="4">
        <v>486</v>
      </c>
    </row>
    <row r="21" spans="1:31" x14ac:dyDescent="0.3">
      <c r="A21" s="44" t="s">
        <v>139</v>
      </c>
      <c r="B21" s="15" t="s">
        <v>138</v>
      </c>
      <c r="C21" s="64" t="s">
        <v>137</v>
      </c>
      <c r="D21" s="64"/>
      <c r="E21" s="64"/>
      <c r="F21" s="64"/>
      <c r="O21" s="49" t="s">
        <v>157</v>
      </c>
    </row>
    <row r="22" spans="1:31" x14ac:dyDescent="0.3">
      <c r="A22" s="44">
        <f>ABS(B6)</f>
        <v>43.513800000000003</v>
      </c>
      <c r="B22" s="5" t="s">
        <v>158</v>
      </c>
      <c r="C22" s="15" t="str">
        <f>IF(A22&lt;=D22,"≤","≥")</f>
        <v>≤</v>
      </c>
      <c r="D22" s="44">
        <f>ROUND((0.6*0.67*B8*B18*(E18/B18)^0.5)/1000,2)</f>
        <v>358.41</v>
      </c>
      <c r="E22" s="5" t="s">
        <v>158</v>
      </c>
      <c r="F22" s="13" t="str">
        <f>IF(A22&lt;=D22,L11,L12)</f>
        <v>Safe</v>
      </c>
      <c r="O22" s="6" t="s">
        <v>98</v>
      </c>
      <c r="P22" s="4">
        <v>16.7</v>
      </c>
      <c r="Q22" s="4">
        <v>21.2</v>
      </c>
      <c r="R22" s="4">
        <v>4</v>
      </c>
      <c r="S22" s="4">
        <v>96</v>
      </c>
      <c r="T22" s="4">
        <v>100</v>
      </c>
      <c r="U22" s="4">
        <v>5</v>
      </c>
      <c r="V22" s="4">
        <v>8</v>
      </c>
      <c r="W22" s="4">
        <v>12</v>
      </c>
      <c r="X22" s="4">
        <v>349</v>
      </c>
      <c r="Y22" s="4">
        <v>73</v>
      </c>
      <c r="Z22" s="4">
        <v>4.0599999999999996</v>
      </c>
      <c r="AA22" s="4">
        <v>134</v>
      </c>
      <c r="AB22" s="4">
        <v>26.8</v>
      </c>
      <c r="AC22" s="4">
        <v>2.5099999999999998</v>
      </c>
      <c r="AD22" s="43">
        <v>83</v>
      </c>
      <c r="AE22" s="43">
        <v>41.1</v>
      </c>
    </row>
    <row r="23" spans="1:31" x14ac:dyDescent="0.3">
      <c r="F23" s="11"/>
      <c r="G23" s="64"/>
      <c r="H23" s="64"/>
      <c r="I23" s="23"/>
      <c r="J23" s="2"/>
      <c r="O23" s="6" t="s">
        <v>99</v>
      </c>
      <c r="P23" s="4">
        <v>19.899999999999999</v>
      </c>
      <c r="Q23" s="4">
        <v>25.3</v>
      </c>
      <c r="R23" s="4">
        <v>4.9000000000000004</v>
      </c>
      <c r="S23" s="4">
        <v>114</v>
      </c>
      <c r="T23" s="4">
        <v>120</v>
      </c>
      <c r="U23" s="4">
        <v>5</v>
      </c>
      <c r="V23" s="4">
        <v>8</v>
      </c>
      <c r="W23" s="4">
        <v>12</v>
      </c>
      <c r="X23" s="4">
        <v>606</v>
      </c>
      <c r="Y23" s="4">
        <v>106</v>
      </c>
      <c r="Z23" s="4">
        <v>4.8899999999999997</v>
      </c>
      <c r="AA23" s="4">
        <v>231</v>
      </c>
      <c r="AB23" s="4">
        <v>38.5</v>
      </c>
      <c r="AC23" s="4">
        <v>3.02</v>
      </c>
      <c r="AD23" s="43">
        <v>119</v>
      </c>
      <c r="AE23" s="43">
        <v>58.9</v>
      </c>
    </row>
    <row r="24" spans="1:31" ht="15" customHeight="1" x14ac:dyDescent="0.3">
      <c r="A24" s="70" t="s">
        <v>151</v>
      </c>
      <c r="B24" s="70"/>
      <c r="C24" s="70"/>
      <c r="F24" s="11"/>
      <c r="G24" s="64"/>
      <c r="H24" s="64"/>
      <c r="I24" s="23"/>
      <c r="J24" s="2"/>
      <c r="O24" s="6" t="s">
        <v>100</v>
      </c>
      <c r="P24" s="4">
        <v>24.7</v>
      </c>
      <c r="Q24" s="4">
        <v>31.4</v>
      </c>
      <c r="R24" s="4">
        <v>6.38</v>
      </c>
      <c r="S24" s="4">
        <v>133</v>
      </c>
      <c r="T24" s="4">
        <v>140</v>
      </c>
      <c r="U24" s="4">
        <v>5.5</v>
      </c>
      <c r="V24" s="4">
        <v>8.5</v>
      </c>
      <c r="W24" s="4">
        <v>12</v>
      </c>
      <c r="X24" s="4">
        <v>1030</v>
      </c>
      <c r="Y24" s="4">
        <v>155</v>
      </c>
      <c r="Z24" s="4">
        <v>5.73</v>
      </c>
      <c r="AA24" s="4">
        <v>389</v>
      </c>
      <c r="AB24" s="4">
        <v>55.6</v>
      </c>
      <c r="AC24" s="4">
        <v>3.52</v>
      </c>
      <c r="AD24" s="43">
        <v>173</v>
      </c>
      <c r="AE24" s="43">
        <v>84.8</v>
      </c>
    </row>
    <row r="25" spans="1:31" ht="15" x14ac:dyDescent="0.3">
      <c r="A25" s="18" t="s">
        <v>93</v>
      </c>
      <c r="B25" s="66" t="s">
        <v>146</v>
      </c>
      <c r="C25" s="67"/>
      <c r="D25" s="24">
        <f>0.7*0.4*H5</f>
        <v>1.036</v>
      </c>
      <c r="E25" s="19" t="s">
        <v>72</v>
      </c>
      <c r="O25" s="6" t="s">
        <v>101</v>
      </c>
      <c r="P25" s="4">
        <v>30.4</v>
      </c>
      <c r="Q25" s="4">
        <v>38.799999999999997</v>
      </c>
      <c r="R25" s="4">
        <v>8.0399999999999991</v>
      </c>
      <c r="S25" s="4">
        <v>152</v>
      </c>
      <c r="T25" s="4">
        <v>160</v>
      </c>
      <c r="U25" s="4">
        <v>6</v>
      </c>
      <c r="V25" s="4">
        <v>9</v>
      </c>
      <c r="W25" s="4">
        <v>15</v>
      </c>
      <c r="X25" s="4">
        <v>1670</v>
      </c>
      <c r="Y25" s="4">
        <v>220</v>
      </c>
      <c r="Z25" s="4">
        <v>6.57</v>
      </c>
      <c r="AA25" s="4">
        <v>616</v>
      </c>
      <c r="AB25" s="4">
        <v>76.900000000000006</v>
      </c>
      <c r="AC25" s="4">
        <v>3.98</v>
      </c>
      <c r="AD25" s="43">
        <v>245</v>
      </c>
      <c r="AE25" s="43">
        <v>118</v>
      </c>
    </row>
    <row r="26" spans="1:31" ht="15" x14ac:dyDescent="0.3">
      <c r="A26" s="18" t="s">
        <v>94</v>
      </c>
      <c r="B26" s="66" t="s">
        <v>147</v>
      </c>
      <c r="C26" s="67"/>
      <c r="D26" s="24">
        <f>0.77*0.4*H5</f>
        <v>1.1396000000000002</v>
      </c>
      <c r="E26" s="19" t="s">
        <v>72</v>
      </c>
      <c r="O26" s="6" t="s">
        <v>102</v>
      </c>
      <c r="P26" s="4">
        <v>35.5</v>
      </c>
      <c r="Q26" s="4">
        <v>45.3</v>
      </c>
      <c r="R26" s="4">
        <v>9.1199999999999992</v>
      </c>
      <c r="S26" s="4">
        <v>171</v>
      </c>
      <c r="T26" s="4">
        <v>180</v>
      </c>
      <c r="U26" s="4">
        <v>6</v>
      </c>
      <c r="V26" s="4">
        <v>9.5</v>
      </c>
      <c r="W26" s="4">
        <v>15</v>
      </c>
      <c r="X26" s="4">
        <v>2510</v>
      </c>
      <c r="Y26" s="4">
        <v>294</v>
      </c>
      <c r="Z26" s="4">
        <v>7.45</v>
      </c>
      <c r="AA26" s="4">
        <v>925</v>
      </c>
      <c r="AB26" s="4">
        <v>103</v>
      </c>
      <c r="AC26" s="4">
        <v>4.5199999999999996</v>
      </c>
      <c r="AD26" s="43">
        <v>325</v>
      </c>
      <c r="AE26" s="43">
        <v>156</v>
      </c>
    </row>
    <row r="27" spans="1:31" x14ac:dyDescent="0.3">
      <c r="O27" s="6" t="s">
        <v>103</v>
      </c>
      <c r="P27" s="4">
        <v>42.3</v>
      </c>
      <c r="Q27" s="4">
        <v>53.8</v>
      </c>
      <c r="R27" s="4">
        <v>11.05</v>
      </c>
      <c r="S27" s="4">
        <v>190</v>
      </c>
      <c r="T27" s="4">
        <v>200</v>
      </c>
      <c r="U27" s="4">
        <v>6.5</v>
      </c>
      <c r="V27" s="4">
        <v>10</v>
      </c>
      <c r="W27" s="4">
        <v>18</v>
      </c>
      <c r="X27" s="4">
        <v>3690</v>
      </c>
      <c r="Y27" s="4">
        <v>389</v>
      </c>
      <c r="Z27" s="4">
        <v>8.2799999999999994</v>
      </c>
      <c r="AA27" s="4">
        <v>1340</v>
      </c>
      <c r="AB27" s="4">
        <v>134</v>
      </c>
      <c r="AC27" s="4">
        <v>4.9800000000000004</v>
      </c>
      <c r="AD27" s="43">
        <v>429</v>
      </c>
      <c r="AE27" s="43">
        <v>204</v>
      </c>
    </row>
    <row r="28" spans="1:31" ht="15" x14ac:dyDescent="0.3">
      <c r="A28" s="44" t="s">
        <v>145</v>
      </c>
      <c r="B28" s="44">
        <f>ROUND((B13*B9*2)+(B13-2*B14-B12)*B9*2,2)</f>
        <v>86.4</v>
      </c>
      <c r="C28" s="2" t="s">
        <v>129</v>
      </c>
      <c r="D28" s="44" t="s">
        <v>148</v>
      </c>
      <c r="E28" s="44">
        <f>B28+B29</f>
        <v>201.60000000000002</v>
      </c>
      <c r="F28" s="2" t="s">
        <v>129</v>
      </c>
      <c r="L28" s="44"/>
      <c r="M28" s="44"/>
      <c r="O28" s="6" t="s">
        <v>104</v>
      </c>
      <c r="P28" s="4">
        <v>50.5</v>
      </c>
      <c r="Q28" s="4">
        <v>64.3</v>
      </c>
      <c r="R28" s="4">
        <v>13.16</v>
      </c>
      <c r="S28" s="4">
        <v>210</v>
      </c>
      <c r="T28" s="4">
        <v>220</v>
      </c>
      <c r="U28" s="4">
        <v>7</v>
      </c>
      <c r="V28" s="4">
        <v>11</v>
      </c>
      <c r="W28" s="4">
        <v>18</v>
      </c>
      <c r="X28" s="4">
        <v>5410</v>
      </c>
      <c r="Y28" s="4">
        <v>515</v>
      </c>
      <c r="Z28" s="4">
        <v>9.17</v>
      </c>
      <c r="AA28" s="4">
        <v>1950</v>
      </c>
      <c r="AB28" s="4">
        <v>178</v>
      </c>
      <c r="AC28" s="4">
        <v>5.51</v>
      </c>
      <c r="AD28" s="43">
        <v>568</v>
      </c>
      <c r="AE28" s="43">
        <v>271</v>
      </c>
    </row>
    <row r="29" spans="1:31" ht="15" x14ac:dyDescent="0.3">
      <c r="A29" s="44" t="s">
        <v>144</v>
      </c>
      <c r="B29" s="44">
        <f>(B11-4*B14)*B9*2</f>
        <v>115.2</v>
      </c>
      <c r="C29" s="2" t="s">
        <v>129</v>
      </c>
      <c r="L29" s="44">
        <v>1.2</v>
      </c>
      <c r="M29" s="44"/>
      <c r="O29" s="6" t="s">
        <v>105</v>
      </c>
      <c r="P29" s="4">
        <v>60.3</v>
      </c>
      <c r="Q29" s="4">
        <v>76.8</v>
      </c>
      <c r="R29" s="4">
        <v>15.45</v>
      </c>
      <c r="S29" s="4">
        <v>230</v>
      </c>
      <c r="T29" s="4">
        <v>240</v>
      </c>
      <c r="U29" s="4">
        <v>7.5</v>
      </c>
      <c r="V29" s="4">
        <v>12</v>
      </c>
      <c r="W29" s="4">
        <v>21</v>
      </c>
      <c r="X29" s="4">
        <v>7760</v>
      </c>
      <c r="Y29" s="4">
        <v>675</v>
      </c>
      <c r="Z29" s="4">
        <v>10.1</v>
      </c>
      <c r="AA29" s="4">
        <v>2770</v>
      </c>
      <c r="AB29" s="4">
        <v>231</v>
      </c>
      <c r="AC29" s="4">
        <v>6</v>
      </c>
      <c r="AD29" s="43">
        <v>745</v>
      </c>
      <c r="AE29" s="43">
        <v>325</v>
      </c>
    </row>
    <row r="30" spans="1:31" x14ac:dyDescent="0.3">
      <c r="A30" s="44" t="s">
        <v>149</v>
      </c>
      <c r="B30" s="44" t="str">
        <f>IF(B6&lt;0,"Neglected",ROUND(B6/E28,2))</f>
        <v>Neglected</v>
      </c>
      <c r="C30" s="2" t="str">
        <f>IF(B6&lt;0,"","t/cm2")</f>
        <v/>
      </c>
      <c r="D30" s="13" t="str">
        <f>IF(B6&lt;0,"",IF(B30&lt;D25,L11,L12))</f>
        <v/>
      </c>
      <c r="L30" s="44">
        <v>1.6</v>
      </c>
      <c r="M30" s="44"/>
      <c r="O30" s="6" t="s">
        <v>106</v>
      </c>
      <c r="P30" s="4">
        <v>68.2</v>
      </c>
      <c r="Q30" s="4">
        <v>86.8</v>
      </c>
      <c r="R30" s="4">
        <v>16.899999999999999</v>
      </c>
      <c r="S30" s="4">
        <v>250</v>
      </c>
      <c r="T30" s="4">
        <v>260</v>
      </c>
      <c r="U30" s="4">
        <v>7.5</v>
      </c>
      <c r="V30" s="4">
        <v>12.5</v>
      </c>
      <c r="W30" s="4">
        <v>24</v>
      </c>
      <c r="X30" s="4">
        <v>10450</v>
      </c>
      <c r="Y30" s="4">
        <v>836</v>
      </c>
      <c r="Z30" s="4">
        <v>11</v>
      </c>
      <c r="AA30" s="4">
        <v>3670</v>
      </c>
      <c r="AB30" s="4">
        <v>282</v>
      </c>
      <c r="AC30" s="4">
        <v>6.5</v>
      </c>
      <c r="AD30" s="43">
        <v>920</v>
      </c>
      <c r="AE30" s="43">
        <v>430</v>
      </c>
    </row>
    <row r="31" spans="1:31" ht="15" x14ac:dyDescent="0.3">
      <c r="A31" s="44" t="s">
        <v>159</v>
      </c>
      <c r="B31" s="50">
        <f>ROUND((B7+0.6*ABS(B6))/B29,2)</f>
        <v>0.23</v>
      </c>
      <c r="C31" s="2" t="s">
        <v>72</v>
      </c>
      <c r="D31" s="13" t="str">
        <f>IF(B31&lt;D25,L11,L12)</f>
        <v>Safe</v>
      </c>
      <c r="L31" s="44">
        <v>2</v>
      </c>
      <c r="M31" s="44"/>
      <c r="O31" s="6" t="s">
        <v>107</v>
      </c>
      <c r="P31" s="4">
        <v>76.400000000000006</v>
      </c>
      <c r="Q31" s="4">
        <v>97.3</v>
      </c>
      <c r="R31" s="4">
        <v>19.5</v>
      </c>
      <c r="S31" s="4">
        <v>270</v>
      </c>
      <c r="T31" s="4">
        <v>280</v>
      </c>
      <c r="U31" s="4">
        <v>8</v>
      </c>
      <c r="V31" s="4">
        <v>13</v>
      </c>
      <c r="W31" s="4">
        <v>24</v>
      </c>
      <c r="X31" s="4">
        <v>13670</v>
      </c>
      <c r="Y31" s="4">
        <v>1010</v>
      </c>
      <c r="Z31" s="4">
        <v>11.9</v>
      </c>
      <c r="AA31" s="4">
        <v>4760</v>
      </c>
      <c r="AB31" s="4">
        <v>340</v>
      </c>
      <c r="AC31" s="4">
        <v>7</v>
      </c>
      <c r="AD31" s="43">
        <v>1112</v>
      </c>
      <c r="AE31" s="43">
        <v>518</v>
      </c>
    </row>
    <row r="32" spans="1:31" x14ac:dyDescent="0.3">
      <c r="A32" s="44" t="str">
        <f>IF(B6&lt;0,"","Ruw,eff  =")</f>
        <v/>
      </c>
      <c r="B32" s="44" t="str">
        <f>IF(B6&lt;0,"",ROUND(SQRT(3*(B30+B31)^2),2))</f>
        <v/>
      </c>
      <c r="C32" s="2" t="str">
        <f>IF(B6&lt;0,"","t/cm2")</f>
        <v/>
      </c>
      <c r="D32" s="13" t="str">
        <f>IF(B6&lt;0,"",IF(B32&lt;D26,L11,L12))</f>
        <v/>
      </c>
      <c r="L32" s="44">
        <v>2.4</v>
      </c>
      <c r="M32" s="44"/>
      <c r="O32" s="6" t="s">
        <v>108</v>
      </c>
      <c r="P32" s="4">
        <v>88.3</v>
      </c>
      <c r="Q32" s="4">
        <v>113</v>
      </c>
      <c r="R32" s="4">
        <v>22.3</v>
      </c>
      <c r="S32" s="4">
        <v>290</v>
      </c>
      <c r="T32" s="4">
        <v>300</v>
      </c>
      <c r="U32" s="4">
        <v>8.5</v>
      </c>
      <c r="V32" s="4">
        <v>14</v>
      </c>
      <c r="W32" s="4">
        <v>27</v>
      </c>
      <c r="X32" s="4">
        <v>18260</v>
      </c>
      <c r="Y32" s="4">
        <v>1260</v>
      </c>
      <c r="Z32" s="4">
        <v>12.7</v>
      </c>
      <c r="AA32" s="4">
        <v>6310</v>
      </c>
      <c r="AB32" s="4">
        <v>421</v>
      </c>
      <c r="AC32" s="4">
        <v>7.49</v>
      </c>
      <c r="AD32" s="43">
        <v>1383</v>
      </c>
      <c r="AE32" s="43">
        <v>641</v>
      </c>
    </row>
    <row r="33" spans="1:31" ht="18" x14ac:dyDescent="0.3">
      <c r="A33" s="70" t="s">
        <v>150</v>
      </c>
      <c r="B33" s="70"/>
      <c r="C33" s="70"/>
      <c r="K33" s="44"/>
      <c r="L33" s="44"/>
      <c r="M33" s="44"/>
      <c r="O33" s="6" t="s">
        <v>109</v>
      </c>
      <c r="P33" s="4">
        <v>97.6</v>
      </c>
      <c r="Q33" s="4">
        <v>124</v>
      </c>
      <c r="R33" s="4">
        <v>25.1</v>
      </c>
      <c r="S33" s="4">
        <v>310</v>
      </c>
      <c r="T33" s="4">
        <v>300</v>
      </c>
      <c r="U33" s="4">
        <v>9</v>
      </c>
      <c r="V33" s="4">
        <v>15.5</v>
      </c>
      <c r="W33" s="4">
        <v>27</v>
      </c>
      <c r="X33" s="4">
        <v>22930</v>
      </c>
      <c r="Y33" s="4">
        <v>1480</v>
      </c>
      <c r="Z33" s="4">
        <v>13.6</v>
      </c>
      <c r="AA33" s="4">
        <v>6990</v>
      </c>
      <c r="AB33" s="4">
        <v>466</v>
      </c>
      <c r="AC33" s="4">
        <v>7.49</v>
      </c>
      <c r="AD33" s="43">
        <v>1628</v>
      </c>
      <c r="AE33" s="43">
        <v>710</v>
      </c>
    </row>
    <row r="34" spans="1:31" x14ac:dyDescent="0.3">
      <c r="A34" s="44" t="s">
        <v>152</v>
      </c>
      <c r="B34" s="54">
        <v>4</v>
      </c>
      <c r="E34" s="14" t="s">
        <v>84</v>
      </c>
      <c r="F34" s="53">
        <v>20</v>
      </c>
      <c r="G34" s="9" t="s">
        <v>85</v>
      </c>
      <c r="H34" s="53">
        <v>8.8000000000000007</v>
      </c>
      <c r="K34" s="44"/>
      <c r="L34" s="44"/>
      <c r="M34" s="44"/>
      <c r="O34" s="6" t="s">
        <v>110</v>
      </c>
      <c r="P34" s="4">
        <v>105</v>
      </c>
      <c r="Q34" s="4">
        <v>133</v>
      </c>
      <c r="R34" s="4">
        <v>28.2</v>
      </c>
      <c r="S34" s="4">
        <v>330</v>
      </c>
      <c r="T34" s="4">
        <v>300</v>
      </c>
      <c r="U34" s="4">
        <v>9.5</v>
      </c>
      <c r="V34" s="4">
        <v>16.5</v>
      </c>
      <c r="W34" s="4">
        <v>27</v>
      </c>
      <c r="X34" s="4">
        <v>27690</v>
      </c>
      <c r="Y34" s="4">
        <v>1680</v>
      </c>
      <c r="Z34" s="4">
        <v>14.4</v>
      </c>
      <c r="AA34" s="4">
        <v>7440</v>
      </c>
      <c r="AB34" s="4">
        <v>496</v>
      </c>
      <c r="AC34" s="4">
        <v>7.46</v>
      </c>
      <c r="AD34" s="43">
        <v>1850</v>
      </c>
      <c r="AE34" s="43">
        <v>756</v>
      </c>
    </row>
    <row r="35" spans="1:31" ht="15" x14ac:dyDescent="0.3">
      <c r="A35" s="15" t="s">
        <v>155</v>
      </c>
      <c r="B35" s="47">
        <v>2.4</v>
      </c>
      <c r="E35" s="15" t="s">
        <v>87</v>
      </c>
      <c r="F35" s="44">
        <f>VLOOKUP(F34,AG7:AI14,3,0)</f>
        <v>2.4500000000000002</v>
      </c>
      <c r="G35" s="5" t="s">
        <v>76</v>
      </c>
      <c r="K35" s="44"/>
      <c r="L35" s="44"/>
      <c r="M35" s="44"/>
      <c r="O35" s="6" t="s">
        <v>111</v>
      </c>
      <c r="P35" s="4">
        <v>112</v>
      </c>
      <c r="Q35" s="4">
        <v>143</v>
      </c>
      <c r="R35" s="4">
        <v>31.5</v>
      </c>
      <c r="S35" s="4">
        <v>350</v>
      </c>
      <c r="T35" s="4">
        <v>300</v>
      </c>
      <c r="U35" s="4">
        <v>10</v>
      </c>
      <c r="V35" s="4">
        <v>17.5</v>
      </c>
      <c r="W35" s="4">
        <v>27</v>
      </c>
      <c r="X35" s="4">
        <v>33090</v>
      </c>
      <c r="Y35" s="4">
        <v>1890</v>
      </c>
      <c r="Z35" s="4">
        <v>15.2</v>
      </c>
      <c r="AA35" s="4">
        <v>7890</v>
      </c>
      <c r="AB35" s="4">
        <v>526</v>
      </c>
      <c r="AC35" s="4">
        <v>7.43</v>
      </c>
      <c r="AD35" s="43">
        <v>2088</v>
      </c>
      <c r="AE35" s="43">
        <v>802</v>
      </c>
    </row>
    <row r="36" spans="1:31" ht="15" x14ac:dyDescent="0.3">
      <c r="A36" s="44" t="s">
        <v>161</v>
      </c>
      <c r="B36" t="s">
        <v>2</v>
      </c>
      <c r="E36" s="46" t="s">
        <v>86</v>
      </c>
      <c r="F36" s="44">
        <f>VLOOKUP(H34,AJ7:AL13,3,0)</f>
        <v>8</v>
      </c>
      <c r="G36" s="2" t="s">
        <v>72</v>
      </c>
      <c r="K36" s="44"/>
      <c r="L36" s="44"/>
      <c r="M36" s="44"/>
      <c r="O36" s="6" t="s">
        <v>112</v>
      </c>
      <c r="P36" s="4">
        <v>125</v>
      </c>
      <c r="Q36" s="4">
        <v>159</v>
      </c>
      <c r="R36" s="4">
        <v>38.700000000000003</v>
      </c>
      <c r="S36" s="4">
        <v>390</v>
      </c>
      <c r="T36" s="4">
        <v>300</v>
      </c>
      <c r="U36" s="4">
        <v>11</v>
      </c>
      <c r="V36" s="4">
        <v>19</v>
      </c>
      <c r="W36" s="4">
        <v>27</v>
      </c>
      <c r="X36" s="4">
        <v>45070</v>
      </c>
      <c r="Y36" s="4">
        <v>2310</v>
      </c>
      <c r="Z36" s="4">
        <v>16.8</v>
      </c>
      <c r="AA36" s="4">
        <v>8560</v>
      </c>
      <c r="AB36" s="4">
        <v>571</v>
      </c>
      <c r="AC36" s="4">
        <v>7.34</v>
      </c>
      <c r="AD36" s="43">
        <v>2562</v>
      </c>
      <c r="AE36" s="43">
        <v>873</v>
      </c>
    </row>
    <row r="37" spans="1:31" x14ac:dyDescent="0.3">
      <c r="A37" s="44" t="str">
        <f>IF(B6&lt;0,"","Ru,t  =")</f>
        <v/>
      </c>
      <c r="B37" s="44" t="str">
        <f>IF(B6&lt;0,"",ROUND(B6/B34,2))</f>
        <v/>
      </c>
      <c r="C37" s="5" t="str">
        <f>IF(B6&lt;0,"","t")</f>
        <v/>
      </c>
      <c r="K37" s="44"/>
      <c r="L37" s="44"/>
      <c r="M37" s="44"/>
      <c r="O37" s="6" t="s">
        <v>113</v>
      </c>
      <c r="P37" s="4">
        <v>140</v>
      </c>
      <c r="Q37" s="4">
        <v>178</v>
      </c>
      <c r="R37" s="4">
        <v>45.8</v>
      </c>
      <c r="S37" s="4">
        <v>440</v>
      </c>
      <c r="T37" s="4">
        <v>300</v>
      </c>
      <c r="U37" s="4">
        <v>11.5</v>
      </c>
      <c r="V37" s="4">
        <v>21</v>
      </c>
      <c r="W37" s="4">
        <v>27</v>
      </c>
      <c r="X37" s="4">
        <v>63720</v>
      </c>
      <c r="Y37" s="4">
        <v>2900</v>
      </c>
      <c r="Z37" s="4">
        <v>18.899999999999999</v>
      </c>
      <c r="AA37" s="4">
        <v>9470</v>
      </c>
      <c r="AB37" s="4">
        <v>631</v>
      </c>
      <c r="AC37" s="4">
        <v>7.29</v>
      </c>
      <c r="AD37" s="43">
        <v>3216</v>
      </c>
      <c r="AE37" s="43">
        <v>966</v>
      </c>
    </row>
    <row r="38" spans="1:31" x14ac:dyDescent="0.3">
      <c r="A38" s="44" t="s">
        <v>156</v>
      </c>
      <c r="B38" s="44">
        <f>ROUND(B7/B34,2)</f>
        <v>-0.01</v>
      </c>
      <c r="C38" s="5" t="str">
        <f>IF(B7&lt;0,"","t")</f>
        <v/>
      </c>
      <c r="K38" s="9"/>
      <c r="L38" s="44"/>
      <c r="M38" s="20"/>
      <c r="N38" s="21"/>
      <c r="O38" s="6" t="s">
        <v>114</v>
      </c>
      <c r="P38" s="4">
        <v>155</v>
      </c>
      <c r="Q38" s="4">
        <v>198</v>
      </c>
      <c r="R38" s="4">
        <v>53.3</v>
      </c>
      <c r="S38" s="4">
        <v>490</v>
      </c>
      <c r="T38" s="4">
        <v>300</v>
      </c>
      <c r="U38" s="4">
        <v>12</v>
      </c>
      <c r="V38" s="4">
        <v>23</v>
      </c>
      <c r="W38" s="4">
        <v>27</v>
      </c>
      <c r="X38" s="4">
        <v>86970</v>
      </c>
      <c r="Y38" s="4">
        <v>3550</v>
      </c>
      <c r="Z38" s="4">
        <v>21</v>
      </c>
      <c r="AA38" s="4">
        <v>10370</v>
      </c>
      <c r="AB38" s="4">
        <v>691</v>
      </c>
      <c r="AC38" s="4">
        <v>7.24</v>
      </c>
      <c r="AD38" s="43">
        <v>3949</v>
      </c>
      <c r="AE38" s="43">
        <v>1059</v>
      </c>
    </row>
    <row r="39" spans="1:31" x14ac:dyDescent="0.3">
      <c r="A39" s="44" t="str">
        <f>IF(B6&lt;0,"","φt.Rnt   =")</f>
        <v/>
      </c>
      <c r="B39" s="64" t="str">
        <f>IF(B6&lt;0,"","0.8 x 0.66 x Fub x As =")</f>
        <v/>
      </c>
      <c r="C39" s="64"/>
      <c r="D39" s="64"/>
      <c r="E39" s="44" t="str">
        <f>IF(B6&lt;0,"",ROUND(0.8*0.66*F36*F35,2))</f>
        <v/>
      </c>
      <c r="F39" s="5" t="str">
        <f>IF(B6&lt;0,"","t")</f>
        <v/>
      </c>
      <c r="G39" s="13" t="str">
        <f>IF(B6&lt;0,"",IF(B37&lt;E39,L11,L12))</f>
        <v/>
      </c>
      <c r="K39" s="9"/>
      <c r="L39" s="44"/>
      <c r="N39" s="21"/>
      <c r="O39" s="6" t="s">
        <v>115</v>
      </c>
      <c r="P39" s="4">
        <v>166</v>
      </c>
      <c r="Q39" s="4">
        <v>212</v>
      </c>
      <c r="R39" s="4">
        <v>61.5</v>
      </c>
      <c r="S39" s="4">
        <v>540</v>
      </c>
      <c r="T39" s="4">
        <v>300</v>
      </c>
      <c r="U39" s="4">
        <v>12.5</v>
      </c>
      <c r="V39" s="4">
        <v>24</v>
      </c>
      <c r="W39" s="4">
        <v>27</v>
      </c>
      <c r="X39" s="4">
        <v>111900</v>
      </c>
      <c r="Y39" s="4">
        <v>4150</v>
      </c>
      <c r="Z39" s="4">
        <v>23</v>
      </c>
      <c r="AA39" s="4">
        <v>10820</v>
      </c>
      <c r="AB39" s="4">
        <v>721</v>
      </c>
      <c r="AC39" s="4">
        <v>7.15</v>
      </c>
      <c r="AD39" s="43">
        <v>4622</v>
      </c>
      <c r="AE39" s="43">
        <v>1107</v>
      </c>
    </row>
    <row r="40" spans="1:31" x14ac:dyDescent="0.3">
      <c r="A40" s="44" t="s">
        <v>154</v>
      </c>
      <c r="B40" s="64" t="s">
        <v>160</v>
      </c>
      <c r="C40" s="64"/>
      <c r="D40" s="64"/>
      <c r="E40" s="44">
        <f>ROUND(0.7*F34*0.1*F19*B35*H5,2)</f>
        <v>24.86</v>
      </c>
      <c r="F40" s="5" t="s">
        <v>0</v>
      </c>
      <c r="G40" s="64">
        <f>ROUND(MIN(E40:E41),2)</f>
        <v>6</v>
      </c>
      <c r="H40" s="64" t="s">
        <v>0</v>
      </c>
      <c r="I40" s="68" t="str">
        <f>IF(B38&lt;=G40,L11,L12)</f>
        <v>Safe</v>
      </c>
      <c r="K40" s="9"/>
      <c r="L40" s="16"/>
      <c r="N40" s="21"/>
      <c r="O40" s="6" t="s">
        <v>116</v>
      </c>
      <c r="P40" s="4">
        <v>178</v>
      </c>
      <c r="Q40" s="4">
        <v>226</v>
      </c>
      <c r="R40" s="4">
        <v>70.2</v>
      </c>
      <c r="S40" s="4">
        <v>590</v>
      </c>
      <c r="T40" s="4">
        <v>300</v>
      </c>
      <c r="U40" s="4">
        <v>13</v>
      </c>
      <c r="V40" s="4">
        <v>25</v>
      </c>
      <c r="W40" s="4">
        <v>27</v>
      </c>
      <c r="X40" s="4">
        <v>141200</v>
      </c>
      <c r="Y40" s="4">
        <v>4790</v>
      </c>
      <c r="Z40" s="4">
        <v>25</v>
      </c>
      <c r="AA40" s="4">
        <v>11270</v>
      </c>
      <c r="AB40" s="4">
        <v>751</v>
      </c>
      <c r="AC40" s="4">
        <v>7.05</v>
      </c>
      <c r="AD40" s="43">
        <v>5350</v>
      </c>
      <c r="AE40" s="43">
        <v>1156</v>
      </c>
    </row>
    <row r="41" spans="1:31" x14ac:dyDescent="0.3">
      <c r="A41" s="44" t="s">
        <v>153</v>
      </c>
      <c r="B41" s="59" t="str">
        <f>IF(OR(H34=AJ8,H34=AJ10,H34=AJ11),".85*0.6 x 0.5 x Fub x As x n =",".85*0.6 x 0.6 x Fub x As x n =")</f>
        <v>.85*0.6 x 0.6 x Fub x As x n =</v>
      </c>
      <c r="C41" s="59"/>
      <c r="D41" s="59"/>
      <c r="E41" s="7">
        <f>IF(OR(H34=AJ8,H34=AJ10,H34=AJ11),0.85*0.6*0.5*F36*F35*1,0.85*0.6*0.6*F36*F35*1)</f>
        <v>5.9976000000000003</v>
      </c>
      <c r="F41" s="5" t="s">
        <v>0</v>
      </c>
      <c r="G41" s="64"/>
      <c r="H41" s="64"/>
      <c r="I41" s="68"/>
      <c r="N41" s="21"/>
      <c r="O41" s="6" t="s">
        <v>117</v>
      </c>
      <c r="P41" s="4">
        <v>190</v>
      </c>
      <c r="Q41" s="4">
        <v>242</v>
      </c>
      <c r="R41" s="4">
        <v>79.400000000000006</v>
      </c>
      <c r="S41" s="4">
        <v>640</v>
      </c>
      <c r="T41" s="4">
        <v>300</v>
      </c>
      <c r="U41" s="4">
        <v>13.5</v>
      </c>
      <c r="V41" s="4">
        <v>26</v>
      </c>
      <c r="W41" s="4">
        <v>27</v>
      </c>
      <c r="X41" s="4">
        <v>175200</v>
      </c>
      <c r="Y41" s="4">
        <v>5470</v>
      </c>
      <c r="Z41" s="4">
        <v>26.9</v>
      </c>
      <c r="AA41" s="4">
        <v>11720</v>
      </c>
      <c r="AB41" s="4">
        <v>782</v>
      </c>
      <c r="AC41" s="4">
        <v>6.97</v>
      </c>
      <c r="AD41" s="43">
        <v>6136</v>
      </c>
      <c r="AE41" s="43">
        <v>1205</v>
      </c>
    </row>
    <row r="42" spans="1:31" x14ac:dyDescent="0.3">
      <c r="O42" s="6" t="s">
        <v>118</v>
      </c>
      <c r="P42" s="4">
        <v>204</v>
      </c>
      <c r="Q42" s="4">
        <v>260</v>
      </c>
      <c r="R42" s="4">
        <v>92.2</v>
      </c>
      <c r="S42" s="4">
        <v>690</v>
      </c>
      <c r="T42" s="4">
        <v>300</v>
      </c>
      <c r="U42" s="4">
        <v>14.5</v>
      </c>
      <c r="V42" s="4">
        <v>27</v>
      </c>
      <c r="W42" s="4">
        <v>27</v>
      </c>
      <c r="X42" s="4">
        <v>215300</v>
      </c>
      <c r="Y42" s="4">
        <v>6240</v>
      </c>
      <c r="Z42" s="4">
        <v>28.8</v>
      </c>
      <c r="AA42" s="4">
        <v>12180</v>
      </c>
      <c r="AB42" s="4">
        <v>812</v>
      </c>
      <c r="AC42" s="4">
        <v>6.84</v>
      </c>
      <c r="AD42" s="43">
        <v>7032</v>
      </c>
      <c r="AE42" s="43">
        <v>1257</v>
      </c>
    </row>
    <row r="43" spans="1:31" x14ac:dyDescent="0.3">
      <c r="O43" s="6" t="s">
        <v>119</v>
      </c>
      <c r="P43" s="4">
        <v>224</v>
      </c>
      <c r="Q43" s="4">
        <v>286</v>
      </c>
      <c r="R43" s="4">
        <v>110</v>
      </c>
      <c r="S43" s="4">
        <v>790</v>
      </c>
      <c r="T43" s="4">
        <v>300</v>
      </c>
      <c r="U43" s="4">
        <v>15</v>
      </c>
      <c r="V43" s="4">
        <v>28</v>
      </c>
      <c r="W43" s="4">
        <v>30</v>
      </c>
      <c r="X43" s="4">
        <v>303400</v>
      </c>
      <c r="Y43" s="4">
        <v>7680</v>
      </c>
      <c r="Z43" s="4">
        <v>32.6</v>
      </c>
      <c r="AA43" s="4">
        <v>12640</v>
      </c>
      <c r="AB43" s="4">
        <v>843</v>
      </c>
      <c r="AC43" s="4">
        <v>6.65</v>
      </c>
      <c r="AD43" s="43">
        <v>8699</v>
      </c>
      <c r="AE43" s="43">
        <v>1312</v>
      </c>
    </row>
    <row r="44" spans="1:31" x14ac:dyDescent="0.3">
      <c r="O44" s="6" t="s">
        <v>120</v>
      </c>
      <c r="P44" s="4">
        <v>252</v>
      </c>
      <c r="Q44" s="4">
        <v>321</v>
      </c>
      <c r="R44" s="4">
        <v>133</v>
      </c>
      <c r="S44" s="4">
        <v>890</v>
      </c>
      <c r="T44" s="4">
        <v>300</v>
      </c>
      <c r="U44" s="4">
        <v>16</v>
      </c>
      <c r="V44" s="4">
        <v>30</v>
      </c>
      <c r="W44" s="4">
        <v>30</v>
      </c>
      <c r="X44" s="4">
        <v>422100</v>
      </c>
      <c r="Y44" s="4">
        <v>9480</v>
      </c>
      <c r="Z44" s="4">
        <v>36.299999999999997</v>
      </c>
      <c r="AA44" s="4">
        <v>13550</v>
      </c>
      <c r="AB44" s="4">
        <v>903</v>
      </c>
      <c r="AC44" s="4">
        <v>6.5</v>
      </c>
      <c r="AD44" s="43">
        <v>10810</v>
      </c>
      <c r="AE44" s="43">
        <v>1414</v>
      </c>
    </row>
    <row r="45" spans="1:31" x14ac:dyDescent="0.3">
      <c r="O45" s="6" t="s">
        <v>121</v>
      </c>
      <c r="P45" s="4">
        <v>272</v>
      </c>
      <c r="Q45" s="4">
        <v>347</v>
      </c>
      <c r="R45" s="4">
        <v>153</v>
      </c>
      <c r="S45" s="4">
        <v>990</v>
      </c>
      <c r="T45" s="4">
        <v>300</v>
      </c>
      <c r="U45" s="4">
        <v>16.5</v>
      </c>
      <c r="V45" s="4">
        <v>31</v>
      </c>
      <c r="W45" s="4">
        <v>30</v>
      </c>
      <c r="X45" s="4">
        <v>553800</v>
      </c>
      <c r="Y45" s="4">
        <v>11190</v>
      </c>
      <c r="Z45" s="4">
        <v>40</v>
      </c>
      <c r="AA45" s="4">
        <v>14000</v>
      </c>
      <c r="AB45" s="4">
        <v>934</v>
      </c>
      <c r="AC45" s="4">
        <v>6.35</v>
      </c>
      <c r="AD45" s="43">
        <v>12820</v>
      </c>
      <c r="AE45" s="43">
        <v>1470</v>
      </c>
    </row>
    <row r="47" spans="1:31" x14ac:dyDescent="0.3">
      <c r="O47" s="6" t="s">
        <v>25</v>
      </c>
      <c r="P47" s="4">
        <v>20.399999999999999</v>
      </c>
      <c r="Q47" s="4">
        <v>26</v>
      </c>
      <c r="R47" s="4">
        <v>4.8</v>
      </c>
      <c r="S47" s="4">
        <v>100</v>
      </c>
      <c r="T47" s="4">
        <v>100</v>
      </c>
      <c r="U47" s="4">
        <v>6</v>
      </c>
      <c r="V47" s="4">
        <v>10</v>
      </c>
      <c r="W47" s="4">
        <v>12</v>
      </c>
      <c r="X47" s="4">
        <v>450</v>
      </c>
      <c r="Y47" s="4">
        <v>89.9</v>
      </c>
      <c r="Z47" s="4">
        <v>4.16</v>
      </c>
      <c r="AA47" s="4">
        <v>167</v>
      </c>
      <c r="AB47" s="4">
        <v>33.5</v>
      </c>
      <c r="AC47" s="4">
        <v>2.5299999999999998</v>
      </c>
      <c r="AD47" s="4">
        <v>104</v>
      </c>
      <c r="AE47" s="4">
        <v>51.4</v>
      </c>
    </row>
    <row r="48" spans="1:31" x14ac:dyDescent="0.3">
      <c r="O48" s="6" t="s">
        <v>9</v>
      </c>
      <c r="P48" s="4">
        <v>26.7</v>
      </c>
      <c r="Q48" s="4">
        <v>34</v>
      </c>
      <c r="R48" s="4">
        <v>6.37</v>
      </c>
      <c r="S48" s="4">
        <v>120</v>
      </c>
      <c r="T48" s="4">
        <v>120</v>
      </c>
      <c r="U48" s="4">
        <v>6.5</v>
      </c>
      <c r="V48" s="4">
        <v>11</v>
      </c>
      <c r="W48" s="4">
        <v>12</v>
      </c>
      <c r="X48" s="4">
        <v>864</v>
      </c>
      <c r="Y48" s="4">
        <v>144</v>
      </c>
      <c r="Z48" s="4">
        <v>5.04</v>
      </c>
      <c r="AA48" s="4">
        <v>318</v>
      </c>
      <c r="AB48" s="4">
        <v>52.9</v>
      </c>
      <c r="AC48" s="4">
        <v>3.06</v>
      </c>
      <c r="AD48" s="4">
        <v>165</v>
      </c>
      <c r="AE48" s="4">
        <v>81</v>
      </c>
    </row>
    <row r="49" spans="1:31" x14ac:dyDescent="0.3">
      <c r="O49" s="6" t="s">
        <v>26</v>
      </c>
      <c r="P49" s="4">
        <v>33.700000000000003</v>
      </c>
      <c r="Q49" s="4">
        <v>43</v>
      </c>
      <c r="R49" s="4">
        <v>8.1199999999999992</v>
      </c>
      <c r="S49" s="4">
        <v>140</v>
      </c>
      <c r="T49" s="4">
        <v>140</v>
      </c>
      <c r="U49" s="4">
        <v>7</v>
      </c>
      <c r="V49" s="4">
        <v>12</v>
      </c>
      <c r="W49" s="4">
        <v>12</v>
      </c>
      <c r="X49" s="4">
        <v>1510</v>
      </c>
      <c r="Y49" s="4">
        <v>216</v>
      </c>
      <c r="Z49" s="4">
        <v>5.93</v>
      </c>
      <c r="AA49" s="4">
        <v>550</v>
      </c>
      <c r="AB49" s="4">
        <v>78.5</v>
      </c>
      <c r="AC49" s="4">
        <v>3.58</v>
      </c>
      <c r="AD49" s="4">
        <v>245</v>
      </c>
      <c r="AE49" s="4">
        <v>120</v>
      </c>
    </row>
    <row r="50" spans="1:31" x14ac:dyDescent="0.3">
      <c r="O50" s="6" t="s">
        <v>27</v>
      </c>
      <c r="P50" s="4">
        <v>42.6</v>
      </c>
      <c r="Q50" s="4">
        <v>54.3</v>
      </c>
      <c r="R50" s="4">
        <v>10.72</v>
      </c>
      <c r="S50" s="4">
        <v>160</v>
      </c>
      <c r="T50" s="4">
        <v>160</v>
      </c>
      <c r="U50" s="4">
        <v>8</v>
      </c>
      <c r="V50" s="4">
        <v>13</v>
      </c>
      <c r="W50" s="4">
        <v>15</v>
      </c>
      <c r="X50" s="4">
        <v>2490</v>
      </c>
      <c r="Y50" s="4">
        <v>311</v>
      </c>
      <c r="Z50" s="4">
        <v>6.78</v>
      </c>
      <c r="AA50" s="4">
        <v>889</v>
      </c>
      <c r="AB50" s="4">
        <v>111</v>
      </c>
      <c r="AC50" s="4">
        <v>4.05</v>
      </c>
      <c r="AD50" s="4">
        <v>354</v>
      </c>
      <c r="AE50" s="4">
        <v>170</v>
      </c>
    </row>
    <row r="51" spans="1:31" x14ac:dyDescent="0.3">
      <c r="O51" s="6" t="s">
        <v>28</v>
      </c>
      <c r="P51" s="4">
        <v>51.2</v>
      </c>
      <c r="Q51" s="4">
        <v>65.3</v>
      </c>
      <c r="R51" s="4">
        <v>12.92</v>
      </c>
      <c r="S51" s="4">
        <v>180</v>
      </c>
      <c r="T51" s="4">
        <v>180</v>
      </c>
      <c r="U51" s="4">
        <v>8.5</v>
      </c>
      <c r="V51" s="4">
        <v>14</v>
      </c>
      <c r="W51" s="4">
        <v>15</v>
      </c>
      <c r="X51" s="4">
        <v>3830</v>
      </c>
      <c r="Y51" s="4">
        <v>426</v>
      </c>
      <c r="Z51" s="4">
        <v>7.66</v>
      </c>
      <c r="AA51" s="4">
        <v>1360</v>
      </c>
      <c r="AB51" s="4">
        <v>151</v>
      </c>
      <c r="AC51" s="4">
        <v>4.57</v>
      </c>
      <c r="AD51" s="4">
        <v>481</v>
      </c>
      <c r="AE51" s="4">
        <v>231</v>
      </c>
    </row>
    <row r="52" spans="1:31" x14ac:dyDescent="0.3">
      <c r="O52" s="6" t="s">
        <v>29</v>
      </c>
      <c r="P52" s="4">
        <v>61.3</v>
      </c>
      <c r="Q52" s="4">
        <v>78.099999999999994</v>
      </c>
      <c r="R52" s="4">
        <v>15.3</v>
      </c>
      <c r="S52" s="4">
        <v>200</v>
      </c>
      <c r="T52" s="4">
        <v>200</v>
      </c>
      <c r="U52" s="4">
        <v>9</v>
      </c>
      <c r="V52" s="4">
        <v>15</v>
      </c>
      <c r="W52" s="4">
        <v>18</v>
      </c>
      <c r="X52" s="4">
        <v>5700</v>
      </c>
      <c r="Y52" s="4">
        <v>570</v>
      </c>
      <c r="Z52" s="4">
        <v>8.5399999999999991</v>
      </c>
      <c r="AA52" s="4">
        <v>2000</v>
      </c>
      <c r="AB52" s="4">
        <v>200</v>
      </c>
      <c r="AC52" s="4">
        <v>5.07</v>
      </c>
      <c r="AD52" s="4">
        <v>643</v>
      </c>
      <c r="AE52" s="4">
        <v>306</v>
      </c>
    </row>
    <row r="53" spans="1:31" x14ac:dyDescent="0.3">
      <c r="A53" s="65"/>
      <c r="B53" s="65"/>
      <c r="O53" s="6" t="s">
        <v>30</v>
      </c>
      <c r="P53" s="4">
        <v>71.5</v>
      </c>
      <c r="Q53" s="4">
        <v>91</v>
      </c>
      <c r="R53" s="4">
        <v>17.86</v>
      </c>
      <c r="S53" s="4">
        <v>220</v>
      </c>
      <c r="T53" s="4">
        <v>220</v>
      </c>
      <c r="U53" s="4">
        <v>9.5</v>
      </c>
      <c r="V53" s="4">
        <v>16</v>
      </c>
      <c r="W53" s="4">
        <v>18</v>
      </c>
      <c r="X53" s="4">
        <v>8090</v>
      </c>
      <c r="Y53" s="4">
        <v>736</v>
      </c>
      <c r="Z53" s="4">
        <v>9.43</v>
      </c>
      <c r="AA53" s="4">
        <v>2840</v>
      </c>
      <c r="AB53" s="4">
        <v>258</v>
      </c>
      <c r="AC53" s="4">
        <v>5.59</v>
      </c>
      <c r="AD53" s="4">
        <v>827</v>
      </c>
      <c r="AE53" s="4">
        <v>394</v>
      </c>
    </row>
    <row r="54" spans="1:31" x14ac:dyDescent="0.3">
      <c r="A54" s="44"/>
      <c r="B54" s="3"/>
      <c r="C54" s="20"/>
      <c r="D54" s="44"/>
      <c r="E54" s="44"/>
      <c r="O54" s="6" t="s">
        <v>31</v>
      </c>
      <c r="P54" s="4">
        <v>83.2</v>
      </c>
      <c r="Q54" s="4">
        <v>106</v>
      </c>
      <c r="R54" s="4">
        <v>20.6</v>
      </c>
      <c r="S54" s="4">
        <v>240</v>
      </c>
      <c r="T54" s="4">
        <v>240</v>
      </c>
      <c r="U54" s="4">
        <v>10</v>
      </c>
      <c r="V54" s="4">
        <v>17</v>
      </c>
      <c r="W54" s="4">
        <v>21</v>
      </c>
      <c r="X54" s="4">
        <v>11260</v>
      </c>
      <c r="Y54" s="4">
        <v>938</v>
      </c>
      <c r="Z54" s="4">
        <v>10.3</v>
      </c>
      <c r="AA54" s="4">
        <v>3920</v>
      </c>
      <c r="AB54" s="4">
        <v>327</v>
      </c>
      <c r="AC54" s="4">
        <v>6.08</v>
      </c>
      <c r="AD54" s="4">
        <v>1053</v>
      </c>
      <c r="AE54" s="4">
        <v>498</v>
      </c>
    </row>
    <row r="55" spans="1:31" x14ac:dyDescent="0.3">
      <c r="A55" s="64"/>
      <c r="B55" s="64"/>
      <c r="C55" s="3"/>
      <c r="D55" s="44"/>
      <c r="O55" s="6" t="s">
        <v>32</v>
      </c>
      <c r="P55" s="4">
        <v>93</v>
      </c>
      <c r="Q55" s="4">
        <v>118</v>
      </c>
      <c r="R55" s="4">
        <v>22.5</v>
      </c>
      <c r="S55" s="4">
        <v>260</v>
      </c>
      <c r="T55" s="4">
        <v>260</v>
      </c>
      <c r="U55" s="4">
        <v>10</v>
      </c>
      <c r="V55" s="4">
        <v>17.5</v>
      </c>
      <c r="W55" s="4">
        <v>24</v>
      </c>
      <c r="X55" s="4">
        <v>14920</v>
      </c>
      <c r="Y55" s="4">
        <v>1150</v>
      </c>
      <c r="Z55" s="4">
        <v>11.2</v>
      </c>
      <c r="AA55" s="4">
        <v>5130</v>
      </c>
      <c r="AB55" s="4">
        <v>395</v>
      </c>
      <c r="AC55" s="4">
        <v>6.58</v>
      </c>
      <c r="AD55" s="4">
        <v>1283</v>
      </c>
      <c r="AE55" s="4">
        <v>602</v>
      </c>
    </row>
    <row r="56" spans="1:31" x14ac:dyDescent="0.3">
      <c r="A56" s="44"/>
      <c r="B56" s="3"/>
      <c r="C56" s="5"/>
      <c r="D56" s="44"/>
      <c r="E56" s="3"/>
      <c r="F56" s="5"/>
      <c r="O56" s="6" t="s">
        <v>33</v>
      </c>
      <c r="P56" s="4">
        <v>103</v>
      </c>
      <c r="Q56" s="4">
        <v>131</v>
      </c>
      <c r="R56" s="4">
        <v>25.62</v>
      </c>
      <c r="S56" s="4">
        <v>280</v>
      </c>
      <c r="T56" s="4">
        <v>280</v>
      </c>
      <c r="U56" s="4">
        <v>10.5</v>
      </c>
      <c r="V56" s="4">
        <v>18</v>
      </c>
      <c r="W56" s="4">
        <v>24</v>
      </c>
      <c r="X56" s="4">
        <v>19270</v>
      </c>
      <c r="Y56" s="4">
        <v>1380</v>
      </c>
      <c r="Z56" s="4">
        <v>12.1</v>
      </c>
      <c r="AA56" s="4">
        <v>6590</v>
      </c>
      <c r="AB56" s="4">
        <v>471</v>
      </c>
      <c r="AC56" s="4">
        <v>7.09</v>
      </c>
      <c r="AD56" s="4">
        <v>1534</v>
      </c>
      <c r="AE56" s="4">
        <v>718</v>
      </c>
    </row>
    <row r="57" spans="1:31" x14ac:dyDescent="0.3">
      <c r="A57" s="44"/>
      <c r="B57" s="3"/>
      <c r="C57" s="5"/>
      <c r="D57" s="44"/>
      <c r="E57" s="3"/>
      <c r="F57" s="5"/>
      <c r="O57" s="6" t="s">
        <v>34</v>
      </c>
      <c r="P57" s="4">
        <v>117</v>
      </c>
      <c r="Q57" s="4">
        <v>149</v>
      </c>
      <c r="R57" s="4">
        <v>28.82</v>
      </c>
      <c r="S57" s="4">
        <v>300</v>
      </c>
      <c r="T57" s="4">
        <v>300</v>
      </c>
      <c r="U57" s="4">
        <v>11</v>
      </c>
      <c r="V57" s="4">
        <v>19</v>
      </c>
      <c r="W57" s="4">
        <v>27</v>
      </c>
      <c r="X57" s="4">
        <v>25170</v>
      </c>
      <c r="Y57" s="4">
        <v>1680</v>
      </c>
      <c r="Z57" s="4">
        <v>13</v>
      </c>
      <c r="AA57" s="4">
        <v>8560</v>
      </c>
      <c r="AB57" s="4">
        <v>571</v>
      </c>
      <c r="AC57" s="4">
        <v>7.58</v>
      </c>
      <c r="AD57" s="4">
        <v>1869</v>
      </c>
      <c r="AE57" s="4">
        <v>870</v>
      </c>
    </row>
    <row r="58" spans="1:31" x14ac:dyDescent="0.3">
      <c r="A58" s="44"/>
      <c r="B58" s="3"/>
      <c r="C58" s="5"/>
      <c r="D58" s="44"/>
      <c r="E58" s="3"/>
      <c r="F58" s="5"/>
      <c r="O58" s="6" t="s">
        <v>35</v>
      </c>
      <c r="P58" s="4">
        <v>127</v>
      </c>
      <c r="Q58" s="4">
        <v>161</v>
      </c>
      <c r="R58" s="4">
        <v>32.090000000000003</v>
      </c>
      <c r="S58" s="4">
        <v>320</v>
      </c>
      <c r="T58" s="4">
        <v>300</v>
      </c>
      <c r="U58" s="4">
        <v>11.5</v>
      </c>
      <c r="V58" s="4">
        <v>20.5</v>
      </c>
      <c r="W58" s="4">
        <v>27</v>
      </c>
      <c r="X58" s="4">
        <v>30820</v>
      </c>
      <c r="Y58" s="4">
        <v>1930</v>
      </c>
      <c r="Z58" s="4">
        <v>13.8</v>
      </c>
      <c r="AA58" s="4">
        <v>9240</v>
      </c>
      <c r="AB58" s="4">
        <v>616</v>
      </c>
      <c r="AC58" s="4">
        <v>7.57</v>
      </c>
      <c r="AD58" s="4">
        <v>2149</v>
      </c>
      <c r="AE58" s="4">
        <v>939</v>
      </c>
    </row>
    <row r="59" spans="1:31" x14ac:dyDescent="0.3">
      <c r="A59" s="44"/>
      <c r="B59" s="3"/>
      <c r="C59" s="5"/>
      <c r="D59" s="44"/>
      <c r="E59" s="3"/>
      <c r="F59" s="5"/>
      <c r="O59" s="6" t="s">
        <v>36</v>
      </c>
      <c r="P59" s="4">
        <v>134</v>
      </c>
      <c r="Q59" s="4">
        <v>171</v>
      </c>
      <c r="R59" s="4">
        <v>35.64</v>
      </c>
      <c r="S59" s="4">
        <v>340</v>
      </c>
      <c r="T59" s="4">
        <v>300</v>
      </c>
      <c r="U59" s="4">
        <v>12</v>
      </c>
      <c r="V59" s="4">
        <v>21.5</v>
      </c>
      <c r="W59" s="4">
        <v>27</v>
      </c>
      <c r="X59" s="4">
        <v>36660</v>
      </c>
      <c r="Y59" s="4">
        <v>2160</v>
      </c>
      <c r="Z59" s="4">
        <v>14.6</v>
      </c>
      <c r="AA59" s="4">
        <v>9690</v>
      </c>
      <c r="AB59" s="4">
        <v>646</v>
      </c>
      <c r="AC59" s="4">
        <v>7.53</v>
      </c>
      <c r="AD59" s="4">
        <v>2408</v>
      </c>
      <c r="AE59" s="4">
        <v>986</v>
      </c>
    </row>
    <row r="60" spans="1:31" x14ac:dyDescent="0.3">
      <c r="A60" s="44"/>
      <c r="B60" s="3"/>
      <c r="C60" s="5"/>
      <c r="D60" s="44"/>
      <c r="E60" s="3"/>
      <c r="F60" s="5"/>
      <c r="O60" s="6" t="s">
        <v>37</v>
      </c>
      <c r="P60" s="4">
        <v>142</v>
      </c>
      <c r="Q60" s="4">
        <v>181</v>
      </c>
      <c r="R60" s="4">
        <v>39.380000000000003</v>
      </c>
      <c r="S60" s="4">
        <v>360</v>
      </c>
      <c r="T60" s="4">
        <v>300</v>
      </c>
      <c r="U60" s="4">
        <v>12.5</v>
      </c>
      <c r="V60" s="4">
        <v>22.5</v>
      </c>
      <c r="W60" s="4">
        <v>27</v>
      </c>
      <c r="X60" s="4">
        <v>43190</v>
      </c>
      <c r="Y60" s="4">
        <v>2400</v>
      </c>
      <c r="Z60" s="4">
        <v>15.5</v>
      </c>
      <c r="AA60" s="4">
        <v>10140</v>
      </c>
      <c r="AB60" s="4">
        <v>676</v>
      </c>
      <c r="AC60" s="4">
        <v>7.49</v>
      </c>
      <c r="AD60" s="4">
        <v>2683</v>
      </c>
      <c r="AE60" s="4">
        <v>1032</v>
      </c>
    </row>
    <row r="61" spans="1:31" x14ac:dyDescent="0.3">
      <c r="A61" s="44"/>
      <c r="B61" s="3"/>
      <c r="C61" s="5"/>
      <c r="D61" s="44"/>
      <c r="E61" s="3"/>
      <c r="F61" s="5"/>
      <c r="O61" s="6" t="s">
        <v>38</v>
      </c>
      <c r="P61" s="4">
        <v>155</v>
      </c>
      <c r="Q61" s="4">
        <v>198</v>
      </c>
      <c r="R61" s="4">
        <v>47.52</v>
      </c>
      <c r="S61" s="4">
        <v>400</v>
      </c>
      <c r="T61" s="4">
        <v>300</v>
      </c>
      <c r="U61" s="4">
        <v>13.5</v>
      </c>
      <c r="V61" s="4">
        <v>24</v>
      </c>
      <c r="W61" s="4">
        <v>27</v>
      </c>
      <c r="X61" s="4">
        <v>57680</v>
      </c>
      <c r="Y61" s="4">
        <v>2880</v>
      </c>
      <c r="Z61" s="4">
        <v>17.100000000000001</v>
      </c>
      <c r="AA61" s="4">
        <v>10820</v>
      </c>
      <c r="AB61" s="4">
        <v>721</v>
      </c>
      <c r="AC61" s="4">
        <v>7.4</v>
      </c>
      <c r="AD61" s="4">
        <v>3232</v>
      </c>
      <c r="AE61" s="4">
        <v>1104</v>
      </c>
    </row>
    <row r="62" spans="1:31" x14ac:dyDescent="0.3">
      <c r="A62" s="44"/>
      <c r="B62" s="26"/>
      <c r="C62" s="5"/>
      <c r="O62" s="6" t="s">
        <v>39</v>
      </c>
      <c r="P62" s="4">
        <v>171</v>
      </c>
      <c r="Q62" s="4">
        <v>218</v>
      </c>
      <c r="R62" s="4">
        <v>55.72</v>
      </c>
      <c r="S62" s="4">
        <v>450</v>
      </c>
      <c r="T62" s="4">
        <v>300</v>
      </c>
      <c r="U62" s="4">
        <v>14</v>
      </c>
      <c r="V62" s="4">
        <v>26</v>
      </c>
      <c r="W62" s="4">
        <v>27</v>
      </c>
      <c r="X62" s="4">
        <v>79890</v>
      </c>
      <c r="Y62" s="4">
        <v>3550</v>
      </c>
      <c r="Z62" s="4">
        <v>19.100000000000001</v>
      </c>
      <c r="AA62" s="4">
        <v>11720</v>
      </c>
      <c r="AB62" s="4">
        <v>781</v>
      </c>
      <c r="AC62" s="4">
        <v>7.33</v>
      </c>
      <c r="AD62" s="4">
        <v>3982</v>
      </c>
      <c r="AE62" s="4">
        <v>1198</v>
      </c>
    </row>
    <row r="63" spans="1:31" x14ac:dyDescent="0.3">
      <c r="A63" s="45"/>
      <c r="B63" s="25"/>
      <c r="C63" s="5"/>
      <c r="O63" s="6" t="s">
        <v>40</v>
      </c>
      <c r="P63" s="4">
        <v>187</v>
      </c>
      <c r="Q63" s="4">
        <v>239</v>
      </c>
      <c r="R63" s="4">
        <v>64.38</v>
      </c>
      <c r="S63" s="4">
        <v>500</v>
      </c>
      <c r="T63" s="4">
        <v>300</v>
      </c>
      <c r="U63" s="4">
        <v>14.5</v>
      </c>
      <c r="V63" s="4">
        <v>28</v>
      </c>
      <c r="W63" s="4">
        <v>27</v>
      </c>
      <c r="X63" s="4">
        <v>107200</v>
      </c>
      <c r="Y63" s="4">
        <v>4290</v>
      </c>
      <c r="Z63" s="4">
        <v>21.2</v>
      </c>
      <c r="AA63" s="4">
        <v>12620</v>
      </c>
      <c r="AB63" s="4">
        <v>842</v>
      </c>
      <c r="AC63" s="4">
        <v>7.27</v>
      </c>
      <c r="AD63" s="4">
        <v>4815</v>
      </c>
      <c r="AE63" s="4">
        <v>1292</v>
      </c>
    </row>
    <row r="64" spans="1:31" x14ac:dyDescent="0.3">
      <c r="A64" s="33"/>
      <c r="B64" s="33"/>
      <c r="O64" s="6" t="s">
        <v>41</v>
      </c>
      <c r="P64" s="4">
        <v>199</v>
      </c>
      <c r="Q64" s="4">
        <v>254</v>
      </c>
      <c r="R64" s="4">
        <v>73.8</v>
      </c>
      <c r="S64" s="4">
        <v>550</v>
      </c>
      <c r="T64" s="4">
        <v>300</v>
      </c>
      <c r="U64" s="4">
        <v>15</v>
      </c>
      <c r="V64" s="4">
        <v>29</v>
      </c>
      <c r="W64" s="4">
        <v>27</v>
      </c>
      <c r="X64" s="4">
        <v>136700</v>
      </c>
      <c r="Y64" s="4">
        <v>4970</v>
      </c>
      <c r="Z64" s="4">
        <v>23.2</v>
      </c>
      <c r="AA64" s="4">
        <v>13080</v>
      </c>
      <c r="AB64" s="4">
        <v>872</v>
      </c>
      <c r="AC64" s="4">
        <v>7.17</v>
      </c>
      <c r="AD64" s="4">
        <v>5591</v>
      </c>
      <c r="AE64" s="4">
        <v>1341</v>
      </c>
    </row>
    <row r="65" spans="1:31" x14ac:dyDescent="0.3">
      <c r="A65" s="44"/>
      <c r="D65" s="10"/>
      <c r="E65" s="17"/>
      <c r="O65" s="6" t="s">
        <v>42</v>
      </c>
      <c r="P65" s="4">
        <v>212</v>
      </c>
      <c r="Q65" s="4">
        <v>270</v>
      </c>
      <c r="R65" s="4">
        <v>83.7</v>
      </c>
      <c r="S65" s="4">
        <v>600</v>
      </c>
      <c r="T65" s="4">
        <v>300</v>
      </c>
      <c r="U65" s="4">
        <v>15.5</v>
      </c>
      <c r="V65" s="4">
        <v>30</v>
      </c>
      <c r="W65" s="4">
        <v>27</v>
      </c>
      <c r="X65" s="4">
        <v>171000</v>
      </c>
      <c r="Y65" s="4">
        <v>5700</v>
      </c>
      <c r="Z65" s="4">
        <v>25.2</v>
      </c>
      <c r="AA65" s="4">
        <v>13530</v>
      </c>
      <c r="AB65" s="4">
        <v>902</v>
      </c>
      <c r="AC65" s="4">
        <v>7.08</v>
      </c>
      <c r="AD65" s="4">
        <v>6425</v>
      </c>
      <c r="AE65" s="4">
        <v>1391</v>
      </c>
    </row>
    <row r="66" spans="1:31" x14ac:dyDescent="0.3">
      <c r="A66" s="44"/>
      <c r="D66" s="25"/>
      <c r="E66" s="17"/>
      <c r="O66" s="6" t="s">
        <v>43</v>
      </c>
      <c r="P66" s="4">
        <v>225</v>
      </c>
      <c r="Q66" s="4">
        <v>286</v>
      </c>
      <c r="R66" s="4">
        <v>94.08</v>
      </c>
      <c r="S66" s="4">
        <v>650</v>
      </c>
      <c r="T66" s="4">
        <v>300</v>
      </c>
      <c r="U66" s="4">
        <v>16</v>
      </c>
      <c r="V66" s="4">
        <v>31</v>
      </c>
      <c r="W66" s="4">
        <v>27</v>
      </c>
      <c r="X66" s="4">
        <v>210600</v>
      </c>
      <c r="Y66" s="4">
        <v>6480</v>
      </c>
      <c r="Z66" s="4">
        <v>27.1</v>
      </c>
      <c r="AA66" s="4">
        <v>13980</v>
      </c>
      <c r="AB66" s="4">
        <v>932</v>
      </c>
      <c r="AC66" s="4">
        <v>6.99</v>
      </c>
      <c r="AD66" s="4">
        <v>7320</v>
      </c>
      <c r="AE66" s="4">
        <v>1441</v>
      </c>
    </row>
    <row r="67" spans="1:31" x14ac:dyDescent="0.3">
      <c r="A67" s="44"/>
      <c r="B67" s="25"/>
      <c r="C67" s="17"/>
      <c r="D67" s="11"/>
      <c r="E67" s="31"/>
      <c r="F67" s="31"/>
      <c r="G67" s="25"/>
      <c r="H67" s="5"/>
      <c r="I67" s="12"/>
      <c r="O67" s="6" t="s">
        <v>44</v>
      </c>
      <c r="P67" s="4">
        <v>241</v>
      </c>
      <c r="Q67" s="4">
        <v>306</v>
      </c>
      <c r="R67" s="4">
        <v>108.1</v>
      </c>
      <c r="S67" s="4">
        <v>700</v>
      </c>
      <c r="T67" s="4">
        <v>300</v>
      </c>
      <c r="U67" s="4">
        <v>17</v>
      </c>
      <c r="V67" s="4">
        <v>32</v>
      </c>
      <c r="W67" s="4">
        <v>27</v>
      </c>
      <c r="X67" s="4">
        <v>256900</v>
      </c>
      <c r="Y67" s="4">
        <v>7340</v>
      </c>
      <c r="Z67" s="4">
        <v>29</v>
      </c>
      <c r="AA67" s="4">
        <v>14440</v>
      </c>
      <c r="AB67" s="4">
        <v>963</v>
      </c>
      <c r="AC67" s="4">
        <v>6.87</v>
      </c>
      <c r="AD67" s="4">
        <v>8327</v>
      </c>
      <c r="AE67" s="4">
        <v>1495</v>
      </c>
    </row>
    <row r="68" spans="1:31" x14ac:dyDescent="0.3">
      <c r="A68" s="44"/>
      <c r="B68" s="23"/>
      <c r="C68" s="17"/>
      <c r="D68" s="11"/>
      <c r="E68" s="31"/>
      <c r="F68" s="31"/>
      <c r="G68" s="25"/>
      <c r="H68" s="29"/>
      <c r="I68" s="31"/>
      <c r="J68" s="32"/>
      <c r="O68" s="6" t="s">
        <v>45</v>
      </c>
      <c r="P68" s="4">
        <v>262</v>
      </c>
      <c r="Q68" s="4">
        <v>334</v>
      </c>
      <c r="R68" s="4">
        <v>128.5</v>
      </c>
      <c r="S68" s="4">
        <v>800</v>
      </c>
      <c r="T68" s="4">
        <v>300</v>
      </c>
      <c r="U68" s="4">
        <v>17.5</v>
      </c>
      <c r="V68" s="4">
        <v>33</v>
      </c>
      <c r="W68" s="4">
        <v>30</v>
      </c>
      <c r="X68" s="4">
        <v>359100</v>
      </c>
      <c r="Y68" s="4">
        <v>9890</v>
      </c>
      <c r="Z68" s="4">
        <v>32.799999999999997</v>
      </c>
      <c r="AA68" s="4">
        <v>14900</v>
      </c>
      <c r="AB68" s="4">
        <v>994</v>
      </c>
      <c r="AC68" s="4">
        <v>6.68</v>
      </c>
      <c r="AD68" s="4">
        <v>10230</v>
      </c>
      <c r="AE68" s="4">
        <v>1553</v>
      </c>
    </row>
    <row r="69" spans="1:31" x14ac:dyDescent="0.3">
      <c r="A69" s="15"/>
      <c r="B69" s="3"/>
      <c r="C69" s="45"/>
      <c r="D69" s="11"/>
      <c r="E69" s="31"/>
      <c r="F69" s="31"/>
      <c r="G69" s="27"/>
      <c r="H69" s="30"/>
      <c r="I69" s="31"/>
      <c r="J69" s="32"/>
      <c r="O69" s="6" t="s">
        <v>46</v>
      </c>
      <c r="P69" s="4">
        <v>291</v>
      </c>
      <c r="Q69" s="4">
        <v>371</v>
      </c>
      <c r="R69" s="4">
        <v>153.6</v>
      </c>
      <c r="S69" s="4">
        <v>900</v>
      </c>
      <c r="T69" s="4">
        <v>300</v>
      </c>
      <c r="U69" s="4">
        <v>18.5</v>
      </c>
      <c r="V69" s="4">
        <v>35</v>
      </c>
      <c r="W69" s="4">
        <v>30</v>
      </c>
      <c r="X69" s="4">
        <v>494100</v>
      </c>
      <c r="Y69" s="4">
        <v>10980</v>
      </c>
      <c r="Z69" s="4">
        <v>36.5</v>
      </c>
      <c r="AA69" s="4">
        <v>15820</v>
      </c>
      <c r="AB69" s="4">
        <v>1054</v>
      </c>
      <c r="AC69" s="4">
        <v>6.53</v>
      </c>
      <c r="AD69" s="4">
        <v>12580</v>
      </c>
      <c r="AE69" s="4">
        <v>1658</v>
      </c>
    </row>
    <row r="70" spans="1:31" x14ac:dyDescent="0.3">
      <c r="A70" s="44"/>
      <c r="B70" s="3"/>
      <c r="O70" s="6" t="s">
        <v>47</v>
      </c>
      <c r="P70" s="4">
        <v>314</v>
      </c>
      <c r="Q70" s="4">
        <v>400</v>
      </c>
      <c r="R70" s="4">
        <v>176.3</v>
      </c>
      <c r="S70" s="4">
        <v>1000</v>
      </c>
      <c r="T70" s="4">
        <v>300</v>
      </c>
      <c r="U70" s="4">
        <v>19</v>
      </c>
      <c r="V70" s="4">
        <v>36</v>
      </c>
      <c r="W70" s="4">
        <v>30</v>
      </c>
      <c r="X70" s="4">
        <v>644700</v>
      </c>
      <c r="Y70" s="4">
        <v>12890</v>
      </c>
      <c r="Z70" s="4">
        <v>40.1</v>
      </c>
      <c r="AA70" s="4">
        <v>16280</v>
      </c>
      <c r="AB70" s="4">
        <v>1085</v>
      </c>
      <c r="AC70" s="4">
        <v>6.38</v>
      </c>
      <c r="AD70" s="4">
        <v>14860</v>
      </c>
      <c r="AE70" s="4">
        <v>1716</v>
      </c>
    </row>
    <row r="71" spans="1:31" x14ac:dyDescent="0.3">
      <c r="A71" s="31"/>
      <c r="B71" s="31"/>
      <c r="C71" s="31"/>
      <c r="D71" s="31"/>
      <c r="E71" s="31"/>
      <c r="F71" s="31"/>
      <c r="G71" s="25"/>
      <c r="H71" s="15"/>
      <c r="I71" s="12"/>
      <c r="O71" s="6" t="s">
        <v>48</v>
      </c>
      <c r="P71" s="4">
        <v>334</v>
      </c>
      <c r="Q71" s="4">
        <v>425</v>
      </c>
      <c r="R71" s="4"/>
      <c r="S71" s="4">
        <v>1100</v>
      </c>
      <c r="T71" s="4">
        <v>300</v>
      </c>
      <c r="U71" s="4">
        <v>20</v>
      </c>
      <c r="V71" s="4">
        <v>36</v>
      </c>
      <c r="W71" s="4">
        <v>20</v>
      </c>
      <c r="X71" s="4">
        <v>801500</v>
      </c>
      <c r="Y71" s="4">
        <v>14570</v>
      </c>
      <c r="Z71" s="4">
        <v>43.4</v>
      </c>
      <c r="AA71" s="4">
        <v>16280</v>
      </c>
      <c r="AB71" s="4">
        <v>1085</v>
      </c>
      <c r="AC71" s="4">
        <v>6.19</v>
      </c>
      <c r="AD71" s="4">
        <v>16950</v>
      </c>
      <c r="AE71" s="4">
        <v>1728</v>
      </c>
    </row>
    <row r="73" spans="1:31" x14ac:dyDescent="0.3">
      <c r="A73" s="34"/>
      <c r="B73" s="34"/>
      <c r="C73" s="34"/>
      <c r="D73" s="36"/>
      <c r="E73" s="36"/>
      <c r="F73" s="36"/>
    </row>
    <row r="74" spans="1:31" x14ac:dyDescent="0.3">
      <c r="A74" s="31"/>
      <c r="B74" s="31"/>
      <c r="C74" s="44"/>
    </row>
    <row r="75" spans="1:31" x14ac:dyDescent="0.3">
      <c r="C75" s="7"/>
    </row>
    <row r="76" spans="1:31" x14ac:dyDescent="0.3">
      <c r="D76" s="63"/>
      <c r="E76" s="63"/>
      <c r="F76" s="63"/>
    </row>
    <row r="77" spans="1:31" x14ac:dyDescent="0.3">
      <c r="A77" s="44"/>
      <c r="C77" s="7"/>
    </row>
    <row r="78" spans="1:31" x14ac:dyDescent="0.3">
      <c r="A78" s="44"/>
      <c r="B78" s="7"/>
      <c r="C78" s="5"/>
    </row>
    <row r="79" spans="1:31" x14ac:dyDescent="0.3">
      <c r="A79" s="44"/>
      <c r="B79" s="26"/>
      <c r="C79" s="5"/>
    </row>
    <row r="80" spans="1:31" x14ac:dyDescent="0.3">
      <c r="A80" s="45"/>
      <c r="B80" s="3"/>
      <c r="C80" s="5"/>
    </row>
    <row r="81" spans="1:6" x14ac:dyDescent="0.3">
      <c r="A81" s="44"/>
      <c r="B81" s="13"/>
    </row>
    <row r="82" spans="1:6" x14ac:dyDescent="0.3">
      <c r="A82" s="44"/>
      <c r="B82" s="7"/>
    </row>
    <row r="83" spans="1:6" x14ac:dyDescent="0.3">
      <c r="A83" s="44"/>
      <c r="B83" s="7"/>
      <c r="C83" s="31"/>
      <c r="D83" s="31"/>
      <c r="E83" s="13"/>
    </row>
    <row r="84" spans="1:6" x14ac:dyDescent="0.3">
      <c r="A84" s="44"/>
      <c r="B84" s="44"/>
    </row>
    <row r="85" spans="1:6" x14ac:dyDescent="0.3">
      <c r="A85" s="31"/>
      <c r="B85" s="31"/>
      <c r="C85" s="7"/>
    </row>
    <row r="86" spans="1:6" x14ac:dyDescent="0.3">
      <c r="A86" s="31"/>
      <c r="B86" s="31"/>
      <c r="C86" s="31"/>
      <c r="D86" s="13"/>
    </row>
    <row r="88" spans="1:6" x14ac:dyDescent="0.3">
      <c r="A88" s="44"/>
      <c r="B88" s="7"/>
      <c r="C88" s="17"/>
    </row>
    <row r="89" spans="1:6" x14ac:dyDescent="0.3">
      <c r="A89" s="44"/>
      <c r="B89" s="7"/>
      <c r="C89" s="35"/>
      <c r="D89" s="35"/>
      <c r="E89" s="35"/>
      <c r="F89" s="35"/>
    </row>
    <row r="90" spans="1:6" x14ac:dyDescent="0.3">
      <c r="A90" s="44"/>
      <c r="B90" s="3"/>
    </row>
    <row r="92" spans="1:6" x14ac:dyDescent="0.3">
      <c r="A92" s="44"/>
      <c r="B92" s="23"/>
      <c r="C92" s="5"/>
    </row>
    <row r="93" spans="1:6" x14ac:dyDescent="0.3">
      <c r="A93" s="45"/>
      <c r="B93" s="3"/>
      <c r="C93" s="5"/>
    </row>
  </sheetData>
  <sheetProtection selectLockedCells="1"/>
  <mergeCells count="32">
    <mergeCell ref="I40:I41"/>
    <mergeCell ref="B40:D40"/>
    <mergeCell ref="O1:O2"/>
    <mergeCell ref="D19:E19"/>
    <mergeCell ref="A20:C20"/>
    <mergeCell ref="B25:C25"/>
    <mergeCell ref="C21:F21"/>
    <mergeCell ref="G18:H18"/>
    <mergeCell ref="A24:C24"/>
    <mergeCell ref="A15:C15"/>
    <mergeCell ref="A5:C5"/>
    <mergeCell ref="C10:D10"/>
    <mergeCell ref="B11:C11"/>
    <mergeCell ref="B14:C14"/>
    <mergeCell ref="A33:C33"/>
    <mergeCell ref="D1:F1"/>
    <mergeCell ref="D76:F76"/>
    <mergeCell ref="A55:B55"/>
    <mergeCell ref="G24:H24"/>
    <mergeCell ref="G23:H23"/>
    <mergeCell ref="A53:B53"/>
    <mergeCell ref="B26:C26"/>
    <mergeCell ref="B41:D41"/>
    <mergeCell ref="B39:D39"/>
    <mergeCell ref="G40:G41"/>
    <mergeCell ref="H40:H41"/>
    <mergeCell ref="B2:E2"/>
    <mergeCell ref="AT1:AV1"/>
    <mergeCell ref="B13:C13"/>
    <mergeCell ref="B12:C12"/>
    <mergeCell ref="C3:D3"/>
    <mergeCell ref="A1:B1"/>
  </mergeCells>
  <conditionalFormatting sqref="E68">
    <cfRule type="cellIs" dxfId="18" priority="29" operator="equal">
      <formula>$L$12</formula>
    </cfRule>
    <cfRule type="cellIs" dxfId="17" priority="30" operator="equal">
      <formula>$M$8</formula>
    </cfRule>
  </conditionalFormatting>
  <conditionalFormatting sqref="I67">
    <cfRule type="cellIs" dxfId="16" priority="21" operator="equal">
      <formula>$L$12</formula>
    </cfRule>
  </conditionalFormatting>
  <conditionalFormatting sqref="J68">
    <cfRule type="cellIs" dxfId="15" priority="20" operator="equal">
      <formula>$L$12</formula>
    </cfRule>
  </conditionalFormatting>
  <conditionalFormatting sqref="I71">
    <cfRule type="cellIs" dxfId="14" priority="19" operator="equal">
      <formula>$L$12</formula>
    </cfRule>
  </conditionalFormatting>
  <conditionalFormatting sqref="E83">
    <cfRule type="cellIs" dxfId="13" priority="17" operator="equal">
      <formula>"not ok"</formula>
    </cfRule>
    <cfRule type="cellIs" dxfId="12" priority="18" operator="equal">
      <formula>$L$12</formula>
    </cfRule>
  </conditionalFormatting>
  <conditionalFormatting sqref="B81">
    <cfRule type="cellIs" dxfId="11" priority="15" operator="equal">
      <formula>"not ok"</formula>
    </cfRule>
    <cfRule type="cellIs" dxfId="10" priority="16" operator="equal">
      <formula>$L$12</formula>
    </cfRule>
  </conditionalFormatting>
  <conditionalFormatting sqref="D86">
    <cfRule type="cellIs" dxfId="9" priority="13" operator="equal">
      <formula>"not ok"</formula>
    </cfRule>
    <cfRule type="cellIs" dxfId="8" priority="14" operator="equal">
      <formula>$L$12</formula>
    </cfRule>
  </conditionalFormatting>
  <conditionalFormatting sqref="F22">
    <cfRule type="cellIs" dxfId="7" priority="8" operator="equal">
      <formula>$L$12</formula>
    </cfRule>
  </conditionalFormatting>
  <conditionalFormatting sqref="I18">
    <cfRule type="cellIs" dxfId="6" priority="7" operator="equal">
      <formula>$L$9</formula>
    </cfRule>
  </conditionalFormatting>
  <conditionalFormatting sqref="D30:D31">
    <cfRule type="cellIs" dxfId="5" priority="6" operator="equal">
      <formula>$L$12</formula>
    </cfRule>
  </conditionalFormatting>
  <conditionalFormatting sqref="D32">
    <cfRule type="cellIs" dxfId="4" priority="5" operator="equal">
      <formula>$L$12</formula>
    </cfRule>
  </conditionalFormatting>
  <conditionalFormatting sqref="B40">
    <cfRule type="cellIs" dxfId="3" priority="3" operator="equal">
      <formula>$L$12</formula>
    </cfRule>
    <cfRule type="cellIs" dxfId="2" priority="4" operator="equal">
      <formula>$M$8</formula>
    </cfRule>
  </conditionalFormatting>
  <conditionalFormatting sqref="G39">
    <cfRule type="cellIs" dxfId="1" priority="2" operator="equal">
      <formula>$L$12</formula>
    </cfRule>
  </conditionalFormatting>
  <conditionalFormatting sqref="I40">
    <cfRule type="cellIs" dxfId="0" priority="1" operator="equal">
      <formula>$L$12</formula>
    </cfRule>
  </conditionalFormatting>
  <dataValidations count="7">
    <dataValidation type="list" allowBlank="1" showInputMessage="1" showErrorMessage="1" sqref="G3" xr:uid="{00000000-0002-0000-0000-000000000000}">
      <formula1>$L$2:$L$4</formula1>
    </dataValidation>
    <dataValidation type="list" allowBlank="1" showInputMessage="1" showErrorMessage="1" sqref="C10" xr:uid="{00000000-0002-0000-0000-000001000000}">
      <formula1>$O$3:$O$71</formula1>
    </dataValidation>
    <dataValidation type="list" allowBlank="1" showInputMessage="1" showErrorMessage="1" sqref="F34" xr:uid="{00000000-0002-0000-0000-000002000000}">
      <formula1>$AG$7:$AG$14</formula1>
    </dataValidation>
    <dataValidation type="list" allowBlank="1" showInputMessage="1" showErrorMessage="1" sqref="H34" xr:uid="{00000000-0002-0000-0000-000003000000}">
      <formula1>$AJ$7:$AJ$13</formula1>
    </dataValidation>
    <dataValidation type="list" allowBlank="1" showInputMessage="1" showErrorMessage="1" sqref="C55" xr:uid="{00000000-0002-0000-0000-000004000000}">
      <formula1>$N$38:$N$41</formula1>
    </dataValidation>
    <dataValidation type="list" allowBlank="1" showInputMessage="1" showErrorMessage="1" sqref="B69" xr:uid="{00000000-0002-0000-0000-000005000000}">
      <formula1>$K$42:$K$45</formula1>
    </dataValidation>
    <dataValidation type="list" allowBlank="1" showInputMessage="1" showErrorMessage="1" sqref="B35" xr:uid="{00000000-0002-0000-0000-000006000000}">
      <formula1>$L$29:$L$32</formula1>
    </dataValidation>
  </dataValidations>
  <pageMargins left="0.7" right="0.7" top="0.75" bottom="0.75" header="0.3" footer="0.3"/>
  <pageSetup scale="96" orientation="portrait" r:id="rId1"/>
  <ignoredErrors>
    <ignoredError sqref="F19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C-EGL-1</vt:lpstr>
      <vt:lpstr>'C-EGL-1'!Print_Area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ALAASER</dc:creator>
  <cp:lastModifiedBy>Mohamed H.Bezawy</cp:lastModifiedBy>
  <cp:lastPrinted>2018-05-01T04:47:47Z</cp:lastPrinted>
  <dcterms:created xsi:type="dcterms:W3CDTF">2017-03-17T08:59:54Z</dcterms:created>
  <dcterms:modified xsi:type="dcterms:W3CDTF">2022-11-30T10:11:41Z</dcterms:modified>
</cp:coreProperties>
</file>