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0" documentId="13_ncr:1_{B9A730A6-BC8C-4EE9-B15A-28912FD561A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OLS_n06" sheetId="2" r:id="rId1"/>
    <sheet name="MC-L9" sheetId="3" r:id="rId2"/>
    <sheet name="MC-R9" sheetId="4" r:id="rId3"/>
    <sheet name="C-MEZ-1" sheetId="5" r:id="rId4"/>
    <sheet name="C-EGL-4" sheetId="6" r:id="rId5"/>
    <sheet name="Sheet1" sheetId="7" r:id="rId6"/>
  </sheets>
  <externalReferences>
    <externalReference r:id="rId7"/>
  </externalReferences>
  <definedNames>
    <definedName name="TABLE">[1]Sheet2!$F$5:$S$30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2" i="7" l="1"/>
  <c r="S55" i="7"/>
  <c r="S53" i="7"/>
  <c r="I39" i="7"/>
  <c r="I38" i="7"/>
  <c r="H34" i="7"/>
  <c r="C34" i="7"/>
  <c r="H33" i="7"/>
  <c r="C33" i="7"/>
  <c r="S50" i="7" s="1"/>
  <c r="Q19" i="7"/>
  <c r="H11" i="7"/>
  <c r="H10" i="7"/>
  <c r="Q4" i="7"/>
  <c r="L33" i="7" l="1"/>
  <c r="Q5" i="7"/>
  <c r="D39" i="7"/>
  <c r="T74" i="7"/>
  <c r="T72" i="7"/>
  <c r="T78" i="7" s="1"/>
  <c r="T80" i="7" s="1"/>
  <c r="W79" i="7" s="1"/>
  <c r="T76" i="7"/>
  <c r="S51" i="7"/>
  <c r="S52" i="7" s="1"/>
  <c r="S54" i="7" s="1"/>
  <c r="S56" i="7" s="1"/>
  <c r="Q6" i="7"/>
  <c r="D36" i="7"/>
  <c r="F50" i="7" l="1"/>
  <c r="F52" i="7" s="1"/>
  <c r="F54" i="7" s="1"/>
  <c r="F55" i="7" s="1"/>
  <c r="F56" i="7" s="1"/>
  <c r="F58" i="7" s="1"/>
  <c r="F60" i="7" s="1"/>
  <c r="Q7" i="7"/>
  <c r="T59" i="7" s="1"/>
  <c r="S25" i="7" s="1"/>
  <c r="Q16" i="7"/>
  <c r="D38" i="7"/>
  <c r="C42" i="7" s="1"/>
  <c r="F45" i="7" s="1"/>
  <c r="I36" i="7"/>
  <c r="H42" i="7" s="1"/>
  <c r="S24" i="7" s="1"/>
  <c r="F51" i="7"/>
  <c r="F53" i="7" s="1"/>
  <c r="Q8" i="7"/>
  <c r="S47" i="7"/>
  <c r="S48" i="7" s="1"/>
  <c r="S26" i="7" l="1"/>
  <c r="S28" i="7" s="1"/>
  <c r="P31" i="7" s="1"/>
  <c r="P59" i="7"/>
  <c r="I68" i="7"/>
  <c r="I59" i="7"/>
  <c r="S36" i="7" l="1"/>
  <c r="S39" i="7"/>
  <c r="S41" i="7" s="1"/>
  <c r="V40" i="7" s="1"/>
  <c r="S37" i="7"/>
  <c r="S63" i="7"/>
  <c r="S66" i="7"/>
  <c r="S68" i="7" s="1"/>
  <c r="S64" i="7"/>
  <c r="V67" i="7" l="1"/>
  <c r="I70" i="7"/>
  <c r="I73" i="7" s="1"/>
  <c r="L74" i="7" s="1"/>
  <c r="Q53" i="6" l="1"/>
  <c r="I36" i="6"/>
  <c r="S17" i="4"/>
  <c r="Q69" i="6" l="1"/>
  <c r="F65" i="6"/>
  <c r="F56" i="6"/>
  <c r="Q22" i="6"/>
  <c r="Q5" i="6"/>
  <c r="D39" i="6"/>
  <c r="D38" i="6"/>
  <c r="H34" i="6"/>
  <c r="C34" i="6"/>
  <c r="H33" i="6"/>
  <c r="C33" i="6"/>
  <c r="Q7" i="6" s="1"/>
  <c r="H11" i="6"/>
  <c r="H10" i="6"/>
  <c r="Q67" i="6" s="1"/>
  <c r="I39" i="6" l="1"/>
  <c r="F58" i="6"/>
  <c r="Q6" i="6"/>
  <c r="Q8" i="6" s="1"/>
  <c r="G62" i="6" s="1"/>
  <c r="F54" i="6"/>
  <c r="D36" i="6"/>
  <c r="C42" i="6" s="1"/>
  <c r="Q9" i="6"/>
  <c r="Q52" i="6"/>
  <c r="Q54" i="6" s="1"/>
  <c r="F50" i="6"/>
  <c r="F51" i="6" s="1"/>
  <c r="L34" i="6"/>
  <c r="F53" i="6"/>
  <c r="Q65" i="6"/>
  <c r="Q71" i="6" s="1"/>
  <c r="Q73" i="6" s="1"/>
  <c r="T72" i="6" s="1"/>
  <c r="I38" i="6"/>
  <c r="H42" i="6" s="1"/>
  <c r="S28" i="6" l="1"/>
  <c r="S29" i="6"/>
  <c r="F55" i="6"/>
  <c r="F57" i="6" s="1"/>
  <c r="F59" i="6" s="1"/>
  <c r="C62" i="6" s="1"/>
  <c r="Q51" i="6"/>
  <c r="Q55" i="6" s="1"/>
  <c r="Q56" i="6" s="1"/>
  <c r="Q57" i="6" s="1"/>
  <c r="Q59" i="6" s="1"/>
  <c r="Q61" i="6" s="1"/>
  <c r="T60" i="6" s="1"/>
  <c r="F45" i="6"/>
  <c r="S30" i="6" l="1"/>
  <c r="S32" i="6"/>
  <c r="P35" i="6" s="1"/>
  <c r="F75" i="6"/>
  <c r="F67" i="6"/>
  <c r="F66" i="6"/>
  <c r="F69" i="6" s="1"/>
  <c r="F71" i="6" s="1"/>
  <c r="F77" i="6" s="1"/>
  <c r="S41" i="6" l="1"/>
  <c r="S40" i="6"/>
  <c r="S43" i="6" s="1"/>
  <c r="S45" i="6" s="1"/>
  <c r="V44" i="6" s="1"/>
  <c r="I70" i="6"/>
  <c r="F80" i="6"/>
  <c r="I81" i="6" s="1"/>
  <c r="S62" i="5" l="1"/>
  <c r="S53" i="5"/>
  <c r="Q19" i="5"/>
  <c r="Q4" i="5"/>
  <c r="H34" i="5"/>
  <c r="C34" i="5"/>
  <c r="H33" i="5"/>
  <c r="C33" i="5"/>
  <c r="S51" i="5" s="1"/>
  <c r="H11" i="5"/>
  <c r="H10" i="5"/>
  <c r="T74" i="5" s="1"/>
  <c r="T72" i="5" l="1"/>
  <c r="T78" i="5" s="1"/>
  <c r="T80" i="5" s="1"/>
  <c r="W79" i="5" s="1"/>
  <c r="L33" i="5"/>
  <c r="D38" i="5" s="1"/>
  <c r="Q5" i="5"/>
  <c r="Q16" i="5" s="1"/>
  <c r="S50" i="5"/>
  <c r="S52" i="5" s="1"/>
  <c r="S54" i="5" s="1"/>
  <c r="S55" i="5"/>
  <c r="T76" i="5"/>
  <c r="D36" i="5"/>
  <c r="I38" i="5"/>
  <c r="Q6" i="5"/>
  <c r="D39" i="5"/>
  <c r="I39" i="5"/>
  <c r="Q7" i="5" l="1"/>
  <c r="T59" i="5" s="1"/>
  <c r="I36" i="5"/>
  <c r="H42" i="5" s="1"/>
  <c r="S24" i="5" s="1"/>
  <c r="F50" i="5"/>
  <c r="F52" i="5" s="1"/>
  <c r="C42" i="5"/>
  <c r="S56" i="5"/>
  <c r="S25" i="5"/>
  <c r="Q8" i="5"/>
  <c r="F51" i="5"/>
  <c r="F53" i="5" s="1"/>
  <c r="S47" i="5"/>
  <c r="S48" i="5" s="1"/>
  <c r="F45" i="5" l="1"/>
  <c r="F54" i="5"/>
  <c r="F55" i="5" s="1"/>
  <c r="F56" i="5" s="1"/>
  <c r="F58" i="5" s="1"/>
  <c r="F60" i="5" s="1"/>
  <c r="I68" i="5" s="1"/>
  <c r="S26" i="5"/>
  <c r="S28" i="5" s="1"/>
  <c r="P31" i="5" s="1"/>
  <c r="P59" i="5"/>
  <c r="I59" i="5" l="1"/>
  <c r="S66" i="5"/>
  <c r="S68" i="5" s="1"/>
  <c r="S64" i="5"/>
  <c r="S63" i="5"/>
  <c r="S39" i="5"/>
  <c r="S41" i="5" s="1"/>
  <c r="V40" i="5" s="1"/>
  <c r="S37" i="5"/>
  <c r="S36" i="5"/>
  <c r="V67" i="5" l="1"/>
  <c r="I70" i="5"/>
  <c r="I73" i="5" s="1"/>
  <c r="L74" i="5" s="1"/>
  <c r="S57" i="4" l="1"/>
  <c r="S48" i="4"/>
  <c r="Q12" i="4"/>
  <c r="Q6" i="4"/>
  <c r="C52" i="4"/>
  <c r="H34" i="4"/>
  <c r="C34" i="4"/>
  <c r="H33" i="4"/>
  <c r="C33" i="4"/>
  <c r="H11" i="4"/>
  <c r="H10" i="4"/>
  <c r="T69" i="4" s="1"/>
  <c r="L33" i="4" l="1"/>
  <c r="D38" i="4" s="1"/>
  <c r="I36" i="4"/>
  <c r="H42" i="4" s="1"/>
  <c r="D36" i="4"/>
  <c r="S50" i="4"/>
  <c r="T71" i="4"/>
  <c r="C54" i="4"/>
  <c r="C53" i="4"/>
  <c r="I38" i="4"/>
  <c r="S45" i="4"/>
  <c r="T67" i="4"/>
  <c r="T73" i="4" s="1"/>
  <c r="T75" i="4" s="1"/>
  <c r="W74" i="4" s="1"/>
  <c r="D39" i="4"/>
  <c r="S46" i="4"/>
  <c r="I39" i="4"/>
  <c r="S47" i="4" l="1"/>
  <c r="S49" i="4" s="1"/>
  <c r="S51" i="4" s="1"/>
  <c r="Q9" i="4"/>
  <c r="C55" i="4"/>
  <c r="T54" i="4" s="1"/>
  <c r="S18" i="4" s="1"/>
  <c r="S19" i="4" s="1"/>
  <c r="E61" i="4"/>
  <c r="E63" i="4" s="1"/>
  <c r="C56" i="4"/>
  <c r="S42" i="4"/>
  <c r="S43" i="4" s="1"/>
  <c r="E62" i="4"/>
  <c r="E64" i="4" s="1"/>
  <c r="C42" i="4"/>
  <c r="F45" i="4" s="1"/>
  <c r="S21" i="4" l="1"/>
  <c r="P24" i="4" s="1"/>
  <c r="P54" i="4"/>
  <c r="E65" i="4"/>
  <c r="E66" i="4" s="1"/>
  <c r="E67" i="4" s="1"/>
  <c r="E69" i="4" s="1"/>
  <c r="E71" i="4" s="1"/>
  <c r="S29" i="4" l="1"/>
  <c r="S32" i="4"/>
  <c r="S34" i="4" s="1"/>
  <c r="V33" i="4" s="1"/>
  <c r="S30" i="4"/>
  <c r="E75" i="4"/>
  <c r="H70" i="4"/>
  <c r="S59" i="4"/>
  <c r="S58" i="4"/>
  <c r="S61" i="4" s="1"/>
  <c r="S63" i="4" s="1"/>
  <c r="V62" i="4" l="1"/>
  <c r="E77" i="4"/>
  <c r="E80" i="4" s="1"/>
  <c r="H81" i="4" s="1"/>
  <c r="E65" i="3" l="1"/>
  <c r="E56" i="3"/>
  <c r="P22" i="3"/>
  <c r="P16" i="3"/>
  <c r="P5" i="3"/>
  <c r="H34" i="3"/>
  <c r="C34" i="3"/>
  <c r="H33" i="3"/>
  <c r="C33" i="3"/>
  <c r="E54" i="3" s="1"/>
  <c r="H11" i="3"/>
  <c r="H10" i="3"/>
  <c r="D39" i="3" s="1"/>
  <c r="I39" i="3" l="1"/>
  <c r="L33" i="3"/>
  <c r="R66" i="3"/>
  <c r="D36" i="3"/>
  <c r="E58" i="3"/>
  <c r="R68" i="3"/>
  <c r="P6" i="3"/>
  <c r="I38" i="3"/>
  <c r="P7" i="3"/>
  <c r="E53" i="3"/>
  <c r="E55" i="3" s="1"/>
  <c r="E57" i="3" s="1"/>
  <c r="E59" i="3" s="1"/>
  <c r="R64" i="3"/>
  <c r="R70" i="3" s="1"/>
  <c r="R72" i="3" s="1"/>
  <c r="U71" i="3" s="1"/>
  <c r="D38" i="3" l="1"/>
  <c r="C42" i="3" s="1"/>
  <c r="I36" i="3"/>
  <c r="H42" i="3" s="1"/>
  <c r="R51" i="3"/>
  <c r="R53" i="3" s="1"/>
  <c r="P9" i="3"/>
  <c r="E50" i="3"/>
  <c r="E51" i="3" s="1"/>
  <c r="P8" i="3"/>
  <c r="F62" i="3" s="1"/>
  <c r="R50" i="3"/>
  <c r="R52" i="3" s="1"/>
  <c r="P19" i="3"/>
  <c r="R28" i="3" l="1"/>
  <c r="R27" i="3"/>
  <c r="F45" i="3"/>
  <c r="R54" i="3"/>
  <c r="R55" i="3" s="1"/>
  <c r="R56" i="3" s="1"/>
  <c r="R58" i="3" s="1"/>
  <c r="R60" i="3" s="1"/>
  <c r="B62" i="3"/>
  <c r="R29" i="3" l="1"/>
  <c r="R31" i="3" s="1"/>
  <c r="O34" i="3" s="1"/>
  <c r="R40" i="3" s="1"/>
  <c r="U59" i="3"/>
  <c r="E75" i="3"/>
  <c r="E67" i="3"/>
  <c r="E66" i="3"/>
  <c r="E69" i="3" l="1"/>
  <c r="E71" i="3" s="1"/>
  <c r="H70" i="3" s="1"/>
  <c r="R39" i="3"/>
  <c r="R42" i="3" s="1"/>
  <c r="R44" i="3" s="1"/>
  <c r="U43" i="3" s="1"/>
  <c r="E77" i="3" l="1"/>
  <c r="E80" i="3" s="1"/>
  <c r="H81" i="3" s="1"/>
</calcChain>
</file>

<file path=xl/sharedStrings.xml><?xml version="1.0" encoding="utf-8"?>
<sst xmlns="http://schemas.openxmlformats.org/spreadsheetml/2006/main" count="979" uniqueCount="177">
  <si>
    <t>COL</t>
  </si>
  <si>
    <t>Length (m)</t>
  </si>
  <si>
    <t xml:space="preserve"> (Critial Sec)</t>
  </si>
  <si>
    <t>Load cases (MAX)</t>
  </si>
  <si>
    <t>NORMAL(ton)</t>
  </si>
  <si>
    <t>SHEAR (ton)</t>
  </si>
  <si>
    <t>MOMENT (t.m)</t>
  </si>
  <si>
    <t>Lby (m) = Lb</t>
  </si>
  <si>
    <t>Lbx (m)</t>
  </si>
  <si>
    <t>sections</t>
  </si>
  <si>
    <t>tw (cm)</t>
  </si>
  <si>
    <t>hw (cm)</t>
  </si>
  <si>
    <t>tf (cm)</t>
  </si>
  <si>
    <t>bf (cm)</t>
  </si>
  <si>
    <t>MC-L9</t>
  </si>
  <si>
    <t>1.2D+1.3Wy-+0.5LL</t>
  </si>
  <si>
    <t>Station(m)</t>
  </si>
  <si>
    <t>MC-L3</t>
  </si>
  <si>
    <t>0.9D+1.3Wx+</t>
  </si>
  <si>
    <t>MC-L2</t>
  </si>
  <si>
    <t>MC-R9</t>
  </si>
  <si>
    <t>0.9D+1.3Wy-</t>
  </si>
  <si>
    <t>1.2D+1.3Wy++0.5LL</t>
  </si>
  <si>
    <t>MC-M6</t>
  </si>
  <si>
    <t>C-EGL1</t>
  </si>
  <si>
    <t>C-EGL2</t>
  </si>
  <si>
    <t>C-EGL4</t>
  </si>
  <si>
    <t>C-MEZ-1</t>
  </si>
  <si>
    <t>1.2D+1.3Wx++0.5LL</t>
  </si>
  <si>
    <t>Ain Shams university</t>
  </si>
  <si>
    <t>Faculty of engineering</t>
  </si>
  <si>
    <t>Structural Engineering Department - SCHEP‎</t>
  </si>
  <si>
    <t>Graduation project 202</t>
  </si>
  <si>
    <t xml:space="preserve">Design of columns </t>
  </si>
  <si>
    <t>Refrence : Egyptian code( LRFD )</t>
  </si>
  <si>
    <t>Frame loaction</t>
  </si>
  <si>
    <t>vh</t>
  </si>
  <si>
    <t>Steel grade</t>
  </si>
  <si>
    <t>Fixed</t>
  </si>
  <si>
    <t>Hinged</t>
  </si>
  <si>
    <t>Column ID</t>
  </si>
  <si>
    <r>
      <t>F</t>
    </r>
    <r>
      <rPr>
        <b/>
        <vertAlign val="subscript"/>
        <sz val="14"/>
        <color theme="1"/>
        <rFont val="Calibri"/>
        <family val="2"/>
        <scheme val="minor"/>
      </rPr>
      <t xml:space="preserve">Y </t>
    </r>
  </si>
  <si>
    <r>
      <t>t/cm</t>
    </r>
    <r>
      <rPr>
        <vertAlign val="superscript"/>
        <sz val="14"/>
        <color theme="1"/>
        <rFont val="Calibri"/>
        <family val="2"/>
        <scheme val="minor"/>
      </rPr>
      <t>2</t>
    </r>
  </si>
  <si>
    <r>
      <t>F</t>
    </r>
    <r>
      <rPr>
        <b/>
        <vertAlign val="subscript"/>
        <sz val="14"/>
        <color theme="1"/>
        <rFont val="Calibri"/>
        <family val="2"/>
        <scheme val="minor"/>
      </rPr>
      <t>U</t>
    </r>
  </si>
  <si>
    <t>sec 4</t>
  </si>
  <si>
    <t xml:space="preserve">(1) Applied forces </t>
  </si>
  <si>
    <r>
      <t>M</t>
    </r>
    <r>
      <rPr>
        <vertAlign val="subscript"/>
        <sz val="14"/>
        <color theme="1"/>
        <rFont val="Calibri"/>
        <family val="2"/>
        <scheme val="minor"/>
      </rPr>
      <t>x 14</t>
    </r>
  </si>
  <si>
    <t>t.m</t>
  </si>
  <si>
    <t>N</t>
  </si>
  <si>
    <t>ton</t>
  </si>
  <si>
    <t>Q</t>
  </si>
  <si>
    <t>(2) Assumption of section</t>
  </si>
  <si>
    <t>h</t>
  </si>
  <si>
    <t>cm</t>
  </si>
  <si>
    <r>
      <t>t</t>
    </r>
    <r>
      <rPr>
        <vertAlign val="subscript"/>
        <sz val="14"/>
        <color theme="1"/>
        <rFont val="Calibri"/>
        <family val="2"/>
        <scheme val="minor"/>
      </rPr>
      <t>w</t>
    </r>
  </si>
  <si>
    <r>
      <t>b</t>
    </r>
    <r>
      <rPr>
        <vertAlign val="subscript"/>
        <sz val="14"/>
        <color theme="1"/>
        <rFont val="Calibri"/>
        <family val="2"/>
        <scheme val="minor"/>
      </rPr>
      <t>F</t>
    </r>
  </si>
  <si>
    <r>
      <t>t</t>
    </r>
    <r>
      <rPr>
        <vertAlign val="subscript"/>
        <sz val="14"/>
        <color theme="1"/>
        <rFont val="Calibri"/>
        <family val="2"/>
        <scheme val="minor"/>
      </rPr>
      <t>f</t>
    </r>
  </si>
  <si>
    <t>(3) classification of section</t>
  </si>
  <si>
    <t>(i) Web</t>
  </si>
  <si>
    <t>(ii) Flange</t>
  </si>
  <si>
    <r>
      <t>d</t>
    </r>
    <r>
      <rPr>
        <vertAlign val="subscript"/>
        <sz val="14"/>
        <color theme="1"/>
        <rFont val="Calibri"/>
        <family val="2"/>
        <scheme val="minor"/>
      </rPr>
      <t>w</t>
    </r>
  </si>
  <si>
    <t>C</t>
  </si>
  <si>
    <t>α</t>
  </si>
  <si>
    <t xml:space="preserve">l =         </t>
  </si>
  <si>
    <t xml:space="preserve">table </t>
  </si>
  <si>
    <t>table</t>
  </si>
  <si>
    <t>2.12a</t>
  </si>
  <si>
    <r>
      <t>l</t>
    </r>
    <r>
      <rPr>
        <sz val="14"/>
        <color theme="1"/>
        <rFont val="Calibri Light"/>
        <family val="2"/>
        <scheme val="major"/>
      </rPr>
      <t>p</t>
    </r>
  </si>
  <si>
    <t>2.12c</t>
  </si>
  <si>
    <r>
      <t>l</t>
    </r>
    <r>
      <rPr>
        <sz val="14"/>
        <color theme="1"/>
        <rFont val="Calibri Light"/>
        <family val="2"/>
        <scheme val="major"/>
      </rPr>
      <t xml:space="preserve">p </t>
    </r>
  </si>
  <si>
    <t>P. 2-27</t>
  </si>
  <si>
    <r>
      <t>l</t>
    </r>
    <r>
      <rPr>
        <vertAlign val="subscript"/>
        <sz val="14"/>
        <color theme="1"/>
        <rFont val="Calibri Light"/>
        <family val="2"/>
        <scheme val="major"/>
      </rPr>
      <t>r</t>
    </r>
  </si>
  <si>
    <t>P. 2-29</t>
  </si>
  <si>
    <t>Class.</t>
  </si>
  <si>
    <t>Section class.</t>
  </si>
  <si>
    <t>(4) section properties</t>
  </si>
  <si>
    <t>Area</t>
  </si>
  <si>
    <r>
      <t>cm</t>
    </r>
    <r>
      <rPr>
        <vertAlign val="superscript"/>
        <sz val="14"/>
        <color theme="1"/>
        <rFont val="Times New Roman"/>
        <family val="1"/>
      </rPr>
      <t>2</t>
    </r>
  </si>
  <si>
    <t>Ix</t>
  </si>
  <si>
    <r>
      <t>cm</t>
    </r>
    <r>
      <rPr>
        <vertAlign val="superscript"/>
        <sz val="14"/>
        <color theme="1"/>
        <rFont val="Times New Roman"/>
        <family val="1"/>
      </rPr>
      <t>4</t>
    </r>
  </si>
  <si>
    <t>Iy</t>
  </si>
  <si>
    <t>Sx</t>
  </si>
  <si>
    <r>
      <t>cm</t>
    </r>
    <r>
      <rPr>
        <vertAlign val="superscript"/>
        <sz val="14"/>
        <color theme="1"/>
        <rFont val="Times New Roman"/>
        <family val="1"/>
      </rPr>
      <t>3</t>
    </r>
  </si>
  <si>
    <t>Sy</t>
  </si>
  <si>
    <t>(5) Column data</t>
  </si>
  <si>
    <t xml:space="preserve">Total length </t>
  </si>
  <si>
    <t>Base type</t>
  </si>
  <si>
    <t>G 1</t>
  </si>
  <si>
    <t>Table 2.6b , P.2-15</t>
  </si>
  <si>
    <t>Ix (Rafter)</t>
  </si>
  <si>
    <r>
      <t>cm</t>
    </r>
    <r>
      <rPr>
        <vertAlign val="superscript"/>
        <sz val="14"/>
        <color theme="1"/>
        <rFont val="Calibri"/>
        <family val="2"/>
        <scheme val="minor"/>
      </rPr>
      <t>4</t>
    </r>
  </si>
  <si>
    <t>User define</t>
  </si>
  <si>
    <t>Length of rafter</t>
  </si>
  <si>
    <t>G 2</t>
  </si>
  <si>
    <t>K</t>
  </si>
  <si>
    <t>User define , chart (2.7) , P.2-14</t>
  </si>
  <si>
    <r>
      <t xml:space="preserve">L </t>
    </r>
    <r>
      <rPr>
        <vertAlign val="subscript"/>
        <sz val="14"/>
        <color theme="1"/>
        <rFont val="Calibri"/>
        <family val="2"/>
        <scheme val="minor"/>
      </rPr>
      <t>bx</t>
    </r>
  </si>
  <si>
    <t>L by = Lb</t>
  </si>
  <si>
    <t>User define ( from bracing)</t>
  </si>
  <si>
    <t>(6) flexure design</t>
  </si>
  <si>
    <t>( Ch.5 )</t>
  </si>
  <si>
    <t>( Compact section )</t>
  </si>
  <si>
    <r>
      <t>r</t>
    </r>
    <r>
      <rPr>
        <vertAlign val="subscript"/>
        <sz val="14"/>
        <color theme="1"/>
        <rFont val="Calibri"/>
        <family val="2"/>
        <scheme val="minor"/>
      </rPr>
      <t>y</t>
    </r>
  </si>
  <si>
    <t>Eq. 5.4 , P.5-3</t>
  </si>
  <si>
    <r>
      <t>L</t>
    </r>
    <r>
      <rPr>
        <vertAlign val="subscript"/>
        <sz val="14"/>
        <color theme="1"/>
        <rFont val="Calibri"/>
        <family val="2"/>
        <scheme val="minor"/>
      </rPr>
      <t>p</t>
    </r>
  </si>
  <si>
    <t>T - section</t>
  </si>
  <si>
    <t>Area (T-section)</t>
  </si>
  <si>
    <r>
      <t>cm</t>
    </r>
    <r>
      <rPr>
        <vertAlign val="superscript"/>
        <sz val="14"/>
        <color theme="1"/>
        <rFont val="Calibri"/>
        <family val="2"/>
        <scheme val="minor"/>
      </rPr>
      <t>2</t>
    </r>
  </si>
  <si>
    <r>
      <t>r</t>
    </r>
    <r>
      <rPr>
        <vertAlign val="subscript"/>
        <sz val="14"/>
        <color theme="1"/>
        <rFont val="Calibri"/>
        <family val="2"/>
        <scheme val="minor"/>
      </rPr>
      <t>T</t>
    </r>
  </si>
  <si>
    <t>Area flange</t>
  </si>
  <si>
    <t>Eq. 5.8 , P. 5-3</t>
  </si>
  <si>
    <t>X</t>
  </si>
  <si>
    <r>
      <t>F</t>
    </r>
    <r>
      <rPr>
        <vertAlign val="subscript"/>
        <sz val="14"/>
        <color theme="1"/>
        <rFont val="Calibri"/>
        <family val="2"/>
        <scheme val="minor"/>
      </rPr>
      <t>L</t>
    </r>
  </si>
  <si>
    <t>Eq. 5.7 , P. 5-3</t>
  </si>
  <si>
    <r>
      <t>L</t>
    </r>
    <r>
      <rPr>
        <vertAlign val="subscript"/>
        <sz val="14"/>
        <color theme="1"/>
        <rFont val="Calibri"/>
        <family val="2"/>
        <scheme val="minor"/>
      </rPr>
      <t>r</t>
    </r>
  </si>
  <si>
    <t>Mp</t>
  </si>
  <si>
    <t>Case (a) or (b)</t>
  </si>
  <si>
    <r>
      <t>C</t>
    </r>
    <r>
      <rPr>
        <vertAlign val="subscript"/>
        <sz val="14"/>
        <color theme="1"/>
        <rFont val="Calibri"/>
        <family val="2"/>
        <scheme val="minor"/>
      </rPr>
      <t>b</t>
    </r>
  </si>
  <si>
    <t>User define ,5.1 , P.5-1</t>
  </si>
  <si>
    <t>case (b)</t>
  </si>
  <si>
    <t>Mr</t>
  </si>
  <si>
    <t>P.5-1 : P.5-4</t>
  </si>
  <si>
    <t xml:space="preserve">case ( c ) </t>
  </si>
  <si>
    <t>Mcr</t>
  </si>
  <si>
    <t>Mn</t>
  </si>
  <si>
    <t>f</t>
  </si>
  <si>
    <r>
      <rPr>
        <sz val="14"/>
        <color theme="1"/>
        <rFont val="Symbol"/>
        <family val="1"/>
        <charset val="2"/>
      </rPr>
      <t>f</t>
    </r>
    <r>
      <rPr>
        <sz val="14"/>
        <color theme="1"/>
        <rFont val="Calibri"/>
        <family val="2"/>
        <scheme val="minor"/>
      </rPr>
      <t>Mn</t>
    </r>
  </si>
  <si>
    <t>(7) Desgin of normal strenght</t>
  </si>
  <si>
    <t>( Ch.4 )</t>
  </si>
  <si>
    <t>(5) flexure design</t>
  </si>
  <si>
    <t>( Non-compact )</t>
  </si>
  <si>
    <r>
      <t>r</t>
    </r>
    <r>
      <rPr>
        <vertAlign val="subscript"/>
        <sz val="14"/>
        <color theme="1"/>
        <rFont val="Calibri"/>
        <family val="2"/>
        <scheme val="minor"/>
      </rPr>
      <t>x</t>
    </r>
  </si>
  <si>
    <t>Mn (flange)</t>
  </si>
  <si>
    <t xml:space="preserve">Eq. 5.16 </t>
  </si>
  <si>
    <t>Mn (web)</t>
  </si>
  <si>
    <t>P. 5-5</t>
  </si>
  <si>
    <r>
      <t>l</t>
    </r>
    <r>
      <rPr>
        <sz val="14"/>
        <color theme="1"/>
        <rFont val="Calibri Light"/>
        <family val="2"/>
        <scheme val="major"/>
      </rPr>
      <t>x</t>
    </r>
  </si>
  <si>
    <t xml:space="preserve">Mn </t>
  </si>
  <si>
    <r>
      <t>l</t>
    </r>
    <r>
      <rPr>
        <sz val="14"/>
        <color theme="1"/>
        <rFont val="Calibri Light"/>
        <family val="2"/>
        <scheme val="major"/>
      </rPr>
      <t>y</t>
    </r>
  </si>
  <si>
    <r>
      <t>l</t>
    </r>
    <r>
      <rPr>
        <sz val="14"/>
        <color theme="1"/>
        <rFont val="Calibri Light"/>
        <family val="2"/>
        <scheme val="major"/>
      </rPr>
      <t>max</t>
    </r>
  </si>
  <si>
    <r>
      <t>L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'</t>
    </r>
  </si>
  <si>
    <t>Eq. 4.4</t>
  </si>
  <si>
    <r>
      <t>l</t>
    </r>
    <r>
      <rPr>
        <sz val="14"/>
        <color theme="1"/>
        <rFont val="Calibri Light"/>
        <family val="2"/>
        <scheme val="major"/>
      </rPr>
      <t>c</t>
    </r>
  </si>
  <si>
    <t>Eq. 4.2 , 4.3</t>
  </si>
  <si>
    <r>
      <t>F</t>
    </r>
    <r>
      <rPr>
        <vertAlign val="subscript"/>
        <sz val="14"/>
        <color theme="1"/>
        <rFont val="Calibri"/>
        <family val="2"/>
        <scheme val="minor"/>
      </rPr>
      <t>cr</t>
    </r>
  </si>
  <si>
    <t>Eq. 4.1</t>
  </si>
  <si>
    <t>Pn</t>
  </si>
  <si>
    <r>
      <rPr>
        <sz val="14"/>
        <color theme="1"/>
        <rFont val="Symbol"/>
        <family val="1"/>
        <charset val="2"/>
      </rPr>
      <t>f</t>
    </r>
    <r>
      <rPr>
        <sz val="14"/>
        <color theme="1"/>
        <rFont val="Calibri"/>
        <family val="2"/>
        <scheme val="minor"/>
      </rPr>
      <t>Pn</t>
    </r>
  </si>
  <si>
    <t>(8) Design of shear strenght</t>
  </si>
  <si>
    <t>Ch.5</t>
  </si>
  <si>
    <t>Eq.s 5.22,5.23,5.24</t>
  </si>
  <si>
    <t>Vn</t>
  </si>
  <si>
    <r>
      <rPr>
        <sz val="14"/>
        <color theme="1"/>
        <rFont val="Symbol"/>
        <family val="1"/>
        <charset val="2"/>
      </rPr>
      <t>f</t>
    </r>
    <r>
      <rPr>
        <sz val="14"/>
        <color theme="1"/>
        <rFont val="Calibri"/>
        <family val="2"/>
        <scheme val="minor"/>
      </rPr>
      <t>Vu</t>
    </r>
  </si>
  <si>
    <t>(9) Check combined M+N</t>
  </si>
  <si>
    <t>Ch.7</t>
  </si>
  <si>
    <t>Eq.s 7.1a,7.1b</t>
  </si>
  <si>
    <t>Ratio</t>
  </si>
  <si>
    <r>
      <t>M</t>
    </r>
    <r>
      <rPr>
        <vertAlign val="subscript"/>
        <sz val="14"/>
        <color theme="1"/>
        <rFont val="Calibri"/>
        <family val="2"/>
        <scheme val="minor"/>
      </rPr>
      <t xml:space="preserve">x </t>
    </r>
  </si>
  <si>
    <t>sec 3</t>
  </si>
  <si>
    <t>for G2</t>
  </si>
  <si>
    <t>SEC-MEZZ-1</t>
  </si>
  <si>
    <t>SEC-MEZZ-2</t>
  </si>
  <si>
    <t>L (cm)</t>
  </si>
  <si>
    <t>Ix ( cm 4)</t>
  </si>
  <si>
    <t xml:space="preserve">Ain Shams University </t>
  </si>
  <si>
    <t>Graduation project 2022</t>
  </si>
  <si>
    <t>C-EGL-4</t>
  </si>
  <si>
    <t>sec 2</t>
  </si>
  <si>
    <r>
      <t>M</t>
    </r>
    <r>
      <rPr>
        <vertAlign val="subscript"/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Calibri"/>
        <family val="2"/>
        <scheme val="minor"/>
      </rPr>
      <t>1</t>
    </r>
  </si>
  <si>
    <r>
      <t>M</t>
    </r>
    <r>
      <rPr>
        <vertAlign val="subscript"/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Calibri"/>
        <family val="2"/>
        <scheme val="minor"/>
      </rPr>
      <t>2</t>
    </r>
  </si>
  <si>
    <r>
      <t>M</t>
    </r>
    <r>
      <rPr>
        <vertAlign val="subscript"/>
        <sz val="14"/>
        <color theme="1"/>
        <rFont val="Calibri"/>
        <family val="2"/>
        <scheme val="minor"/>
      </rPr>
      <t>x</t>
    </r>
  </si>
  <si>
    <t>MAX length Free</t>
  </si>
  <si>
    <t>…..</t>
  </si>
  <si>
    <t>……</t>
  </si>
  <si>
    <t>Main-Col-16-12</t>
  </si>
  <si>
    <t>HEA 900</t>
  </si>
  <si>
    <t>2ز8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</si>
</sst>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78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charset val="178"/>
      <scheme val="minor"/>
    </font>
    <font>
      <sz val="11"/>
      <color theme="2"/>
      <name val="Calibri"/>
      <family val="2"/>
      <charset val="17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Symbol"/>
      <family val="1"/>
      <charset val="2"/>
    </font>
    <font>
      <sz val="14"/>
      <color theme="1"/>
      <name val="Calibri Light"/>
      <family val="2"/>
      <scheme val="major"/>
    </font>
    <font>
      <vertAlign val="subscript"/>
      <sz val="14"/>
      <color theme="1"/>
      <name val="Calibri Light"/>
      <family val="2"/>
      <scheme val="maj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name val="Times New Roman"/>
      <family val="1"/>
      <charset val="178"/>
    </font>
    <font>
      <sz val="14"/>
      <color theme="1"/>
      <name val="Calibri"/>
      <family val="1"/>
      <charset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6">
    <xf numFmtId="0" fontId="0" fillId="0" borderId="0" xfId="0"/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vertical="center"/>
    </xf>
    <xf numFmtId="0" fontId="0" fillId="3" borderId="4" xfId="0" applyFill="1" applyBorder="1" applyAlignment="1">
      <alignment horizontal="center"/>
    </xf>
    <xf numFmtId="0" fontId="1" fillId="0" borderId="4" xfId="1" applyBorder="1" applyAlignment="1">
      <alignment horizontal="center" vertical="center"/>
    </xf>
    <xf numFmtId="49" fontId="1" fillId="0" borderId="4" xfId="1" applyNumberFormat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vertical="center"/>
    </xf>
    <xf numFmtId="0" fontId="3" fillId="3" borderId="4" xfId="1" applyFont="1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49" fontId="1" fillId="0" borderId="10" xfId="1" applyNumberFormat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1" fillId="3" borderId="10" xfId="1" applyFill="1" applyBorder="1" applyAlignment="1">
      <alignment horizontal="center"/>
    </xf>
    <xf numFmtId="0" fontId="1" fillId="0" borderId="6" xfId="1" applyBorder="1" applyAlignment="1">
      <alignment horizontal="center"/>
    </xf>
    <xf numFmtId="49" fontId="1" fillId="0" borderId="6" xfId="1" applyNumberFormat="1" applyBorder="1" applyAlignment="1">
      <alignment horizontal="center"/>
    </xf>
    <xf numFmtId="0" fontId="1" fillId="3" borderId="6" xfId="1" applyFill="1" applyBorder="1" applyAlignment="1">
      <alignment horizontal="center"/>
    </xf>
    <xf numFmtId="0" fontId="1" fillId="0" borderId="10" xfId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0" borderId="12" xfId="1" applyBorder="1" applyAlignment="1">
      <alignment horizontal="center"/>
    </xf>
    <xf numFmtId="49" fontId="1" fillId="0" borderId="12" xfId="1" applyNumberFormat="1" applyBorder="1" applyAlignment="1">
      <alignment horizontal="center"/>
    </xf>
    <xf numFmtId="0" fontId="1" fillId="3" borderId="12" xfId="1" applyFill="1" applyBorder="1" applyAlignment="1">
      <alignment horizontal="center"/>
    </xf>
    <xf numFmtId="0" fontId="0" fillId="0" borderId="13" xfId="0" applyBorder="1" applyAlignment="1">
      <alignment vertical="center"/>
    </xf>
    <xf numFmtId="0" fontId="1" fillId="0" borderId="13" xfId="1" applyBorder="1" applyAlignment="1">
      <alignment horizontal="center"/>
    </xf>
    <xf numFmtId="49" fontId="1" fillId="0" borderId="13" xfId="1" applyNumberFormat="1" applyBorder="1" applyAlignment="1">
      <alignment horizontal="center"/>
    </xf>
    <xf numFmtId="0" fontId="1" fillId="3" borderId="13" xfId="1" applyFill="1" applyBorder="1" applyAlignment="1">
      <alignment horizontal="center"/>
    </xf>
    <xf numFmtId="0" fontId="5" fillId="3" borderId="13" xfId="1" applyFont="1" applyFill="1" applyBorder="1" applyAlignment="1">
      <alignment horizontal="center"/>
    </xf>
    <xf numFmtId="49" fontId="1" fillId="0" borderId="12" xfId="1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49" fontId="1" fillId="0" borderId="13" xfId="1" applyNumberFormat="1" applyBorder="1" applyAlignment="1">
      <alignment vertical="center"/>
    </xf>
    <xf numFmtId="0" fontId="1" fillId="0" borderId="13" xfId="1" applyBorder="1" applyAlignment="1">
      <alignment horizontal="center" vertical="center"/>
    </xf>
    <xf numFmtId="49" fontId="1" fillId="0" borderId="13" xfId="1" applyNumberFormat="1" applyBorder="1" applyAlignment="1">
      <alignment horizontal="center" vertical="center"/>
    </xf>
    <xf numFmtId="0" fontId="1" fillId="3" borderId="13" xfId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0" fontId="6" fillId="3" borderId="13" xfId="1" applyFont="1" applyFill="1" applyBorder="1" applyAlignment="1">
      <alignment horizontal="center" vertical="center"/>
    </xf>
    <xf numFmtId="0" fontId="1" fillId="3" borderId="12" xfId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/>
    </xf>
    <xf numFmtId="49" fontId="1" fillId="0" borderId="10" xfId="1" applyNumberFormat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3" borderId="1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1" xfId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4" fontId="20" fillId="0" borderId="4" xfId="0" applyNumberFormat="1" applyFont="1" applyBorder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7" fillId="0" borderId="12" xfId="0" applyFont="1" applyBorder="1" applyAlignment="1">
      <alignment horizontal="center" vertical="center"/>
    </xf>
    <xf numFmtId="164" fontId="20" fillId="0" borderId="6" xfId="0" applyNumberFormat="1" applyFont="1" applyBorder="1" applyAlignment="1" applyProtection="1">
      <alignment horizontal="center"/>
      <protection hidden="1"/>
    </xf>
    <xf numFmtId="0" fontId="8" fillId="0" borderId="0" xfId="0" applyFont="1" applyAlignment="1">
      <alignment vertical="center"/>
    </xf>
    <xf numFmtId="0" fontId="8" fillId="0" borderId="24" xfId="0" applyFont="1" applyBorder="1" applyAlignment="1">
      <alignment vertical="center"/>
    </xf>
    <xf numFmtId="0" fontId="12" fillId="5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9" fontId="1" fillId="4" borderId="11" xfId="1" applyNumberFormat="1" applyFill="1" applyBorder="1" applyAlignment="1">
      <alignment horizontal="center" vertical="center"/>
    </xf>
    <xf numFmtId="49" fontId="1" fillId="4" borderId="9" xfId="1" applyNumberFormat="1" applyFill="1" applyBorder="1" applyAlignment="1">
      <alignment horizontal="center" vertical="center"/>
    </xf>
    <xf numFmtId="49" fontId="1" fillId="4" borderId="12" xfId="1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49" fontId="1" fillId="4" borderId="14" xfId="1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2" fillId="0" borderId="4" xfId="0" applyFont="1" applyBorder="1" applyAlignment="1" applyProtection="1">
      <alignment horizontal="center"/>
      <protection hidden="1"/>
    </xf>
    <xf numFmtId="0" fontId="7" fillId="0" borderId="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2" fillId="0" borderId="19" xfId="0" applyFont="1" applyBorder="1" applyAlignment="1" applyProtection="1">
      <alignment horizontal="center"/>
      <protection hidden="1"/>
    </xf>
    <xf numFmtId="0" fontId="22" fillId="0" borderId="20" xfId="0" applyFont="1" applyBorder="1" applyAlignment="1" applyProtection="1">
      <alignment horizontal="center"/>
      <protection hidden="1"/>
    </xf>
    <xf numFmtId="0" fontId="11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640080</xdr:colOff>
      <xdr:row>40</xdr:row>
      <xdr:rowOff>169566</xdr:rowOff>
    </xdr:from>
    <xdr:to>
      <xdr:col>7</xdr:col>
      <xdr:colOff>879078</xdr:colOff>
      <xdr:row>59</xdr:row>
      <xdr:rowOff>44297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0" y="5175906"/>
          <a:ext cx="6693138" cy="3349451"/>
        </a:xfrm>
        <a:prstGeom prst="rect">
          <a:avLst/>
        </a:prstGeom>
      </xdr:spPr>
    </xdr:pic>
    <xdr:clientData/>
  </xdr:twoCellAnchor>
  <xdr:twoCellAnchor>
    <xdr:from>
      <xdr:col>7</xdr:col>
      <xdr:colOff>503424</xdr:colOff>
      <xdr:row>40</xdr:row>
      <xdr:rowOff>144444</xdr:rowOff>
    </xdr:from>
    <xdr:to>
      <xdr:col>7</xdr:col>
      <xdr:colOff>557853</xdr:colOff>
      <xdr:row>42</xdr:row>
      <xdr:rowOff>130376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9" idx="2"/>
        </xdr:cNvCxnSpPr>
      </xdr:nvCxnSpPr>
      <xdr:spPr>
        <a:xfrm flipH="1">
          <a:off x="6843264" y="5150784"/>
          <a:ext cx="54429" cy="35169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325485</xdr:colOff>
      <xdr:row>40</xdr:row>
      <xdr:rowOff>43962</xdr:rowOff>
    </xdr:from>
    <xdr:to>
      <xdr:col>5</xdr:col>
      <xdr:colOff>333860</xdr:colOff>
      <xdr:row>42</xdr:row>
      <xdr:rowOff>63387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12" idx="2"/>
        </xdr:cNvCxnSpPr>
      </xdr:nvCxnSpPr>
      <xdr:spPr>
        <a:xfrm flipH="1">
          <a:off x="4950825" y="5050302"/>
          <a:ext cx="8375" cy="38518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420861</xdr:colOff>
      <xdr:row>40</xdr:row>
      <xdr:rowOff>136070</xdr:rowOff>
    </xdr:from>
    <xdr:to>
      <xdr:col>6</xdr:col>
      <xdr:colOff>450168</xdr:colOff>
      <xdr:row>42</xdr:row>
      <xdr:rowOff>71761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13" idx="2"/>
        </xdr:cNvCxnSpPr>
      </xdr:nvCxnSpPr>
      <xdr:spPr>
        <a:xfrm>
          <a:off x="5968221" y="5142410"/>
          <a:ext cx="29307" cy="30145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1512866</xdr:colOff>
      <xdr:row>39</xdr:row>
      <xdr:rowOff>156670</xdr:rowOff>
    </xdr:from>
    <xdr:to>
      <xdr:col>4</xdr:col>
      <xdr:colOff>1571481</xdr:colOff>
      <xdr:row>41</xdr:row>
      <xdr:rowOff>170904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11" idx="2"/>
        </xdr:cNvCxnSpPr>
      </xdr:nvCxnSpPr>
      <xdr:spPr>
        <a:xfrm>
          <a:off x="4004606" y="4980130"/>
          <a:ext cx="58615" cy="37999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109864</xdr:colOff>
      <xdr:row>39</xdr:row>
      <xdr:rowOff>117983</xdr:rowOff>
    </xdr:from>
    <xdr:to>
      <xdr:col>8</xdr:col>
      <xdr:colOff>22862</xdr:colOff>
      <xdr:row>40</xdr:row>
      <xdr:rowOff>144444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449704" y="4941443"/>
          <a:ext cx="895978" cy="20934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HUNCH-R9</a:t>
          </a:r>
        </a:p>
      </xdr:txBody>
    </xdr:sp>
    <xdr:clientData/>
  </xdr:twoCellAnchor>
  <xdr:twoCellAnchor>
    <xdr:from>
      <xdr:col>3</xdr:col>
      <xdr:colOff>217634</xdr:colOff>
      <xdr:row>39</xdr:row>
      <xdr:rowOff>159851</xdr:rowOff>
    </xdr:from>
    <xdr:to>
      <xdr:col>3</xdr:col>
      <xdr:colOff>1113612</xdr:colOff>
      <xdr:row>41</xdr:row>
      <xdr:rowOff>3432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551134" y="4983311"/>
          <a:ext cx="895978" cy="20934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HUNCH-R9</a:t>
          </a:r>
        </a:p>
      </xdr:txBody>
    </xdr:sp>
    <xdr:clientData/>
  </xdr:twoCellAnchor>
  <xdr:twoCellAnchor>
    <xdr:from>
      <xdr:col>4</xdr:col>
      <xdr:colOff>1177922</xdr:colOff>
      <xdr:row>38</xdr:row>
      <xdr:rowOff>121836</xdr:rowOff>
    </xdr:from>
    <xdr:to>
      <xdr:col>4</xdr:col>
      <xdr:colOff>1847810</xdr:colOff>
      <xdr:row>39</xdr:row>
      <xdr:rowOff>156670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3669662" y="4762416"/>
          <a:ext cx="669888" cy="21771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H15</a:t>
          </a:r>
        </a:p>
      </xdr:txBody>
    </xdr:sp>
    <xdr:clientData/>
  </xdr:twoCellAnchor>
  <xdr:twoCellAnchor>
    <xdr:from>
      <xdr:col>5</xdr:col>
      <xdr:colOff>32410</xdr:colOff>
      <xdr:row>38</xdr:row>
      <xdr:rowOff>175260</xdr:rowOff>
    </xdr:from>
    <xdr:to>
      <xdr:col>5</xdr:col>
      <xdr:colOff>635309</xdr:colOff>
      <xdr:row>40</xdr:row>
      <xdr:rowOff>43962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657750" y="4815840"/>
          <a:ext cx="602899" cy="23446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H4,14</a:t>
          </a:r>
        </a:p>
      </xdr:txBody>
    </xdr:sp>
    <xdr:clientData/>
  </xdr:twoCellAnchor>
  <xdr:twoCellAnchor>
    <xdr:from>
      <xdr:col>5</xdr:col>
      <xdr:colOff>844651</xdr:colOff>
      <xdr:row>39</xdr:row>
      <xdr:rowOff>67742</xdr:rowOff>
    </xdr:from>
    <xdr:to>
      <xdr:col>7</xdr:col>
      <xdr:colOff>126610</xdr:colOff>
      <xdr:row>40</xdr:row>
      <xdr:rowOff>136070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469991" y="4891202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RAFTER-14,18</a:t>
          </a:r>
        </a:p>
      </xdr:txBody>
    </xdr:sp>
    <xdr:clientData/>
  </xdr:twoCellAnchor>
  <xdr:twoCellAnchor>
    <xdr:from>
      <xdr:col>4</xdr:col>
      <xdr:colOff>55855</xdr:colOff>
      <xdr:row>39</xdr:row>
      <xdr:rowOff>50995</xdr:rowOff>
    </xdr:from>
    <xdr:to>
      <xdr:col>4</xdr:col>
      <xdr:colOff>1052314</xdr:colOff>
      <xdr:row>40</xdr:row>
      <xdr:rowOff>119323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547595" y="4874455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RAFTER-17</a:t>
          </a:r>
        </a:p>
      </xdr:txBody>
    </xdr:sp>
    <xdr:clientData/>
  </xdr:twoCellAnchor>
  <xdr:twoCellAnchor>
    <xdr:from>
      <xdr:col>4</xdr:col>
      <xdr:colOff>554085</xdr:colOff>
      <xdr:row>40</xdr:row>
      <xdr:rowOff>119323</xdr:rowOff>
    </xdr:from>
    <xdr:to>
      <xdr:col>4</xdr:col>
      <xdr:colOff>579120</xdr:colOff>
      <xdr:row>42</xdr:row>
      <xdr:rowOff>99060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14" idx="2"/>
        </xdr:cNvCxnSpPr>
      </xdr:nvCxnSpPr>
      <xdr:spPr>
        <a:xfrm>
          <a:off x="3045825" y="5125663"/>
          <a:ext cx="25035" cy="34549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214955</xdr:colOff>
      <xdr:row>49</xdr:row>
      <xdr:rowOff>72767</xdr:rowOff>
    </xdr:from>
    <xdr:to>
      <xdr:col>4</xdr:col>
      <xdr:colOff>1211414</xdr:colOff>
      <xdr:row>50</xdr:row>
      <xdr:rowOff>141095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2706695" y="6725027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M-B-MEZ-2</a:t>
          </a:r>
        </a:p>
      </xdr:txBody>
    </xdr:sp>
    <xdr:clientData/>
  </xdr:twoCellAnchor>
  <xdr:twoCellAnchor>
    <xdr:from>
      <xdr:col>4</xdr:col>
      <xdr:colOff>441041</xdr:colOff>
      <xdr:row>50</xdr:row>
      <xdr:rowOff>121920</xdr:rowOff>
    </xdr:from>
    <xdr:to>
      <xdr:col>4</xdr:col>
      <xdr:colOff>472440</xdr:colOff>
      <xdr:row>52</xdr:row>
      <xdr:rowOff>168896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>
          <a:off x="2932781" y="6957060"/>
          <a:ext cx="31399" cy="41273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41</xdr:row>
      <xdr:rowOff>22860</xdr:rowOff>
    </xdr:from>
    <xdr:to>
      <xdr:col>3</xdr:col>
      <xdr:colOff>722143</xdr:colOff>
      <xdr:row>43</xdr:row>
      <xdr:rowOff>128115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965960" y="5212080"/>
          <a:ext cx="89683" cy="4710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586740</xdr:colOff>
      <xdr:row>33</xdr:row>
      <xdr:rowOff>156210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880360" y="79286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533400</xdr:colOff>
      <xdr:row>26</xdr:row>
      <xdr:rowOff>148590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43000" y="62598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30480</xdr:colOff>
      <xdr:row>35</xdr:row>
      <xdr:rowOff>11430</xdr:rowOff>
    </xdr:from>
    <xdr:ext cx="22192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249680" y="827151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𝑑𝑤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𝑡𝑤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D37B675-B617-4888-893B-A91B8E9914E9}"/>
                </a:ext>
              </a:extLst>
            </xdr:cNvPr>
            <xdr:cNvSpPr txBox="1"/>
          </xdr:nvSpPr>
          <xdr:spPr>
            <a:xfrm>
              <a:off x="1249680" y="827151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𝑑𝑤/𝑡𝑤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30480</xdr:colOff>
      <xdr:row>35</xdr:row>
      <xdr:rowOff>11430</xdr:rowOff>
    </xdr:from>
    <xdr:ext cx="206851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448300" y="8271510"/>
              <a:ext cx="20685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𝑡𝑓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BCF020-2F9B-4C74-B69F-469F98C26689}"/>
                </a:ext>
              </a:extLst>
            </xdr:cNvPr>
            <xdr:cNvSpPr txBox="1"/>
          </xdr:nvSpPr>
          <xdr:spPr>
            <a:xfrm>
              <a:off x="5448300" y="8271510"/>
              <a:ext cx="20685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𝐶/𝑡𝑓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121920</xdr:colOff>
          <xdr:row>21</xdr:row>
          <xdr:rowOff>22860</xdr:rowOff>
        </xdr:from>
        <xdr:to>
          <xdr:col>8</xdr:col>
          <xdr:colOff>518160</xdr:colOff>
          <xdr:row>31</xdr:row>
          <xdr:rowOff>30480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60960</xdr:colOff>
          <xdr:row>48</xdr:row>
          <xdr:rowOff>60960</xdr:rowOff>
        </xdr:from>
        <xdr:to>
          <xdr:col>9</xdr:col>
          <xdr:colOff>228600</xdr:colOff>
          <xdr:row>58</xdr:row>
          <xdr:rowOff>60960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15</xdr:col>
      <xdr:colOff>551331</xdr:colOff>
      <xdr:row>63</xdr:row>
      <xdr:rowOff>8965</xdr:rowOff>
    </xdr:from>
    <xdr:ext cx="165846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770531" y="26976145"/>
              <a:ext cx="16584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𝑡𝑤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770531" y="26976145"/>
              <a:ext cx="16584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ℎ/𝑡𝑤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372035</xdr:colOff>
      <xdr:row>65</xdr:row>
      <xdr:rowOff>62752</xdr:rowOff>
    </xdr:from>
    <xdr:ext cx="581441" cy="284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591235" y="27487132"/>
              <a:ext cx="581441" cy="28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112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591235" y="27487132"/>
              <a:ext cx="581441" cy="28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112⁄(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327212</xdr:colOff>
      <xdr:row>67</xdr:row>
      <xdr:rowOff>17929</xdr:rowOff>
    </xdr:from>
    <xdr:ext cx="581441" cy="286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546412" y="27899509"/>
              <a:ext cx="581441" cy="28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139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546412" y="27899509"/>
              <a:ext cx="581441" cy="28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139⁄(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461682</xdr:colOff>
      <xdr:row>74</xdr:row>
      <xdr:rowOff>17929</xdr:rowOff>
    </xdr:from>
    <xdr:ext cx="322268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680882" y="2972830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𝑃𝑢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680882" y="2972830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𝑃𝑢/(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𝑃𝑛)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443753</xdr:colOff>
      <xdr:row>76</xdr:row>
      <xdr:rowOff>26894</xdr:rowOff>
    </xdr:from>
    <xdr:ext cx="354841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1662953" y="3019447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1662953" y="3019447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𝑀𝑢/(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𝑀𝑛)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586740</xdr:colOff>
      <xdr:row>33</xdr:row>
      <xdr:rowOff>156210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880360" y="79286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533400</xdr:colOff>
      <xdr:row>26</xdr:row>
      <xdr:rowOff>148590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43000" y="62598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30480</xdr:colOff>
      <xdr:row>35</xdr:row>
      <xdr:rowOff>11430</xdr:rowOff>
    </xdr:from>
    <xdr:ext cx="22192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249680" y="827151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𝑑𝑤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𝑡𝑤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B5C9A7-C1C6-476F-8F92-A83541BECC9D}"/>
                </a:ext>
              </a:extLst>
            </xdr:cNvPr>
            <xdr:cNvSpPr txBox="1"/>
          </xdr:nvSpPr>
          <xdr:spPr>
            <a:xfrm>
              <a:off x="1249680" y="827151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𝑑𝑤/𝑡𝑤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30480</xdr:colOff>
      <xdr:row>35</xdr:row>
      <xdr:rowOff>11430</xdr:rowOff>
    </xdr:from>
    <xdr:ext cx="206851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5158740" y="8271510"/>
              <a:ext cx="20685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𝑡𝑓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833A1E8-2945-4EDD-A14C-7A2A73C40A4F}"/>
                </a:ext>
              </a:extLst>
            </xdr:cNvPr>
            <xdr:cNvSpPr txBox="1"/>
          </xdr:nvSpPr>
          <xdr:spPr>
            <a:xfrm>
              <a:off x="5158740" y="8271510"/>
              <a:ext cx="20685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𝐶/𝑡𝑓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121920</xdr:colOff>
          <xdr:row>21</xdr:row>
          <xdr:rowOff>22860</xdr:rowOff>
        </xdr:from>
        <xdr:to>
          <xdr:col>8</xdr:col>
          <xdr:colOff>518160</xdr:colOff>
          <xdr:row>31</xdr:row>
          <xdr:rowOff>30480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60960</xdr:colOff>
          <xdr:row>40</xdr:row>
          <xdr:rowOff>60960</xdr:rowOff>
        </xdr:from>
        <xdr:to>
          <xdr:col>23</xdr:col>
          <xdr:colOff>228600</xdr:colOff>
          <xdr:row>50</xdr:row>
          <xdr:rowOff>60960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17</xdr:col>
      <xdr:colOff>551331</xdr:colOff>
      <xdr:row>66</xdr:row>
      <xdr:rowOff>8965</xdr:rowOff>
    </xdr:from>
    <xdr:ext cx="165846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770531" y="26976145"/>
              <a:ext cx="16584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𝑡𝑤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770531" y="26976145"/>
              <a:ext cx="16584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ℎ/𝑡𝑤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372035</xdr:colOff>
      <xdr:row>68</xdr:row>
      <xdr:rowOff>62752</xdr:rowOff>
    </xdr:from>
    <xdr:ext cx="581441" cy="284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591235" y="27487132"/>
              <a:ext cx="581441" cy="28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112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591235" y="27487132"/>
              <a:ext cx="581441" cy="28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112⁄(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327212</xdr:colOff>
      <xdr:row>70</xdr:row>
      <xdr:rowOff>17929</xdr:rowOff>
    </xdr:from>
    <xdr:ext cx="581441" cy="286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546412" y="27899509"/>
              <a:ext cx="581441" cy="28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139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546412" y="27899509"/>
              <a:ext cx="581441" cy="28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139⁄(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461682</xdr:colOff>
      <xdr:row>74</xdr:row>
      <xdr:rowOff>17929</xdr:rowOff>
    </xdr:from>
    <xdr:ext cx="322268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1680882" y="2972830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𝑃𝑢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1680882" y="2972830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𝑃𝑢/(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𝑃𝑛)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443753</xdr:colOff>
      <xdr:row>76</xdr:row>
      <xdr:rowOff>26894</xdr:rowOff>
    </xdr:from>
    <xdr:ext cx="354841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662953" y="3019447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662953" y="3019447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𝑀𝑢/(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𝑀𝑛)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586740</xdr:colOff>
      <xdr:row>33</xdr:row>
      <xdr:rowOff>156210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880360" y="79286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533400</xdr:colOff>
      <xdr:row>26</xdr:row>
      <xdr:rowOff>148590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43000" y="62598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30480</xdr:colOff>
      <xdr:row>35</xdr:row>
      <xdr:rowOff>11430</xdr:rowOff>
    </xdr:from>
    <xdr:ext cx="22192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1249680" y="827151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𝑑𝑤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𝑡𝑤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355AA18-78F1-4926-84B8-EB445B0FD6E5}"/>
                </a:ext>
              </a:extLst>
            </xdr:cNvPr>
            <xdr:cNvSpPr txBox="1"/>
          </xdr:nvSpPr>
          <xdr:spPr>
            <a:xfrm>
              <a:off x="1249680" y="827151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𝑑𝑤/𝑡𝑤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30480</xdr:colOff>
      <xdr:row>35</xdr:row>
      <xdr:rowOff>11430</xdr:rowOff>
    </xdr:from>
    <xdr:ext cx="206851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5158740" y="8271510"/>
              <a:ext cx="20685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𝑡𝑓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FC7903B-0304-4F23-8C8F-1B6DDB7BFE4D}"/>
                </a:ext>
              </a:extLst>
            </xdr:cNvPr>
            <xdr:cNvSpPr txBox="1"/>
          </xdr:nvSpPr>
          <xdr:spPr>
            <a:xfrm>
              <a:off x="5158740" y="8271510"/>
              <a:ext cx="20685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𝐶/𝑡𝑓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121920</xdr:colOff>
          <xdr:row>21</xdr:row>
          <xdr:rowOff>22860</xdr:rowOff>
        </xdr:from>
        <xdr:to>
          <xdr:col>8</xdr:col>
          <xdr:colOff>518160</xdr:colOff>
          <xdr:row>31</xdr:row>
          <xdr:rowOff>30480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60960</xdr:colOff>
          <xdr:row>45</xdr:row>
          <xdr:rowOff>60960</xdr:rowOff>
        </xdr:from>
        <xdr:to>
          <xdr:col>23</xdr:col>
          <xdr:colOff>228600</xdr:colOff>
          <xdr:row>55</xdr:row>
          <xdr:rowOff>60960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17</xdr:col>
      <xdr:colOff>551331</xdr:colOff>
      <xdr:row>71</xdr:row>
      <xdr:rowOff>8965</xdr:rowOff>
    </xdr:from>
    <xdr:ext cx="165846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1770531" y="26968525"/>
              <a:ext cx="16584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𝑡𝑤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1770531" y="26968525"/>
              <a:ext cx="16584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ℎ/𝑡𝑤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372035</xdr:colOff>
      <xdr:row>73</xdr:row>
      <xdr:rowOff>62752</xdr:rowOff>
    </xdr:from>
    <xdr:ext cx="581441" cy="284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1591235" y="27479512"/>
              <a:ext cx="581441" cy="28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112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1591235" y="27479512"/>
              <a:ext cx="581441" cy="28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112⁄(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327212</xdr:colOff>
      <xdr:row>75</xdr:row>
      <xdr:rowOff>17929</xdr:rowOff>
    </xdr:from>
    <xdr:ext cx="581441" cy="286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546412" y="27891889"/>
              <a:ext cx="581441" cy="28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139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546412" y="27891889"/>
              <a:ext cx="581441" cy="28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139⁄(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461682</xdr:colOff>
      <xdr:row>67</xdr:row>
      <xdr:rowOff>17929</xdr:rowOff>
    </xdr:from>
    <xdr:ext cx="322268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1680882" y="2972068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𝑃𝑢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1680882" y="2972068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𝑃𝑢/(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𝑃𝑛)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443753</xdr:colOff>
      <xdr:row>69</xdr:row>
      <xdr:rowOff>26894</xdr:rowOff>
    </xdr:from>
    <xdr:ext cx="354841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1662953" y="3018685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1662953" y="3018685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𝑀𝑢/(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𝑀𝑛)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8</xdr:col>
      <xdr:colOff>179294</xdr:colOff>
      <xdr:row>11</xdr:row>
      <xdr:rowOff>170329</xdr:rowOff>
    </xdr:from>
    <xdr:to>
      <xdr:col>11</xdr:col>
      <xdr:colOff>818926</xdr:colOff>
      <xdr:row>27</xdr:row>
      <xdr:rowOff>216783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774" y="2761129"/>
          <a:ext cx="2971352" cy="2947595"/>
        </a:xfrm>
        <a:prstGeom prst="rect">
          <a:avLst/>
        </a:prstGeom>
      </xdr:spPr>
    </xdr:pic>
    <xdr:clientData/>
  </xdr:twoCellAnchor>
  <xdr:twoCellAnchor>
    <xdr:from>
      <xdr:col>9</xdr:col>
      <xdr:colOff>493059</xdr:colOff>
      <xdr:row>13</xdr:row>
      <xdr:rowOff>206188</xdr:rowOff>
    </xdr:from>
    <xdr:to>
      <xdr:col>10</xdr:col>
      <xdr:colOff>700624</xdr:colOff>
      <xdr:row>14</xdr:row>
      <xdr:rowOff>224314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6817659" y="3254188"/>
          <a:ext cx="992425" cy="24672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C-MEZ-1</a:t>
          </a:r>
        </a:p>
      </xdr:txBody>
    </xdr:sp>
    <xdr:clientData/>
  </xdr:twoCellAnchor>
  <xdr:twoCellAnchor>
    <xdr:from>
      <xdr:col>9</xdr:col>
      <xdr:colOff>690282</xdr:colOff>
      <xdr:row>14</xdr:row>
      <xdr:rowOff>224117</xdr:rowOff>
    </xdr:from>
    <xdr:to>
      <xdr:col>10</xdr:col>
      <xdr:colOff>80682</xdr:colOff>
      <xdr:row>17</xdr:row>
      <xdr:rowOff>134470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H="1">
          <a:off x="7014882" y="3500717"/>
          <a:ext cx="175260" cy="62663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484094</xdr:colOff>
      <xdr:row>16</xdr:row>
      <xdr:rowOff>152400</xdr:rowOff>
    </xdr:from>
    <xdr:to>
      <xdr:col>11</xdr:col>
      <xdr:colOff>735106</xdr:colOff>
      <xdr:row>17</xdr:row>
      <xdr:rowOff>206384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7593554" y="3886200"/>
          <a:ext cx="1218752" cy="3130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SEC-MEZ-2</a:t>
          </a:r>
        </a:p>
      </xdr:txBody>
    </xdr:sp>
    <xdr:clientData/>
  </xdr:twoCellAnchor>
  <xdr:twoCellAnchor>
    <xdr:from>
      <xdr:col>11</xdr:col>
      <xdr:colOff>98611</xdr:colOff>
      <xdr:row>17</xdr:row>
      <xdr:rowOff>224118</xdr:rowOff>
    </xdr:from>
    <xdr:to>
      <xdr:col>11</xdr:col>
      <xdr:colOff>116541</xdr:colOff>
      <xdr:row>19</xdr:row>
      <xdr:rowOff>35859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8175811" y="4216998"/>
          <a:ext cx="17930" cy="26894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367553</xdr:colOff>
      <xdr:row>16</xdr:row>
      <xdr:rowOff>170329</xdr:rowOff>
    </xdr:from>
    <xdr:to>
      <xdr:col>9</xdr:col>
      <xdr:colOff>781306</xdr:colOff>
      <xdr:row>17</xdr:row>
      <xdr:rowOff>161561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6113033" y="3904129"/>
          <a:ext cx="992873" cy="25031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SEC-MEZ-1</a:t>
          </a:r>
        </a:p>
      </xdr:txBody>
    </xdr:sp>
    <xdr:clientData/>
  </xdr:twoCellAnchor>
  <xdr:twoCellAnchor>
    <xdr:from>
      <xdr:col>9</xdr:col>
      <xdr:colOff>283077</xdr:colOff>
      <xdr:row>17</xdr:row>
      <xdr:rowOff>161561</xdr:rowOff>
    </xdr:from>
    <xdr:to>
      <xdr:col>9</xdr:col>
      <xdr:colOff>430306</xdr:colOff>
      <xdr:row>18</xdr:row>
      <xdr:rowOff>143435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stCxn id="16" idx="2"/>
        </xdr:cNvCxnSpPr>
      </xdr:nvCxnSpPr>
      <xdr:spPr>
        <a:xfrm>
          <a:off x="6607677" y="4154441"/>
          <a:ext cx="147229" cy="21047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586740</xdr:colOff>
      <xdr:row>33</xdr:row>
      <xdr:rowOff>156210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926080" y="74714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533400</xdr:colOff>
      <xdr:row>26</xdr:row>
      <xdr:rowOff>148590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143000" y="5802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30480</xdr:colOff>
      <xdr:row>35</xdr:row>
      <xdr:rowOff>11430</xdr:rowOff>
    </xdr:from>
    <xdr:ext cx="22192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295400" y="781431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𝑑𝑤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𝑡𝑤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07E1396-9028-4338-9E01-74E19CD77548}"/>
                </a:ext>
              </a:extLst>
            </xdr:cNvPr>
            <xdr:cNvSpPr txBox="1"/>
          </xdr:nvSpPr>
          <xdr:spPr>
            <a:xfrm>
              <a:off x="1295400" y="781431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𝑑𝑤/𝑡𝑤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30480</xdr:colOff>
      <xdr:row>35</xdr:row>
      <xdr:rowOff>11430</xdr:rowOff>
    </xdr:from>
    <xdr:ext cx="169213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204460" y="7814310"/>
              <a:ext cx="169213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𝑡𝑓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7AD970F-589E-4DC3-9FFB-3647C75673F2}"/>
                </a:ext>
              </a:extLst>
            </xdr:cNvPr>
            <xdr:cNvSpPr txBox="1"/>
          </xdr:nvSpPr>
          <xdr:spPr>
            <a:xfrm>
              <a:off x="5204460" y="7814310"/>
              <a:ext cx="169213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𝐶/𝑡𝑓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60960</xdr:colOff>
          <xdr:row>21</xdr:row>
          <xdr:rowOff>30480</xdr:rowOff>
        </xdr:from>
        <xdr:to>
          <xdr:col>8</xdr:col>
          <xdr:colOff>449580</xdr:colOff>
          <xdr:row>31</xdr:row>
          <xdr:rowOff>38100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</xdr:colOff>
          <xdr:row>48</xdr:row>
          <xdr:rowOff>60960</xdr:rowOff>
        </xdr:from>
        <xdr:to>
          <xdr:col>10</xdr:col>
          <xdr:colOff>228600</xdr:colOff>
          <xdr:row>58</xdr:row>
          <xdr:rowOff>60960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14</xdr:col>
      <xdr:colOff>551331</xdr:colOff>
      <xdr:row>64</xdr:row>
      <xdr:rowOff>8965</xdr:rowOff>
    </xdr:from>
    <xdr:ext cx="165846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1816251" y="26633245"/>
              <a:ext cx="16584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𝑡𝑤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1816251" y="26633245"/>
              <a:ext cx="16584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ℎ/𝑡𝑤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372035</xdr:colOff>
      <xdr:row>66</xdr:row>
      <xdr:rowOff>62752</xdr:rowOff>
    </xdr:from>
    <xdr:ext cx="581441" cy="284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636955" y="27144232"/>
              <a:ext cx="581441" cy="28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112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636955" y="27144232"/>
              <a:ext cx="581441" cy="28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112⁄(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327212</xdr:colOff>
      <xdr:row>68</xdr:row>
      <xdr:rowOff>17929</xdr:rowOff>
    </xdr:from>
    <xdr:ext cx="581441" cy="286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592132" y="27556609"/>
              <a:ext cx="581441" cy="28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139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592132" y="27556609"/>
              <a:ext cx="581441" cy="28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139⁄(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461682</xdr:colOff>
      <xdr:row>74</xdr:row>
      <xdr:rowOff>17929</xdr:rowOff>
    </xdr:from>
    <xdr:ext cx="322268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1726602" y="2938540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𝑃𝑢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1726602" y="2938540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𝑃𝑢/(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𝑃𝑛)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443753</xdr:colOff>
      <xdr:row>76</xdr:row>
      <xdr:rowOff>26894</xdr:rowOff>
    </xdr:from>
    <xdr:ext cx="354841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1708673" y="2985157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1708673" y="2985157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𝑀𝑢/(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𝑀𝑛)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11</xdr:row>
      <xdr:rowOff>65313</xdr:rowOff>
    </xdr:from>
    <xdr:to>
      <xdr:col>11</xdr:col>
      <xdr:colOff>852662</xdr:colOff>
      <xdr:row>32</xdr:row>
      <xdr:rowOff>146956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692561-CFA1-4014-9F89-2A7691D3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5481" y="2808513"/>
          <a:ext cx="3184381" cy="3922123"/>
        </a:xfrm>
        <a:prstGeom prst="rect">
          <a:avLst/>
        </a:prstGeom>
      </xdr:spPr>
    </xdr:pic>
    <xdr:clientData/>
  </xdr:twoCellAnchor>
  <xdr:oneCellAnchor>
    <xdr:from>
      <xdr:col>3</xdr:col>
      <xdr:colOff>586740</xdr:colOff>
      <xdr:row>33</xdr:row>
      <xdr:rowOff>156210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36BE0D-5B0C-482E-8360-020276123757}"/>
            </a:ext>
          </a:extLst>
        </xdr:cNvPr>
        <xdr:cNvSpPr txBox="1"/>
      </xdr:nvSpPr>
      <xdr:spPr>
        <a:xfrm>
          <a:off x="2880360" y="8157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533400</xdr:colOff>
      <xdr:row>26</xdr:row>
      <xdr:rowOff>148590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A796B2D-3D53-4B70-A07C-4B0F91BDC67E}"/>
            </a:ext>
          </a:extLst>
        </xdr:cNvPr>
        <xdr:cNvSpPr txBox="1"/>
      </xdr:nvSpPr>
      <xdr:spPr>
        <a:xfrm>
          <a:off x="1143000" y="645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30480</xdr:colOff>
      <xdr:row>35</xdr:row>
      <xdr:rowOff>11430</xdr:rowOff>
    </xdr:from>
    <xdr:ext cx="221920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9BE7F84-3E4F-43C2-B285-4D43887F9839}"/>
                </a:ext>
              </a:extLst>
            </xdr:cNvPr>
            <xdr:cNvSpPr txBox="1"/>
          </xdr:nvSpPr>
          <xdr:spPr>
            <a:xfrm>
              <a:off x="1249680" y="853059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𝑑𝑤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𝑡𝑤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9BE7F84-3E4F-43C2-B285-4D43887F9839}"/>
                </a:ext>
              </a:extLst>
            </xdr:cNvPr>
            <xdr:cNvSpPr txBox="1"/>
          </xdr:nvSpPr>
          <xdr:spPr>
            <a:xfrm>
              <a:off x="1249680" y="853059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𝑑𝑤/𝑡𝑤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30480</xdr:colOff>
      <xdr:row>35</xdr:row>
      <xdr:rowOff>11430</xdr:rowOff>
    </xdr:from>
    <xdr:ext cx="206851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66FF5C7-6D02-4228-BD7A-103486F11D89}"/>
                </a:ext>
              </a:extLst>
            </xdr:cNvPr>
            <xdr:cNvSpPr txBox="1"/>
          </xdr:nvSpPr>
          <xdr:spPr>
            <a:xfrm>
              <a:off x="5158740" y="8530590"/>
              <a:ext cx="20685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𝑡𝑓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66FF5C7-6D02-4228-BD7A-103486F11D89}"/>
                </a:ext>
              </a:extLst>
            </xdr:cNvPr>
            <xdr:cNvSpPr txBox="1"/>
          </xdr:nvSpPr>
          <xdr:spPr>
            <a:xfrm>
              <a:off x="5158740" y="8530590"/>
              <a:ext cx="20685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𝐶/𝑡𝑓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121920</xdr:colOff>
          <xdr:row>21</xdr:row>
          <xdr:rowOff>22860</xdr:rowOff>
        </xdr:from>
        <xdr:to>
          <xdr:col>8</xdr:col>
          <xdr:colOff>518160</xdr:colOff>
          <xdr:row>31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4B31B37D-B7AD-472E-9044-04029DCE8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616131</xdr:colOff>
          <xdr:row>47</xdr:row>
          <xdr:rowOff>6533</xdr:rowOff>
        </xdr:from>
        <xdr:to>
          <xdr:col>11</xdr:col>
          <xdr:colOff>10885</xdr:colOff>
          <xdr:row>56</xdr:row>
          <xdr:rowOff>202475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A08EF2EB-1A86-4392-B730-BE52405CB6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461682</xdr:colOff>
      <xdr:row>74</xdr:row>
      <xdr:rowOff>17929</xdr:rowOff>
    </xdr:from>
    <xdr:ext cx="322268" cy="3279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6BC79D2-C588-40EE-B36D-C94C0A0D8FB1}"/>
                </a:ext>
              </a:extLst>
            </xdr:cNvPr>
            <xdr:cNvSpPr txBox="1"/>
          </xdr:nvSpPr>
          <xdr:spPr>
            <a:xfrm>
              <a:off x="1680882" y="1774966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𝑃𝑢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6BC79D2-C588-40EE-B36D-C94C0A0D8FB1}"/>
                </a:ext>
              </a:extLst>
            </xdr:cNvPr>
            <xdr:cNvSpPr txBox="1"/>
          </xdr:nvSpPr>
          <xdr:spPr>
            <a:xfrm>
              <a:off x="1680882" y="1774966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𝑃𝑢/(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𝑃𝑛)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443753</xdr:colOff>
      <xdr:row>76</xdr:row>
      <xdr:rowOff>26894</xdr:rowOff>
    </xdr:from>
    <xdr:ext cx="354841" cy="3279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B314883-798C-4FDD-97F5-BFC2D22C0857}"/>
                </a:ext>
              </a:extLst>
            </xdr:cNvPr>
            <xdr:cNvSpPr txBox="1"/>
          </xdr:nvSpPr>
          <xdr:spPr>
            <a:xfrm>
              <a:off x="1662953" y="1821583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B314883-798C-4FDD-97F5-BFC2D22C0857}"/>
                </a:ext>
              </a:extLst>
            </xdr:cNvPr>
            <xdr:cNvSpPr txBox="1"/>
          </xdr:nvSpPr>
          <xdr:spPr>
            <a:xfrm>
              <a:off x="1662953" y="1821583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𝑀𝑢/(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𝑀𝑛)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586740</xdr:colOff>
      <xdr:row>33</xdr:row>
      <xdr:rowOff>156210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25088E6-CCC2-4D28-B4C7-630205A88B9A}"/>
            </a:ext>
          </a:extLst>
        </xdr:cNvPr>
        <xdr:cNvSpPr txBox="1"/>
      </xdr:nvSpPr>
      <xdr:spPr>
        <a:xfrm>
          <a:off x="2880360" y="8157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533400</xdr:colOff>
      <xdr:row>26</xdr:row>
      <xdr:rowOff>148590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71A3E1-0794-4BAD-A061-439590E9B7C9}"/>
            </a:ext>
          </a:extLst>
        </xdr:cNvPr>
        <xdr:cNvSpPr txBox="1"/>
      </xdr:nvSpPr>
      <xdr:spPr>
        <a:xfrm>
          <a:off x="1143000" y="645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30480</xdr:colOff>
      <xdr:row>35</xdr:row>
      <xdr:rowOff>11430</xdr:rowOff>
    </xdr:from>
    <xdr:ext cx="221920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8D19D1E-BED7-4742-88EF-87E5CB89198B}"/>
                </a:ext>
              </a:extLst>
            </xdr:cNvPr>
            <xdr:cNvSpPr txBox="1"/>
          </xdr:nvSpPr>
          <xdr:spPr>
            <a:xfrm>
              <a:off x="1249680" y="853059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𝑑𝑤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𝑡𝑤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8D19D1E-BED7-4742-88EF-87E5CB89198B}"/>
                </a:ext>
              </a:extLst>
            </xdr:cNvPr>
            <xdr:cNvSpPr txBox="1"/>
          </xdr:nvSpPr>
          <xdr:spPr>
            <a:xfrm>
              <a:off x="1249680" y="8530590"/>
              <a:ext cx="22192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𝑑𝑤/𝑡𝑤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30480</xdr:colOff>
      <xdr:row>35</xdr:row>
      <xdr:rowOff>11430</xdr:rowOff>
    </xdr:from>
    <xdr:ext cx="206851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90E3835-4326-48E0-89EB-27C4C7663BA2}"/>
                </a:ext>
              </a:extLst>
            </xdr:cNvPr>
            <xdr:cNvSpPr txBox="1"/>
          </xdr:nvSpPr>
          <xdr:spPr>
            <a:xfrm>
              <a:off x="5158740" y="8530590"/>
              <a:ext cx="20685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𝑡𝑓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90E3835-4326-48E0-89EB-27C4C7663BA2}"/>
                </a:ext>
              </a:extLst>
            </xdr:cNvPr>
            <xdr:cNvSpPr txBox="1"/>
          </xdr:nvSpPr>
          <xdr:spPr>
            <a:xfrm>
              <a:off x="5158740" y="8530590"/>
              <a:ext cx="20685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𝐶/𝑡𝑓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129540</xdr:colOff>
          <xdr:row>75</xdr:row>
          <xdr:rowOff>144780</xdr:rowOff>
        </xdr:from>
        <xdr:to>
          <xdr:col>9</xdr:col>
          <xdr:colOff>571500</xdr:colOff>
          <xdr:row>86</xdr:row>
          <xdr:rowOff>53340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9D168E45-4F4E-40A6-A41F-7869EFF13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60960</xdr:colOff>
          <xdr:row>45</xdr:row>
          <xdr:rowOff>60960</xdr:rowOff>
        </xdr:from>
        <xdr:to>
          <xdr:col>23</xdr:col>
          <xdr:colOff>228600</xdr:colOff>
          <xdr:row>55</xdr:row>
          <xdr:rowOff>60960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3838EE8E-D985-466A-86E2-215EAB101D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17</xdr:col>
      <xdr:colOff>551331</xdr:colOff>
      <xdr:row>71</xdr:row>
      <xdr:rowOff>8965</xdr:rowOff>
    </xdr:from>
    <xdr:ext cx="165846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EAC348B-7879-4402-8FF1-1CA6CE6747B2}"/>
                </a:ext>
              </a:extLst>
            </xdr:cNvPr>
            <xdr:cNvSpPr txBox="1"/>
          </xdr:nvSpPr>
          <xdr:spPr>
            <a:xfrm>
              <a:off x="13337691" y="17054905"/>
              <a:ext cx="16584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𝑡𝑤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EAC348B-7879-4402-8FF1-1CA6CE6747B2}"/>
                </a:ext>
              </a:extLst>
            </xdr:cNvPr>
            <xdr:cNvSpPr txBox="1"/>
          </xdr:nvSpPr>
          <xdr:spPr>
            <a:xfrm>
              <a:off x="13337691" y="17054905"/>
              <a:ext cx="16584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ℎ/𝑡𝑤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372035</xdr:colOff>
      <xdr:row>73</xdr:row>
      <xdr:rowOff>62752</xdr:rowOff>
    </xdr:from>
    <xdr:ext cx="581441" cy="284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ED51920-71A5-45FA-AEBA-32BE6D93BEDF}"/>
                </a:ext>
              </a:extLst>
            </xdr:cNvPr>
            <xdr:cNvSpPr txBox="1"/>
          </xdr:nvSpPr>
          <xdr:spPr>
            <a:xfrm>
              <a:off x="13158395" y="17565892"/>
              <a:ext cx="581441" cy="28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112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ED51920-71A5-45FA-AEBA-32BE6D93BEDF}"/>
                </a:ext>
              </a:extLst>
            </xdr:cNvPr>
            <xdr:cNvSpPr txBox="1"/>
          </xdr:nvSpPr>
          <xdr:spPr>
            <a:xfrm>
              <a:off x="13158395" y="17565892"/>
              <a:ext cx="581441" cy="28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112⁄(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327212</xdr:colOff>
      <xdr:row>75</xdr:row>
      <xdr:rowOff>17929</xdr:rowOff>
    </xdr:from>
    <xdr:ext cx="581441" cy="2860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51629E7-1B69-4C52-8D9E-B6AFF6D1EB40}"/>
                </a:ext>
              </a:extLst>
            </xdr:cNvPr>
            <xdr:cNvSpPr txBox="1"/>
          </xdr:nvSpPr>
          <xdr:spPr>
            <a:xfrm>
              <a:off x="13113572" y="17978269"/>
              <a:ext cx="581441" cy="28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139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51629E7-1B69-4C52-8D9E-B6AFF6D1EB40}"/>
                </a:ext>
              </a:extLst>
            </xdr:cNvPr>
            <xdr:cNvSpPr txBox="1"/>
          </xdr:nvSpPr>
          <xdr:spPr>
            <a:xfrm>
              <a:off x="13113572" y="17978269"/>
              <a:ext cx="581441" cy="28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139⁄(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461682</xdr:colOff>
      <xdr:row>67</xdr:row>
      <xdr:rowOff>17929</xdr:rowOff>
    </xdr:from>
    <xdr:ext cx="322268" cy="3279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2FD6FF2-B892-4339-8745-5A8D33B72EC1}"/>
                </a:ext>
              </a:extLst>
            </xdr:cNvPr>
            <xdr:cNvSpPr txBox="1"/>
          </xdr:nvSpPr>
          <xdr:spPr>
            <a:xfrm>
              <a:off x="4606962" y="1614946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𝑃𝑢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2FD6FF2-B892-4339-8745-5A8D33B72EC1}"/>
                </a:ext>
              </a:extLst>
            </xdr:cNvPr>
            <xdr:cNvSpPr txBox="1"/>
          </xdr:nvSpPr>
          <xdr:spPr>
            <a:xfrm>
              <a:off x="4606962" y="16149469"/>
              <a:ext cx="322268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𝑃𝑢/(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𝑃𝑛)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443753</xdr:colOff>
      <xdr:row>69</xdr:row>
      <xdr:rowOff>26894</xdr:rowOff>
    </xdr:from>
    <xdr:ext cx="354841" cy="3279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8672079-27BF-46D4-A903-4A5F1BB30872}"/>
                </a:ext>
              </a:extLst>
            </xdr:cNvPr>
            <xdr:cNvSpPr txBox="1"/>
          </xdr:nvSpPr>
          <xdr:spPr>
            <a:xfrm>
              <a:off x="4589033" y="1661563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8672079-27BF-46D4-A903-4A5F1BB30872}"/>
                </a:ext>
              </a:extLst>
            </xdr:cNvPr>
            <xdr:cNvSpPr txBox="1"/>
          </xdr:nvSpPr>
          <xdr:spPr>
            <a:xfrm>
              <a:off x="4589033" y="16615634"/>
              <a:ext cx="354841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𝑀𝑢/(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𝑀𝑛)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3202</xdr:colOff>
      <xdr:row>12</xdr:row>
      <xdr:rowOff>227960</xdr:rowOff>
    </xdr:from>
    <xdr:to>
      <xdr:col>11</xdr:col>
      <xdr:colOff>25709</xdr:colOff>
      <xdr:row>14</xdr:row>
      <xdr:rowOff>17486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F7381ED-D954-4D5C-8ADA-896CB55DCE31}"/>
            </a:ext>
          </a:extLst>
        </xdr:cNvPr>
        <xdr:cNvSpPr txBox="1"/>
      </xdr:nvSpPr>
      <xdr:spPr>
        <a:xfrm>
          <a:off x="7112662" y="3199760"/>
          <a:ext cx="990247" cy="24672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COL-25</a:t>
          </a:r>
        </a:p>
        <a:p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200425</xdr:colOff>
      <xdr:row>14</xdr:row>
      <xdr:rowOff>17289</xdr:rowOff>
    </xdr:from>
    <xdr:to>
      <xdr:col>10</xdr:col>
      <xdr:colOff>374596</xdr:colOff>
      <xdr:row>16</xdr:row>
      <xdr:rowOff>188899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647ED3D-094A-44DD-BFFE-2298ED92C17E}"/>
            </a:ext>
          </a:extLst>
        </xdr:cNvPr>
        <xdr:cNvCxnSpPr/>
      </xdr:nvCxnSpPr>
      <xdr:spPr>
        <a:xfrm flipH="1">
          <a:off x="7309885" y="3446289"/>
          <a:ext cx="174171" cy="63643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484094</xdr:colOff>
      <xdr:row>16</xdr:row>
      <xdr:rowOff>152400</xdr:rowOff>
    </xdr:from>
    <xdr:to>
      <xdr:col>11</xdr:col>
      <xdr:colOff>735106</xdr:colOff>
      <xdr:row>17</xdr:row>
      <xdr:rowOff>206384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4060180-6252-4B55-A7A9-F63AB569B2AF}"/>
            </a:ext>
          </a:extLst>
        </xdr:cNvPr>
        <xdr:cNvSpPr txBox="1"/>
      </xdr:nvSpPr>
      <xdr:spPr>
        <a:xfrm>
          <a:off x="7593554" y="4046220"/>
          <a:ext cx="1218752" cy="3130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M-BEAM-1</a:t>
          </a:r>
        </a:p>
        <a:p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98611</xdr:colOff>
      <xdr:row>17</xdr:row>
      <xdr:rowOff>224118</xdr:rowOff>
    </xdr:from>
    <xdr:to>
      <xdr:col>11</xdr:col>
      <xdr:colOff>116541</xdr:colOff>
      <xdr:row>19</xdr:row>
      <xdr:rowOff>35859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ED888D0-E0B2-4A7E-B263-1C8D31DC837E}"/>
            </a:ext>
          </a:extLst>
        </xdr:cNvPr>
        <xdr:cNvCxnSpPr/>
      </xdr:nvCxnSpPr>
      <xdr:spPr>
        <a:xfrm>
          <a:off x="8175811" y="4377018"/>
          <a:ext cx="17930" cy="30704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389324</xdr:colOff>
      <xdr:row>17</xdr:row>
      <xdr:rowOff>39700</xdr:rowOff>
    </xdr:from>
    <xdr:to>
      <xdr:col>10</xdr:col>
      <xdr:colOff>141514</xdr:colOff>
      <xdr:row>18</xdr:row>
      <xdr:rowOff>65315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F9E5E46-59CA-4E59-8208-87CFBF03FB1B}"/>
            </a:ext>
          </a:extLst>
        </xdr:cNvPr>
        <xdr:cNvSpPr txBox="1"/>
      </xdr:nvSpPr>
      <xdr:spPr>
        <a:xfrm>
          <a:off x="6134804" y="4192600"/>
          <a:ext cx="1116170" cy="25421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M-BEAM-2</a:t>
          </a:r>
        </a:p>
        <a:p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368833</xdr:colOff>
      <xdr:row>18</xdr:row>
      <xdr:rowOff>65315</xdr:rowOff>
    </xdr:from>
    <xdr:to>
      <xdr:col>9</xdr:col>
      <xdr:colOff>452077</xdr:colOff>
      <xdr:row>19</xdr:row>
      <xdr:rowOff>1920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2B3068D0-D2C0-4D04-8D3A-6E39A3D70994}"/>
            </a:ext>
          </a:extLst>
        </xdr:cNvPr>
        <xdr:cNvCxnSpPr>
          <a:stCxn id="22" idx="2"/>
        </xdr:cNvCxnSpPr>
      </xdr:nvCxnSpPr>
      <xdr:spPr>
        <a:xfrm>
          <a:off x="6693433" y="4446815"/>
          <a:ext cx="83244" cy="20330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my/Design%20For%20Flexur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5">
          <cell r="F5" t="str">
            <v xml:space="preserve">TABLE:  </v>
          </cell>
        </row>
        <row r="6">
          <cell r="F6" t="str">
            <v>SectionName</v>
          </cell>
          <cell r="G6" t="str">
            <v>D</v>
          </cell>
          <cell r="H6" t="str">
            <v>B</v>
          </cell>
          <cell r="I6" t="str">
            <v>Tf</v>
          </cell>
          <cell r="J6" t="str">
            <v>Tw</v>
          </cell>
          <cell r="K6" t="str">
            <v>Area</v>
          </cell>
          <cell r="L6" t="str">
            <v>Ix</v>
          </cell>
          <cell r="M6" t="str">
            <v>Iy</v>
          </cell>
          <cell r="N6" t="str">
            <v>Sx</v>
          </cell>
          <cell r="O6" t="str">
            <v>Sy</v>
          </cell>
          <cell r="P6" t="str">
            <v>Zx</v>
          </cell>
          <cell r="Q6" t="str">
            <v>Zy</v>
          </cell>
          <cell r="R6" t="str">
            <v>rx</v>
          </cell>
          <cell r="S6" t="str">
            <v>ry</v>
          </cell>
        </row>
        <row r="7">
          <cell r="F7" t="str">
            <v>-</v>
          </cell>
          <cell r="G7" t="str">
            <v>mm</v>
          </cell>
          <cell r="H7" t="str">
            <v>mm</v>
          </cell>
          <cell r="I7" t="str">
            <v>mm</v>
          </cell>
          <cell r="J7" t="str">
            <v>mm</v>
          </cell>
          <cell r="K7" t="str">
            <v>mm2</v>
          </cell>
          <cell r="L7" t="str">
            <v>mm4</v>
          </cell>
          <cell r="M7" t="str">
            <v>mm4</v>
          </cell>
          <cell r="N7" t="str">
            <v>mm3</v>
          </cell>
          <cell r="O7" t="str">
            <v>mm3</v>
          </cell>
          <cell r="P7" t="str">
            <v>mm3</v>
          </cell>
          <cell r="Q7" t="str">
            <v>mm3</v>
          </cell>
          <cell r="R7" t="str">
            <v>mm</v>
          </cell>
          <cell r="S7" t="str">
            <v>mm</v>
          </cell>
        </row>
        <row r="8">
          <cell r="F8" t="str">
            <v>HE200B</v>
          </cell>
          <cell r="G8">
            <v>200</v>
          </cell>
          <cell r="H8">
            <v>200</v>
          </cell>
          <cell r="I8">
            <v>15</v>
          </cell>
          <cell r="J8">
            <v>9</v>
          </cell>
          <cell r="K8">
            <v>7810</v>
          </cell>
          <cell r="L8">
            <v>56960000</v>
          </cell>
          <cell r="M8">
            <v>20030000</v>
          </cell>
          <cell r="N8">
            <v>569600</v>
          </cell>
          <cell r="O8">
            <v>200300</v>
          </cell>
          <cell r="P8">
            <v>643000</v>
          </cell>
          <cell r="Q8">
            <v>306000</v>
          </cell>
          <cell r="R8">
            <v>85.4</v>
          </cell>
          <cell r="S8">
            <v>50.642000000000003</v>
          </cell>
        </row>
        <row r="9">
          <cell r="F9" t="str">
            <v>HE220B</v>
          </cell>
          <cell r="G9">
            <v>220</v>
          </cell>
          <cell r="H9">
            <v>220</v>
          </cell>
          <cell r="I9">
            <v>16</v>
          </cell>
          <cell r="J9">
            <v>9.5</v>
          </cell>
          <cell r="K9">
            <v>9100</v>
          </cell>
          <cell r="L9">
            <v>80910000</v>
          </cell>
          <cell r="M9">
            <v>28430000</v>
          </cell>
          <cell r="N9">
            <v>735545.45</v>
          </cell>
          <cell r="O9">
            <v>258454.55</v>
          </cell>
          <cell r="P9">
            <v>827000</v>
          </cell>
          <cell r="Q9">
            <v>394000</v>
          </cell>
          <cell r="R9">
            <v>94.293000000000006</v>
          </cell>
          <cell r="S9">
            <v>55.893999999999998</v>
          </cell>
        </row>
        <row r="10">
          <cell r="F10" t="str">
            <v>HE260B</v>
          </cell>
          <cell r="G10">
            <v>260</v>
          </cell>
          <cell r="H10">
            <v>260</v>
          </cell>
          <cell r="I10">
            <v>17.5</v>
          </cell>
          <cell r="J10">
            <v>10</v>
          </cell>
          <cell r="K10">
            <v>11800</v>
          </cell>
          <cell r="L10">
            <v>149200000</v>
          </cell>
          <cell r="M10">
            <v>51350000</v>
          </cell>
          <cell r="N10">
            <v>1147692.31</v>
          </cell>
          <cell r="O10">
            <v>395000</v>
          </cell>
          <cell r="P10">
            <v>1283000</v>
          </cell>
          <cell r="Q10">
            <v>602000</v>
          </cell>
          <cell r="R10">
            <v>112.446</v>
          </cell>
          <cell r="S10">
            <v>65.966999999999999</v>
          </cell>
        </row>
        <row r="11">
          <cell r="F11" t="str">
            <v>HE280B</v>
          </cell>
          <cell r="G11">
            <v>280</v>
          </cell>
          <cell r="H11">
            <v>280</v>
          </cell>
          <cell r="I11">
            <v>18</v>
          </cell>
          <cell r="J11">
            <v>10.5</v>
          </cell>
          <cell r="K11">
            <v>13100</v>
          </cell>
          <cell r="L11">
            <v>192700000</v>
          </cell>
          <cell r="M11">
            <v>65950000</v>
          </cell>
          <cell r="N11">
            <v>1376428.57</v>
          </cell>
          <cell r="O11">
            <v>471071.43</v>
          </cell>
          <cell r="P11">
            <v>1534000</v>
          </cell>
          <cell r="Q11">
            <v>718000</v>
          </cell>
          <cell r="R11">
            <v>121.28400000000001</v>
          </cell>
          <cell r="S11">
            <v>70.953000000000003</v>
          </cell>
        </row>
        <row r="12">
          <cell r="F12" t="str">
            <v>HE300B</v>
          </cell>
          <cell r="G12">
            <v>300</v>
          </cell>
          <cell r="H12">
            <v>300</v>
          </cell>
          <cell r="I12">
            <v>19</v>
          </cell>
          <cell r="J12">
            <v>11</v>
          </cell>
          <cell r="K12">
            <v>14900</v>
          </cell>
          <cell r="L12">
            <v>251700000</v>
          </cell>
          <cell r="M12">
            <v>85630000</v>
          </cell>
          <cell r="N12">
            <v>1678000</v>
          </cell>
          <cell r="O12">
            <v>570866.67000000004</v>
          </cell>
          <cell r="P12">
            <v>1869000</v>
          </cell>
          <cell r="Q12">
            <v>870000</v>
          </cell>
          <cell r="R12">
            <v>129.97200000000001</v>
          </cell>
          <cell r="S12">
            <v>75.808999999999997</v>
          </cell>
        </row>
        <row r="13">
          <cell r="F13" t="str">
            <v>HE320B</v>
          </cell>
          <cell r="G13">
            <v>320</v>
          </cell>
          <cell r="H13">
            <v>300</v>
          </cell>
          <cell r="I13">
            <v>20.5</v>
          </cell>
          <cell r="J13">
            <v>11.5</v>
          </cell>
          <cell r="K13">
            <v>16100</v>
          </cell>
          <cell r="L13">
            <v>308200000</v>
          </cell>
          <cell r="M13">
            <v>92390000</v>
          </cell>
          <cell r="N13">
            <v>1926250</v>
          </cell>
          <cell r="O13">
            <v>615933.32999999996</v>
          </cell>
          <cell r="P13">
            <v>2149000</v>
          </cell>
          <cell r="Q13">
            <v>939000</v>
          </cell>
          <cell r="R13">
            <v>138.358</v>
          </cell>
          <cell r="S13">
            <v>75.753</v>
          </cell>
        </row>
        <row r="14">
          <cell r="F14" t="str">
            <v>HE340B</v>
          </cell>
          <cell r="G14">
            <v>340</v>
          </cell>
          <cell r="H14">
            <v>300</v>
          </cell>
          <cell r="I14">
            <v>21.5</v>
          </cell>
          <cell r="J14">
            <v>12</v>
          </cell>
          <cell r="K14">
            <v>17100</v>
          </cell>
          <cell r="L14">
            <v>366600000</v>
          </cell>
          <cell r="M14">
            <v>96900000</v>
          </cell>
          <cell r="N14">
            <v>2156470.59</v>
          </cell>
          <cell r="O14">
            <v>646000</v>
          </cell>
          <cell r="P14">
            <v>2408000</v>
          </cell>
          <cell r="Q14">
            <v>986000</v>
          </cell>
          <cell r="R14">
            <v>146.41900000000001</v>
          </cell>
          <cell r="S14">
            <v>75.277000000000001</v>
          </cell>
        </row>
        <row r="15">
          <cell r="F15" t="str">
            <v>HE360B</v>
          </cell>
          <cell r="G15">
            <v>360</v>
          </cell>
          <cell r="H15">
            <v>300</v>
          </cell>
          <cell r="I15">
            <v>22.5</v>
          </cell>
          <cell r="J15">
            <v>12.5</v>
          </cell>
          <cell r="K15">
            <v>18100</v>
          </cell>
          <cell r="L15">
            <v>431900000</v>
          </cell>
          <cell r="M15">
            <v>101400000</v>
          </cell>
          <cell r="N15">
            <v>2399444.44</v>
          </cell>
          <cell r="O15">
            <v>676000</v>
          </cell>
          <cell r="P15">
            <v>2683000</v>
          </cell>
          <cell r="Q15">
            <v>1032000</v>
          </cell>
          <cell r="R15">
            <v>154.47300000000001</v>
          </cell>
          <cell r="S15">
            <v>74.847999999999999</v>
          </cell>
        </row>
        <row r="16">
          <cell r="F16" t="str">
            <v>HE400B</v>
          </cell>
          <cell r="G16">
            <v>400</v>
          </cell>
          <cell r="H16">
            <v>300</v>
          </cell>
          <cell r="I16">
            <v>24</v>
          </cell>
          <cell r="J16">
            <v>13.5</v>
          </cell>
          <cell r="K16">
            <v>19800</v>
          </cell>
          <cell r="L16">
            <v>576800000</v>
          </cell>
          <cell r="M16">
            <v>108200000</v>
          </cell>
          <cell r="N16">
            <v>2884000</v>
          </cell>
          <cell r="O16">
            <v>721333.33</v>
          </cell>
          <cell r="P16">
            <v>3232000</v>
          </cell>
          <cell r="Q16">
            <v>1104000</v>
          </cell>
          <cell r="R16">
            <v>170.679</v>
          </cell>
          <cell r="S16">
            <v>73.923000000000002</v>
          </cell>
        </row>
        <row r="17">
          <cell r="F17" t="str">
            <v>HE450B</v>
          </cell>
          <cell r="G17">
            <v>450</v>
          </cell>
          <cell r="H17">
            <v>300</v>
          </cell>
          <cell r="I17">
            <v>26</v>
          </cell>
          <cell r="J17">
            <v>14</v>
          </cell>
          <cell r="K17">
            <v>21800</v>
          </cell>
          <cell r="L17">
            <v>798899968</v>
          </cell>
          <cell r="M17">
            <v>117200000</v>
          </cell>
          <cell r="N17">
            <v>3550666.52</v>
          </cell>
          <cell r="O17">
            <v>781333.33</v>
          </cell>
          <cell r="P17">
            <v>3982000</v>
          </cell>
          <cell r="Q17">
            <v>1198000</v>
          </cell>
          <cell r="R17">
            <v>191.434</v>
          </cell>
          <cell r="S17">
            <v>73.322000000000003</v>
          </cell>
        </row>
        <row r="18">
          <cell r="F18" t="str">
            <v>HE500B</v>
          </cell>
          <cell r="G18">
            <v>500</v>
          </cell>
          <cell r="H18">
            <v>300</v>
          </cell>
          <cell r="I18">
            <v>28</v>
          </cell>
          <cell r="J18">
            <v>14.5</v>
          </cell>
          <cell r="K18">
            <v>23900</v>
          </cell>
          <cell r="L18">
            <v>1072000000</v>
          </cell>
          <cell r="M18">
            <v>126200000</v>
          </cell>
          <cell r="N18">
            <v>4288000</v>
          </cell>
          <cell r="O18">
            <v>841333.33</v>
          </cell>
          <cell r="P18">
            <v>4815000</v>
          </cell>
          <cell r="Q18">
            <v>1292000</v>
          </cell>
          <cell r="R18">
            <v>211.78700000000001</v>
          </cell>
          <cell r="S18">
            <v>72.665999999999997</v>
          </cell>
        </row>
        <row r="19">
          <cell r="F19" t="str">
            <v>HE550B</v>
          </cell>
          <cell r="G19">
            <v>550</v>
          </cell>
          <cell r="H19">
            <v>300</v>
          </cell>
          <cell r="I19">
            <v>29</v>
          </cell>
          <cell r="J19">
            <v>15</v>
          </cell>
          <cell r="K19">
            <v>25400</v>
          </cell>
          <cell r="L19">
            <v>1367000064</v>
          </cell>
          <cell r="M19">
            <v>130800000</v>
          </cell>
          <cell r="N19">
            <v>4970909.32</v>
          </cell>
          <cell r="O19">
            <v>872000</v>
          </cell>
          <cell r="P19">
            <v>5591000</v>
          </cell>
          <cell r="Q19">
            <v>1341000</v>
          </cell>
          <cell r="R19">
            <v>231.989</v>
          </cell>
          <cell r="S19">
            <v>71.760999999999996</v>
          </cell>
        </row>
        <row r="20">
          <cell r="F20" t="str">
            <v>HE600B</v>
          </cell>
          <cell r="G20">
            <v>600</v>
          </cell>
          <cell r="H20">
            <v>300</v>
          </cell>
          <cell r="I20">
            <v>30</v>
          </cell>
          <cell r="J20">
            <v>15.5</v>
          </cell>
          <cell r="K20">
            <v>27000</v>
          </cell>
          <cell r="L20">
            <v>1710000000</v>
          </cell>
          <cell r="M20">
            <v>135300000</v>
          </cell>
          <cell r="N20">
            <v>5700000</v>
          </cell>
          <cell r="O20">
            <v>902000</v>
          </cell>
          <cell r="P20">
            <v>6425000</v>
          </cell>
          <cell r="Q20">
            <v>1391000</v>
          </cell>
          <cell r="R20">
            <v>251.661</v>
          </cell>
          <cell r="S20">
            <v>70.789000000000001</v>
          </cell>
        </row>
        <row r="21">
          <cell r="F21" t="str">
            <v>HE650B</v>
          </cell>
          <cell r="G21">
            <v>650</v>
          </cell>
          <cell r="H21">
            <v>300</v>
          </cell>
          <cell r="I21">
            <v>31</v>
          </cell>
          <cell r="J21">
            <v>16</v>
          </cell>
          <cell r="K21">
            <v>28600</v>
          </cell>
          <cell r="L21">
            <v>2106000000</v>
          </cell>
          <cell r="M21">
            <v>139800000</v>
          </cell>
          <cell r="N21">
            <v>6480000</v>
          </cell>
          <cell r="O21">
            <v>932000</v>
          </cell>
          <cell r="P21">
            <v>7320000</v>
          </cell>
          <cell r="Q21">
            <v>1441000</v>
          </cell>
          <cell r="R21">
            <v>271.36</v>
          </cell>
          <cell r="S21">
            <v>69.915000000000006</v>
          </cell>
        </row>
        <row r="22">
          <cell r="F22" t="str">
            <v>HE700B</v>
          </cell>
          <cell r="G22">
            <v>700</v>
          </cell>
          <cell r="H22">
            <v>300</v>
          </cell>
          <cell r="I22">
            <v>32</v>
          </cell>
          <cell r="J22">
            <v>17</v>
          </cell>
          <cell r="K22">
            <v>30600</v>
          </cell>
          <cell r="L22">
            <v>2568999936</v>
          </cell>
          <cell r="M22">
            <v>144400000</v>
          </cell>
          <cell r="N22">
            <v>7339999.8200000003</v>
          </cell>
          <cell r="O22">
            <v>962666.67</v>
          </cell>
          <cell r="P22">
            <v>8327000</v>
          </cell>
          <cell r="Q22">
            <v>1495000</v>
          </cell>
          <cell r="R22">
            <v>289.74900000000002</v>
          </cell>
          <cell r="S22">
            <v>68.694999999999993</v>
          </cell>
        </row>
        <row r="23">
          <cell r="F23" t="str">
            <v>IPE300</v>
          </cell>
          <cell r="G23">
            <v>300</v>
          </cell>
          <cell r="H23">
            <v>150</v>
          </cell>
          <cell r="I23">
            <v>10.7</v>
          </cell>
          <cell r="J23">
            <v>7.1</v>
          </cell>
          <cell r="K23">
            <v>5380</v>
          </cell>
          <cell r="L23">
            <v>83560000</v>
          </cell>
          <cell r="M23">
            <v>6040000</v>
          </cell>
          <cell r="N23">
            <v>557066.67000000004</v>
          </cell>
          <cell r="O23">
            <v>80533.33</v>
          </cell>
          <cell r="P23">
            <v>628000</v>
          </cell>
          <cell r="Q23">
            <v>125000</v>
          </cell>
          <cell r="R23">
            <v>124.626</v>
          </cell>
          <cell r="S23">
            <v>33.506</v>
          </cell>
        </row>
        <row r="24">
          <cell r="F24" t="str">
            <v>IPE330</v>
          </cell>
          <cell r="G24">
            <v>330</v>
          </cell>
          <cell r="H24">
            <v>160</v>
          </cell>
          <cell r="I24">
            <v>11.5</v>
          </cell>
          <cell r="J24">
            <v>7.5</v>
          </cell>
          <cell r="K24">
            <v>6260</v>
          </cell>
          <cell r="L24">
            <v>117700000</v>
          </cell>
          <cell r="M24">
            <v>7880000</v>
          </cell>
          <cell r="N24">
            <v>713333.33</v>
          </cell>
          <cell r="O24">
            <v>98500</v>
          </cell>
          <cell r="P24">
            <v>804000</v>
          </cell>
          <cell r="Q24">
            <v>154000</v>
          </cell>
          <cell r="R24">
            <v>137.12</v>
          </cell>
          <cell r="S24">
            <v>35.478999999999999</v>
          </cell>
        </row>
        <row r="25">
          <cell r="F25" t="str">
            <v>IPE360</v>
          </cell>
          <cell r="G25">
            <v>360</v>
          </cell>
          <cell r="H25">
            <v>170</v>
          </cell>
          <cell r="I25">
            <v>12.7</v>
          </cell>
          <cell r="J25">
            <v>8</v>
          </cell>
          <cell r="K25">
            <v>7270</v>
          </cell>
          <cell r="L25">
            <v>162700000</v>
          </cell>
          <cell r="M25">
            <v>10430000</v>
          </cell>
          <cell r="N25">
            <v>903888.89</v>
          </cell>
          <cell r="O25">
            <v>122705.88</v>
          </cell>
          <cell r="P25">
            <v>1019000</v>
          </cell>
          <cell r="Q25">
            <v>191000</v>
          </cell>
          <cell r="R25">
            <v>149.59800000000001</v>
          </cell>
          <cell r="S25">
            <v>37.877000000000002</v>
          </cell>
        </row>
        <row r="26">
          <cell r="F26" t="str">
            <v>IPE400</v>
          </cell>
          <cell r="G26">
            <v>400</v>
          </cell>
          <cell r="H26">
            <v>180</v>
          </cell>
          <cell r="I26">
            <v>13.5</v>
          </cell>
          <cell r="J26">
            <v>8.6</v>
          </cell>
          <cell r="K26">
            <v>8450</v>
          </cell>
          <cell r="L26">
            <v>231300000</v>
          </cell>
          <cell r="M26">
            <v>13180000</v>
          </cell>
          <cell r="N26">
            <v>1156500</v>
          </cell>
          <cell r="O26">
            <v>146444.44</v>
          </cell>
          <cell r="P26">
            <v>1307000</v>
          </cell>
          <cell r="Q26">
            <v>229000</v>
          </cell>
          <cell r="R26">
            <v>165.447</v>
          </cell>
          <cell r="S26">
            <v>39.494</v>
          </cell>
        </row>
        <row r="27">
          <cell r="F27" t="str">
            <v>IPE450</v>
          </cell>
          <cell r="G27">
            <v>450</v>
          </cell>
          <cell r="H27">
            <v>190</v>
          </cell>
          <cell r="I27">
            <v>14.6</v>
          </cell>
          <cell r="J27">
            <v>9.4</v>
          </cell>
          <cell r="K27">
            <v>9880</v>
          </cell>
          <cell r="L27">
            <v>337400000</v>
          </cell>
          <cell r="M27">
            <v>16760000</v>
          </cell>
          <cell r="N27">
            <v>1499555.56</v>
          </cell>
          <cell r="O27">
            <v>176421.05</v>
          </cell>
          <cell r="P27">
            <v>1702000</v>
          </cell>
          <cell r="Q27">
            <v>276000</v>
          </cell>
          <cell r="R27">
            <v>184.797</v>
          </cell>
          <cell r="S27">
            <v>41.186999999999998</v>
          </cell>
        </row>
        <row r="28">
          <cell r="F28" t="str">
            <v>IPE500</v>
          </cell>
          <cell r="G28">
            <v>500</v>
          </cell>
          <cell r="H28">
            <v>200</v>
          </cell>
          <cell r="I28">
            <v>16</v>
          </cell>
          <cell r="J28">
            <v>10.199999999999999</v>
          </cell>
          <cell r="K28">
            <v>11600</v>
          </cell>
          <cell r="L28">
            <v>482000000</v>
          </cell>
          <cell r="M28">
            <v>21420000</v>
          </cell>
          <cell r="N28">
            <v>1928000</v>
          </cell>
          <cell r="O28">
            <v>214200</v>
          </cell>
          <cell r="P28">
            <v>2194000</v>
          </cell>
          <cell r="Q28">
            <v>336000</v>
          </cell>
          <cell r="R28">
            <v>203.84200000000001</v>
          </cell>
          <cell r="S28">
            <v>42.972000000000001</v>
          </cell>
        </row>
        <row r="29">
          <cell r="F29" t="str">
            <v>IPE550</v>
          </cell>
          <cell r="G29">
            <v>550</v>
          </cell>
          <cell r="H29">
            <v>210</v>
          </cell>
          <cell r="I29">
            <v>17.2</v>
          </cell>
          <cell r="J29">
            <v>11.1</v>
          </cell>
          <cell r="K29">
            <v>13400</v>
          </cell>
          <cell r="L29">
            <v>671200000</v>
          </cell>
          <cell r="M29">
            <v>26680000</v>
          </cell>
          <cell r="N29">
            <v>2440727.27</v>
          </cell>
          <cell r="O29">
            <v>254095.24</v>
          </cell>
          <cell r="P29">
            <v>2787000</v>
          </cell>
          <cell r="Q29">
            <v>401000</v>
          </cell>
          <cell r="R29">
            <v>223.80699999999999</v>
          </cell>
          <cell r="S29">
            <v>44.621000000000002</v>
          </cell>
        </row>
        <row r="30">
          <cell r="F30" t="str">
            <v>IPE600</v>
          </cell>
          <cell r="G30">
            <v>600</v>
          </cell>
          <cell r="H30">
            <v>220</v>
          </cell>
          <cell r="I30">
            <v>19</v>
          </cell>
          <cell r="J30">
            <v>12</v>
          </cell>
          <cell r="K30">
            <v>15600</v>
          </cell>
          <cell r="L30">
            <v>920800000</v>
          </cell>
          <cell r="M30">
            <v>33870000</v>
          </cell>
          <cell r="N30">
            <v>3069333.33</v>
          </cell>
          <cell r="O30">
            <v>307909.09000000003</v>
          </cell>
          <cell r="P30">
            <v>3512000</v>
          </cell>
          <cell r="Q30">
            <v>486000</v>
          </cell>
          <cell r="R30">
            <v>242.952</v>
          </cell>
          <cell r="S30">
            <v>46.595999999999997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8.bin"/><Relationship Id="rId4" Type="http://schemas.openxmlformats.org/officeDocument/2006/relationships/image" Target="../media/image2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oleObject" Target="../embeddings/oleObject9.bin"/><Relationship Id="rId7" Type="http://schemas.openxmlformats.org/officeDocument/2006/relationships/oleObject" Target="../embeddings/oleObject11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10.bin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zoomScale="70" zoomScaleNormal="70" workbookViewId="0">
      <selection sqref="A1:N61"/>
    </sheetView>
  </sheetViews>
  <sheetFormatPr defaultRowHeight="14.4"/>
  <cols>
    <col min="2" max="2" width="10.5546875" bestFit="1" customWidth="1"/>
    <col min="3" max="3" width="10.5546875" customWidth="1"/>
    <col min="4" max="4" width="16.88671875" bestFit="1" customWidth="1"/>
    <col min="5" max="5" width="31.109375" bestFit="1" customWidth="1"/>
    <col min="6" max="6" width="13.44140625" bestFit="1" customWidth="1"/>
    <col min="7" max="7" width="11.5546875" bestFit="1" customWidth="1"/>
    <col min="8" max="8" width="14.33203125" bestFit="1" customWidth="1"/>
    <col min="9" max="9" width="11.44140625" bestFit="1" customWidth="1"/>
  </cols>
  <sheetData>
    <row r="1" spans="1:14">
      <c r="A1" s="121" t="s">
        <v>0</v>
      </c>
      <c r="B1" s="120" t="s">
        <v>1</v>
      </c>
      <c r="C1" s="111" t="s">
        <v>16</v>
      </c>
      <c r="D1" s="120" t="s">
        <v>2</v>
      </c>
      <c r="E1" s="120" t="s">
        <v>3</v>
      </c>
      <c r="F1" s="120" t="s">
        <v>4</v>
      </c>
      <c r="G1" s="120" t="s">
        <v>5</v>
      </c>
      <c r="H1" s="120" t="s">
        <v>6</v>
      </c>
      <c r="I1" s="105" t="s">
        <v>7</v>
      </c>
      <c r="J1" s="107" t="s">
        <v>8</v>
      </c>
      <c r="K1" s="107" t="s">
        <v>9</v>
      </c>
      <c r="L1" s="107"/>
      <c r="M1" s="107"/>
      <c r="N1" s="107"/>
    </row>
    <row r="2" spans="1:14">
      <c r="A2" s="122"/>
      <c r="B2" s="108"/>
      <c r="C2" s="112"/>
      <c r="D2" s="108"/>
      <c r="E2" s="108"/>
      <c r="F2" s="108"/>
      <c r="G2" s="108"/>
      <c r="H2" s="108"/>
      <c r="I2" s="106"/>
      <c r="J2" s="108"/>
      <c r="K2" s="1" t="s">
        <v>10</v>
      </c>
      <c r="L2" s="1" t="s">
        <v>11</v>
      </c>
      <c r="M2" s="1" t="s">
        <v>12</v>
      </c>
      <c r="N2" s="1" t="s">
        <v>13</v>
      </c>
    </row>
    <row r="3" spans="1:14">
      <c r="A3" s="12" t="s">
        <v>14</v>
      </c>
      <c r="B3" s="5">
        <v>22.2484</v>
      </c>
      <c r="C3" s="2">
        <v>24.2484</v>
      </c>
      <c r="D3" s="3">
        <v>4</v>
      </c>
      <c r="E3" s="4" t="s">
        <v>15</v>
      </c>
      <c r="F3" s="11">
        <v>-21.473199999999999</v>
      </c>
      <c r="G3" s="6">
        <v>-4.2354000000000003</v>
      </c>
      <c r="H3" s="11">
        <v>136.46154999999999</v>
      </c>
      <c r="J3" s="109">
        <v>43.64</v>
      </c>
      <c r="K3" s="110">
        <v>1</v>
      </c>
      <c r="L3" s="110">
        <v>90</v>
      </c>
      <c r="M3" s="110">
        <v>2</v>
      </c>
      <c r="N3" s="110">
        <v>40</v>
      </c>
    </row>
    <row r="4" spans="1:14" ht="14.4" hidden="1" customHeight="1">
      <c r="A4" s="5"/>
      <c r="B4" s="5">
        <v>22.2484</v>
      </c>
      <c r="C4" s="2"/>
      <c r="D4" s="3"/>
      <c r="E4" s="4"/>
      <c r="F4" s="6"/>
      <c r="G4" s="6"/>
      <c r="H4" s="6"/>
      <c r="I4" s="5"/>
      <c r="J4" s="109"/>
      <c r="K4" s="102"/>
      <c r="L4" s="102"/>
      <c r="M4" s="102"/>
      <c r="N4" s="102"/>
    </row>
    <row r="5" spans="1:14" ht="14.4" hidden="1" customHeight="1">
      <c r="A5" s="5"/>
      <c r="B5" s="5">
        <v>22.2484</v>
      </c>
      <c r="C5" s="2"/>
      <c r="D5" s="3"/>
      <c r="E5" s="4"/>
      <c r="F5" s="6"/>
      <c r="G5" s="6"/>
      <c r="H5" s="6"/>
      <c r="I5" s="5"/>
      <c r="J5" s="109"/>
      <c r="K5" s="102"/>
      <c r="L5" s="102"/>
      <c r="M5" s="102"/>
      <c r="N5" s="102"/>
    </row>
    <row r="6" spans="1:14">
      <c r="A6" s="5" t="s">
        <v>17</v>
      </c>
      <c r="B6" s="5">
        <v>22.2484</v>
      </c>
      <c r="C6" s="2">
        <v>0</v>
      </c>
      <c r="D6" s="2">
        <v>3</v>
      </c>
      <c r="E6" s="4" t="s">
        <v>18</v>
      </c>
      <c r="F6" s="6">
        <v>-23.247900000000001</v>
      </c>
      <c r="G6" s="6">
        <v>1.2135</v>
      </c>
      <c r="H6" s="6">
        <v>0</v>
      </c>
      <c r="I6" s="2">
        <v>5.4</v>
      </c>
      <c r="J6" s="109"/>
      <c r="K6" s="102"/>
      <c r="L6" s="102"/>
      <c r="M6" s="102"/>
      <c r="N6" s="102"/>
    </row>
    <row r="7" spans="1:14" ht="15" thickBot="1">
      <c r="A7" s="5" t="s">
        <v>19</v>
      </c>
      <c r="B7" s="5">
        <v>22.2484</v>
      </c>
      <c r="C7" s="2">
        <v>17.05</v>
      </c>
      <c r="D7" s="2">
        <v>4</v>
      </c>
      <c r="E7" s="4" t="s">
        <v>18</v>
      </c>
      <c r="F7" s="6">
        <v>3.1284000000000001</v>
      </c>
      <c r="G7" s="11">
        <v>20.013200000000001</v>
      </c>
      <c r="H7" s="6">
        <v>37.043689999999998</v>
      </c>
      <c r="I7" s="5"/>
      <c r="J7" s="109"/>
      <c r="K7" s="104"/>
      <c r="L7" s="104"/>
      <c r="M7" s="104"/>
      <c r="N7" s="104"/>
    </row>
    <row r="8" spans="1:14" ht="15" hidden="1" customHeight="1" thickBot="1">
      <c r="A8" s="14"/>
      <c r="B8" s="14"/>
      <c r="C8" s="15"/>
      <c r="D8" s="16"/>
      <c r="E8" s="17"/>
      <c r="F8" s="18"/>
      <c r="G8" s="18"/>
      <c r="H8" s="18"/>
      <c r="I8" s="14"/>
      <c r="J8" s="110"/>
      <c r="K8" s="14"/>
      <c r="L8" s="14"/>
      <c r="M8" s="14"/>
      <c r="N8" s="14"/>
    </row>
    <row r="9" spans="1:14" ht="15.6" thickTop="1" thickBot="1">
      <c r="A9" s="113" t="s">
        <v>20</v>
      </c>
      <c r="B9" s="19">
        <v>22.2484</v>
      </c>
      <c r="C9" s="20">
        <v>22.2484</v>
      </c>
      <c r="D9" s="21">
        <v>4</v>
      </c>
      <c r="E9" s="22" t="s">
        <v>21</v>
      </c>
      <c r="F9" s="23">
        <v>13.525700000000001</v>
      </c>
      <c r="G9" s="24">
        <v>3.9540000000000002</v>
      </c>
      <c r="H9" s="24">
        <v>104.82127</v>
      </c>
      <c r="J9" s="100">
        <v>43.64</v>
      </c>
      <c r="K9" s="100">
        <v>1</v>
      </c>
      <c r="L9" s="100">
        <v>90</v>
      </c>
      <c r="M9" s="100">
        <v>2</v>
      </c>
      <c r="N9" s="100">
        <v>40</v>
      </c>
    </row>
    <row r="10" spans="1:14" ht="15" thickTop="1">
      <c r="A10" s="114"/>
      <c r="B10" s="5">
        <v>22.2484</v>
      </c>
      <c r="C10" s="2">
        <v>0</v>
      </c>
      <c r="D10" s="7">
        <v>1</v>
      </c>
      <c r="E10" s="8" t="s">
        <v>22</v>
      </c>
      <c r="F10" s="9">
        <v>-25.369199999999999</v>
      </c>
      <c r="G10" s="13">
        <v>10.663600000000001</v>
      </c>
      <c r="H10" s="9">
        <v>0</v>
      </c>
      <c r="I10" s="62">
        <v>5.4</v>
      </c>
      <c r="J10" s="102"/>
      <c r="K10" s="102"/>
      <c r="L10" s="102"/>
      <c r="M10" s="102"/>
      <c r="N10" s="102"/>
    </row>
    <row r="11" spans="1:14" ht="15" hidden="1" customHeight="1" thickBot="1">
      <c r="A11" s="114"/>
      <c r="B11" s="5">
        <v>22.2484</v>
      </c>
      <c r="C11" s="2"/>
      <c r="D11" s="103"/>
      <c r="E11" s="8"/>
      <c r="F11" s="9"/>
      <c r="G11" s="9"/>
      <c r="H11" s="9"/>
      <c r="I11" s="63"/>
      <c r="J11" s="102"/>
      <c r="K11" s="102"/>
      <c r="L11" s="102"/>
      <c r="M11" s="102"/>
      <c r="N11" s="102"/>
    </row>
    <row r="12" spans="1:14" ht="15" hidden="1" customHeight="1" thickBot="1">
      <c r="A12" s="114"/>
      <c r="B12" s="5">
        <v>22.2484</v>
      </c>
      <c r="C12" s="2"/>
      <c r="D12" s="103"/>
      <c r="E12" s="8"/>
      <c r="F12" s="9"/>
      <c r="G12" s="9"/>
      <c r="H12" s="9"/>
      <c r="I12" s="63"/>
      <c r="J12" s="102"/>
      <c r="K12" s="102"/>
      <c r="L12" s="102"/>
      <c r="M12" s="102"/>
      <c r="N12" s="102"/>
    </row>
    <row r="13" spans="1:14" ht="15" hidden="1" customHeight="1" thickBot="1">
      <c r="A13" s="114"/>
      <c r="B13" s="5">
        <v>22.2484</v>
      </c>
      <c r="C13" s="2"/>
      <c r="D13" s="103"/>
      <c r="E13" s="8"/>
      <c r="F13" s="9"/>
      <c r="G13" s="9"/>
      <c r="H13" s="9"/>
      <c r="I13" s="63"/>
      <c r="J13" s="102"/>
      <c r="K13" s="102"/>
      <c r="L13" s="102"/>
      <c r="M13" s="102"/>
      <c r="N13" s="102"/>
    </row>
    <row r="14" spans="1:14" ht="15" thickBot="1">
      <c r="A14" s="115"/>
      <c r="B14" s="5">
        <v>22.2484</v>
      </c>
      <c r="C14" s="2">
        <v>11.95</v>
      </c>
      <c r="D14" s="10">
        <v>3</v>
      </c>
      <c r="E14" s="8" t="s">
        <v>15</v>
      </c>
      <c r="F14" s="9">
        <v>6.4214000000000002</v>
      </c>
      <c r="G14" s="9">
        <v>-4.5210999999999997</v>
      </c>
      <c r="H14" s="13">
        <v>104.30692000000001</v>
      </c>
      <c r="I14" s="41"/>
      <c r="J14" s="104"/>
      <c r="K14" s="104"/>
      <c r="L14" s="104"/>
      <c r="M14" s="104"/>
      <c r="N14" s="104"/>
    </row>
    <row r="15" spans="1:14" ht="14.4" hidden="1" customHeight="1">
      <c r="A15" s="5"/>
      <c r="B15" s="5">
        <v>22.2484</v>
      </c>
      <c r="C15" s="2"/>
      <c r="D15" s="10"/>
      <c r="E15" s="8"/>
      <c r="F15" s="9"/>
      <c r="G15" s="9"/>
      <c r="H15" s="9"/>
      <c r="I15" s="5"/>
      <c r="J15" s="5"/>
      <c r="K15" s="5"/>
      <c r="L15" s="5"/>
      <c r="M15" s="5"/>
      <c r="N15" s="5"/>
    </row>
    <row r="16" spans="1:14" ht="14.4" hidden="1" customHeight="1">
      <c r="A16" s="14"/>
      <c r="B16" s="14">
        <v>22.2484</v>
      </c>
      <c r="C16" s="15"/>
      <c r="D16" s="25"/>
      <c r="E16" s="26"/>
      <c r="F16" s="27"/>
      <c r="G16" s="27"/>
      <c r="H16" s="27"/>
      <c r="I16" s="14"/>
      <c r="J16" s="14"/>
      <c r="K16" s="14"/>
      <c r="L16" s="14"/>
      <c r="M16" s="14"/>
      <c r="N16" s="14"/>
    </row>
    <row r="17" spans="1:14" ht="15.6" thickTop="1" thickBot="1">
      <c r="A17" s="116" t="s">
        <v>23</v>
      </c>
      <c r="B17" s="19">
        <v>22.2484</v>
      </c>
      <c r="C17" s="20">
        <v>6.85</v>
      </c>
      <c r="D17" s="28">
        <v>1</v>
      </c>
      <c r="E17" s="22" t="s">
        <v>18</v>
      </c>
      <c r="F17" s="23">
        <v>7.1680999999999999</v>
      </c>
      <c r="G17" s="24">
        <v>4.9904000000000002</v>
      </c>
      <c r="H17" s="24">
        <v>-33.659140000000001</v>
      </c>
      <c r="J17" s="100">
        <v>43.64</v>
      </c>
      <c r="K17" s="100">
        <v>1</v>
      </c>
      <c r="L17" s="100">
        <v>90</v>
      </c>
      <c r="M17" s="100">
        <v>2</v>
      </c>
      <c r="N17" s="100">
        <v>40</v>
      </c>
    </row>
    <row r="18" spans="1:14" ht="14.4" hidden="1" customHeight="1">
      <c r="A18" s="117"/>
      <c r="B18" s="5">
        <v>22.2484</v>
      </c>
      <c r="C18" s="2"/>
      <c r="D18" s="10"/>
      <c r="E18" s="8"/>
      <c r="F18" s="9"/>
      <c r="G18" s="9"/>
      <c r="H18" s="9"/>
      <c r="I18" s="61"/>
      <c r="J18" s="102"/>
      <c r="K18" s="102"/>
      <c r="L18" s="102"/>
      <c r="M18" s="102"/>
      <c r="N18" s="102"/>
    </row>
    <row r="19" spans="1:14" ht="15" thickTop="1">
      <c r="A19" s="117"/>
      <c r="B19" s="5">
        <v>22.2484</v>
      </c>
      <c r="C19" s="2">
        <v>0</v>
      </c>
      <c r="D19" s="10">
        <v>1</v>
      </c>
      <c r="E19" s="8" t="s">
        <v>22</v>
      </c>
      <c r="F19" s="9">
        <v>-16.151499999999999</v>
      </c>
      <c r="G19" s="13">
        <v>5.2929000000000004</v>
      </c>
      <c r="H19" s="9">
        <v>0</v>
      </c>
      <c r="I19" s="59">
        <v>5.4</v>
      </c>
      <c r="J19" s="102"/>
      <c r="K19" s="102"/>
      <c r="L19" s="102"/>
      <c r="M19" s="102"/>
      <c r="N19" s="102"/>
    </row>
    <row r="20" spans="1:14" ht="14.4" hidden="1" customHeight="1">
      <c r="A20" s="117"/>
      <c r="B20" s="5">
        <v>22.2484</v>
      </c>
      <c r="C20" s="2"/>
      <c r="D20" s="10"/>
      <c r="E20" s="8"/>
      <c r="F20" s="9"/>
      <c r="G20" s="9"/>
      <c r="H20" s="9"/>
      <c r="I20" s="61"/>
      <c r="J20" s="102"/>
      <c r="K20" s="102"/>
      <c r="L20" s="102"/>
      <c r="M20" s="102"/>
      <c r="N20" s="102"/>
    </row>
    <row r="21" spans="1:14" ht="14.4" hidden="1" customHeight="1">
      <c r="A21" s="117"/>
      <c r="B21" s="5">
        <v>22.2484</v>
      </c>
      <c r="C21" s="2"/>
      <c r="D21" s="10"/>
      <c r="E21" s="8"/>
      <c r="F21" s="9"/>
      <c r="G21" s="9"/>
      <c r="H21" s="9"/>
      <c r="I21" s="61"/>
      <c r="J21" s="102"/>
      <c r="K21" s="102"/>
      <c r="L21" s="102"/>
      <c r="M21" s="102"/>
      <c r="N21" s="102"/>
    </row>
    <row r="22" spans="1:14" ht="15" thickBot="1">
      <c r="A22" s="118"/>
      <c r="B22" s="34">
        <v>22.2484</v>
      </c>
      <c r="C22" s="40">
        <v>23.45993</v>
      </c>
      <c r="D22" s="35">
        <v>4</v>
      </c>
      <c r="E22" s="36" t="s">
        <v>15</v>
      </c>
      <c r="F22" s="37">
        <v>-7.8609</v>
      </c>
      <c r="G22" s="37">
        <v>-5.3144999999999998</v>
      </c>
      <c r="H22" s="38">
        <v>129.47189</v>
      </c>
      <c r="I22" s="61"/>
      <c r="J22" s="101"/>
      <c r="K22" s="102"/>
      <c r="L22" s="102"/>
      <c r="M22" s="102"/>
      <c r="N22" s="102"/>
    </row>
    <row r="23" spans="1:14" ht="15" thickTop="1">
      <c r="A23" s="29" t="s">
        <v>24</v>
      </c>
      <c r="B23" s="29">
        <v>22.2484</v>
      </c>
      <c r="C23" s="30">
        <v>6.85</v>
      </c>
      <c r="D23" s="31">
        <v>1</v>
      </c>
      <c r="E23" s="32" t="s">
        <v>18</v>
      </c>
      <c r="F23" s="46">
        <v>-43.513800000000003</v>
      </c>
      <c r="G23" s="33">
        <v>-2.52E-2</v>
      </c>
      <c r="H23" s="33">
        <v>0.1696</v>
      </c>
      <c r="I23" s="60"/>
      <c r="J23" s="100">
        <v>43.7</v>
      </c>
      <c r="K23" s="100">
        <v>0.8</v>
      </c>
      <c r="L23" s="100">
        <v>80</v>
      </c>
      <c r="M23" s="100">
        <v>2</v>
      </c>
      <c r="N23" s="100">
        <v>30</v>
      </c>
    </row>
    <row r="24" spans="1:14" ht="14.4" hidden="1" customHeight="1">
      <c r="A24" s="5"/>
      <c r="B24" s="5">
        <v>22.2484</v>
      </c>
      <c r="C24" s="2"/>
      <c r="D24" s="10"/>
      <c r="E24" s="8"/>
      <c r="F24" s="9"/>
      <c r="G24" s="9"/>
      <c r="H24" s="9"/>
      <c r="I24" s="61"/>
      <c r="J24" s="102"/>
      <c r="K24" s="102"/>
      <c r="L24" s="102"/>
      <c r="M24" s="102"/>
      <c r="N24" s="102"/>
    </row>
    <row r="25" spans="1:14" ht="14.4" hidden="1" customHeight="1">
      <c r="A25" s="5"/>
      <c r="B25" s="5">
        <v>22.2484</v>
      </c>
      <c r="C25" s="15"/>
      <c r="D25" s="10"/>
      <c r="E25" s="8"/>
      <c r="F25" s="9"/>
      <c r="G25" s="9"/>
      <c r="H25" s="9"/>
      <c r="I25" s="61"/>
      <c r="J25" s="102"/>
      <c r="K25" s="102"/>
      <c r="L25" s="102"/>
      <c r="M25" s="102"/>
      <c r="N25" s="102"/>
    </row>
    <row r="26" spans="1:14">
      <c r="A26" s="5" t="s">
        <v>25</v>
      </c>
      <c r="B26" s="5">
        <v>22.2484</v>
      </c>
      <c r="C26" s="2">
        <v>22.652249999999999</v>
      </c>
      <c r="D26" s="10">
        <v>1</v>
      </c>
      <c r="E26" s="8" t="s">
        <v>18</v>
      </c>
      <c r="F26" s="9">
        <v>8.5482999999999993</v>
      </c>
      <c r="G26" s="47">
        <v>7.9935</v>
      </c>
      <c r="H26" s="9">
        <v>0</v>
      </c>
      <c r="I26" s="58">
        <v>22.2484</v>
      </c>
      <c r="J26" s="102"/>
      <c r="K26" s="102"/>
      <c r="L26" s="102"/>
      <c r="M26" s="102"/>
      <c r="N26" s="102"/>
    </row>
    <row r="27" spans="1:14" ht="15" thickBot="1">
      <c r="A27" s="42" t="s">
        <v>26</v>
      </c>
      <c r="B27" s="34">
        <v>22.2484</v>
      </c>
      <c r="C27" s="43">
        <v>11.95</v>
      </c>
      <c r="D27" s="43">
        <v>2</v>
      </c>
      <c r="E27" s="44" t="s">
        <v>22</v>
      </c>
      <c r="F27" s="45">
        <v>-26.759399999999999</v>
      </c>
      <c r="G27" s="45">
        <v>-0.67269999999999996</v>
      </c>
      <c r="H27" s="48">
        <v>58.797910000000002</v>
      </c>
      <c r="I27" s="61"/>
      <c r="J27" s="102"/>
      <c r="K27" s="102"/>
      <c r="L27" s="102"/>
      <c r="M27" s="102"/>
      <c r="N27" s="102"/>
    </row>
    <row r="28" spans="1:14" ht="15" thickTop="1">
      <c r="A28" s="113" t="s">
        <v>27</v>
      </c>
      <c r="B28" s="29">
        <v>17.05</v>
      </c>
      <c r="C28" s="41">
        <v>0</v>
      </c>
      <c r="D28" s="41">
        <v>1</v>
      </c>
      <c r="E28" s="39" t="s">
        <v>18</v>
      </c>
      <c r="F28" s="50">
        <v>-79.564400000000006</v>
      </c>
      <c r="G28" s="49">
        <v>15.4549</v>
      </c>
      <c r="H28" s="49">
        <v>0</v>
      </c>
      <c r="I28" s="100">
        <v>5.0999999999999996</v>
      </c>
      <c r="J28" s="100">
        <v>37.51</v>
      </c>
      <c r="K28" s="100">
        <v>0.8</v>
      </c>
      <c r="L28" s="100">
        <v>80</v>
      </c>
      <c r="M28" s="100">
        <v>2</v>
      </c>
      <c r="N28" s="100">
        <v>30</v>
      </c>
    </row>
    <row r="29" spans="1:14" ht="15" thickBot="1">
      <c r="A29" s="119"/>
      <c r="B29" s="14">
        <v>17.05</v>
      </c>
      <c r="C29" s="51">
        <v>11.95</v>
      </c>
      <c r="D29" s="52">
        <v>3</v>
      </c>
      <c r="E29" s="26" t="s">
        <v>28</v>
      </c>
      <c r="F29" s="53">
        <v>-42.183</v>
      </c>
      <c r="G29" s="54">
        <v>50.983499999999999</v>
      </c>
      <c r="H29" s="54">
        <v>108.75431</v>
      </c>
      <c r="I29" s="101"/>
      <c r="J29" s="101"/>
      <c r="K29" s="101"/>
      <c r="L29" s="101"/>
      <c r="M29" s="101"/>
      <c r="N29" s="101"/>
    </row>
    <row r="30" spans="1:14" ht="15" thickTop="1">
      <c r="A30" s="55"/>
      <c r="B30" s="19"/>
      <c r="C30" s="56"/>
      <c r="D30" s="21"/>
      <c r="E30" s="22"/>
      <c r="F30" s="57"/>
      <c r="G30" s="24"/>
      <c r="H30" s="24"/>
      <c r="I30" s="20"/>
      <c r="J30" s="20"/>
      <c r="K30" s="20"/>
      <c r="L30" s="20"/>
      <c r="M30" s="20"/>
      <c r="N30" s="20"/>
    </row>
  </sheetData>
  <mergeCells count="41">
    <mergeCell ref="C1:C2"/>
    <mergeCell ref="A9:A14"/>
    <mergeCell ref="A17:A22"/>
    <mergeCell ref="A28:A29"/>
    <mergeCell ref="H1:H2"/>
    <mergeCell ref="A1:A2"/>
    <mergeCell ref="B1:B2"/>
    <mergeCell ref="D1:D2"/>
    <mergeCell ref="E1:E2"/>
    <mergeCell ref="F1:F2"/>
    <mergeCell ref="G1:G2"/>
    <mergeCell ref="I1:I2"/>
    <mergeCell ref="J1:J2"/>
    <mergeCell ref="K1:N1"/>
    <mergeCell ref="J3:J8"/>
    <mergeCell ref="N3:N7"/>
    <mergeCell ref="K3:K7"/>
    <mergeCell ref="L3:L7"/>
    <mergeCell ref="M3:M7"/>
    <mergeCell ref="N9:N14"/>
    <mergeCell ref="K17:K22"/>
    <mergeCell ref="L17:L22"/>
    <mergeCell ref="M17:M22"/>
    <mergeCell ref="N17:N22"/>
    <mergeCell ref="L9:L14"/>
    <mergeCell ref="M9:M14"/>
    <mergeCell ref="I28:I29"/>
    <mergeCell ref="J28:J29"/>
    <mergeCell ref="D11:D13"/>
    <mergeCell ref="J9:J14"/>
    <mergeCell ref="K9:K14"/>
    <mergeCell ref="J23:J27"/>
    <mergeCell ref="K23:K27"/>
    <mergeCell ref="K28:K29"/>
    <mergeCell ref="L28:L29"/>
    <mergeCell ref="M28:M29"/>
    <mergeCell ref="N28:N29"/>
    <mergeCell ref="J17:J22"/>
    <mergeCell ref="N23:N27"/>
    <mergeCell ref="L23:L27"/>
    <mergeCell ref="M23:M27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4B69-732D-4255-A2A4-679E155C4ADD}">
  <dimension ref="A1:V134"/>
  <sheetViews>
    <sheetView topLeftCell="A53" zoomScale="70" zoomScaleNormal="70" workbookViewId="0">
      <selection activeCell="P20" sqref="P20"/>
    </sheetView>
  </sheetViews>
  <sheetFormatPr defaultColWidth="8.88671875" defaultRowHeight="14.4"/>
  <cols>
    <col min="1" max="2" width="8.88671875" style="66"/>
    <col min="3" max="3" width="15.6640625" style="66" bestFit="1" customWidth="1"/>
    <col min="4" max="4" width="9" style="66" bestFit="1" customWidth="1"/>
    <col min="5" max="5" width="13.21875" style="66" customWidth="1"/>
    <col min="6" max="6" width="9" style="66" bestFit="1" customWidth="1"/>
    <col min="7" max="7" width="14.33203125" style="66" bestFit="1" customWidth="1"/>
    <col min="8" max="8" width="9" style="66" bestFit="1" customWidth="1"/>
    <col min="9" max="9" width="8.44140625" style="66" bestFit="1" customWidth="1"/>
    <col min="10" max="10" width="11.44140625" style="66" bestFit="1" customWidth="1"/>
    <col min="11" max="11" width="12.6640625" style="66" bestFit="1" customWidth="1"/>
    <col min="12" max="12" width="14.88671875" style="66" customWidth="1"/>
    <col min="13" max="13" width="16.6640625" style="66" customWidth="1"/>
    <col min="14" max="14" width="17.5546875" style="66" customWidth="1"/>
    <col min="15" max="15" width="14.44140625" style="66" customWidth="1"/>
    <col min="16" max="16" width="13.44140625" style="66" customWidth="1"/>
    <col min="17" max="17" width="15.33203125" style="66" customWidth="1"/>
    <col min="18" max="18" width="10.88671875" style="66" customWidth="1"/>
    <col min="19" max="19" width="10.33203125" style="66" customWidth="1"/>
    <col min="20" max="21" width="11.109375" style="66" customWidth="1"/>
    <col min="22" max="22" width="10.5546875" style="66" customWidth="1"/>
    <col min="23" max="16384" width="8.88671875" style="66"/>
  </cols>
  <sheetData>
    <row r="1" spans="1:22" ht="18">
      <c r="A1" s="64"/>
      <c r="B1" s="64"/>
      <c r="C1" s="126" t="s">
        <v>29</v>
      </c>
      <c r="D1" s="126"/>
      <c r="E1" s="126"/>
      <c r="F1" s="126"/>
      <c r="G1" s="126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8">
      <c r="A2" s="64"/>
      <c r="B2" s="64"/>
      <c r="C2" s="126" t="s">
        <v>30</v>
      </c>
      <c r="D2" s="126"/>
      <c r="E2" s="126"/>
      <c r="F2" s="126"/>
      <c r="G2" s="126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1:22" ht="18">
      <c r="A3" s="64"/>
      <c r="B3" s="64"/>
      <c r="C3" s="126" t="s">
        <v>31</v>
      </c>
      <c r="D3" s="126"/>
      <c r="E3" s="126"/>
      <c r="F3" s="126"/>
      <c r="G3" s="126"/>
      <c r="H3" s="64"/>
      <c r="I3" s="64"/>
      <c r="J3" s="64"/>
      <c r="K3" s="64">
        <v>37</v>
      </c>
      <c r="L3" s="64"/>
      <c r="M3" s="64"/>
      <c r="N3" s="136" t="s">
        <v>75</v>
      </c>
      <c r="O3" s="130"/>
      <c r="P3" s="130"/>
      <c r="Q3" s="64"/>
      <c r="R3" s="64"/>
      <c r="S3" s="64"/>
      <c r="T3" s="64"/>
      <c r="U3" s="64"/>
      <c r="V3" s="64"/>
    </row>
    <row r="4" spans="1:22" ht="18">
      <c r="A4" s="64"/>
      <c r="B4" s="64"/>
      <c r="C4" s="126" t="s">
        <v>32</v>
      </c>
      <c r="D4" s="126"/>
      <c r="E4" s="126"/>
      <c r="F4" s="126"/>
      <c r="G4" s="126"/>
      <c r="H4" s="64"/>
      <c r="I4" s="64"/>
      <c r="J4" s="64"/>
      <c r="K4" s="64">
        <v>44</v>
      </c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</row>
    <row r="5" spans="1:22" ht="20.399999999999999">
      <c r="A5" s="64"/>
      <c r="B5" s="64"/>
      <c r="C5" s="126" t="s">
        <v>33</v>
      </c>
      <c r="D5" s="126"/>
      <c r="E5" s="126"/>
      <c r="F5" s="126"/>
      <c r="G5" s="126"/>
      <c r="H5" s="64"/>
      <c r="I5" s="64"/>
      <c r="J5" s="64"/>
      <c r="K5" s="64">
        <v>52</v>
      </c>
      <c r="L5" s="64"/>
      <c r="M5" s="64"/>
      <c r="N5" s="139" t="s">
        <v>76</v>
      </c>
      <c r="O5" s="139"/>
      <c r="P5" s="70">
        <f>(C24*C25)+(2*(C26*C27))</f>
        <v>446.5</v>
      </c>
      <c r="Q5" s="81" t="s">
        <v>77</v>
      </c>
      <c r="R5" s="64"/>
      <c r="S5" s="64"/>
      <c r="T5" s="64"/>
      <c r="U5" s="64"/>
      <c r="V5" s="64"/>
    </row>
    <row r="6" spans="1:22" ht="20.399999999999999">
      <c r="A6" s="64"/>
      <c r="B6" s="64"/>
      <c r="C6" s="126" t="s">
        <v>34</v>
      </c>
      <c r="D6" s="126"/>
      <c r="E6" s="126"/>
      <c r="F6" s="126"/>
      <c r="G6" s="126"/>
      <c r="H6" s="64"/>
      <c r="I6" s="64"/>
      <c r="J6" s="64"/>
      <c r="K6" s="64"/>
      <c r="L6" s="64"/>
      <c r="M6" s="64"/>
      <c r="N6" s="140" t="s">
        <v>78</v>
      </c>
      <c r="O6" s="139"/>
      <c r="P6" s="70">
        <f>ROUND(((C25*(C33)^3)/12)+2*(((C26*(C27)^3)/12)+(C26*C27*((C33/2)+(C27/2))^2)),2)</f>
        <v>612193.82999999996</v>
      </c>
      <c r="Q6" s="81" t="s">
        <v>79</v>
      </c>
      <c r="R6" s="64"/>
      <c r="S6" s="64"/>
      <c r="T6" s="64"/>
      <c r="U6" s="64"/>
      <c r="V6" s="64"/>
    </row>
    <row r="7" spans="1:22" ht="21" thickBot="1">
      <c r="A7" s="67"/>
      <c r="B7" s="67"/>
      <c r="C7" s="131"/>
      <c r="D7" s="132"/>
      <c r="E7" s="132"/>
      <c r="F7" s="132"/>
      <c r="G7" s="132"/>
      <c r="H7" s="67"/>
      <c r="I7" s="67"/>
      <c r="J7" s="64"/>
      <c r="K7" s="64"/>
      <c r="L7" s="64"/>
      <c r="M7" s="64"/>
      <c r="N7" s="141" t="s">
        <v>80</v>
      </c>
      <c r="O7" s="141"/>
      <c r="P7" s="70">
        <f>ROUND(((C33*(C25)^3)/12)+2*((C27*(C26)^3)/12),2)</f>
        <v>37377.129999999997</v>
      </c>
      <c r="Q7" s="81" t="s">
        <v>79</v>
      </c>
      <c r="R7" s="64"/>
      <c r="S7" s="64"/>
      <c r="T7" s="64"/>
      <c r="U7" s="64"/>
      <c r="V7" s="64"/>
    </row>
    <row r="8" spans="1:22" ht="21" thickTop="1">
      <c r="A8" s="133" t="s">
        <v>35</v>
      </c>
      <c r="B8" s="134"/>
      <c r="C8" s="125" t="s">
        <v>36</v>
      </c>
      <c r="D8" s="125"/>
      <c r="E8" s="68"/>
      <c r="F8" s="68"/>
      <c r="G8" s="136" t="s">
        <v>37</v>
      </c>
      <c r="H8" s="123">
        <v>37</v>
      </c>
      <c r="I8" s="64"/>
      <c r="J8" s="64"/>
      <c r="K8" s="64" t="s">
        <v>38</v>
      </c>
      <c r="L8" s="64"/>
      <c r="M8" s="64"/>
      <c r="N8" s="141" t="s">
        <v>81</v>
      </c>
      <c r="O8" s="141"/>
      <c r="P8" s="70">
        <f>ROUND(P6/(C24/2),2)</f>
        <v>13604.31</v>
      </c>
      <c r="Q8" s="81" t="s">
        <v>82</v>
      </c>
      <c r="R8" s="64"/>
      <c r="S8" s="64"/>
      <c r="T8" s="64"/>
      <c r="U8" s="64"/>
      <c r="V8" s="64"/>
    </row>
    <row r="9" spans="1:22" ht="20.399999999999999">
      <c r="A9" s="135"/>
      <c r="B9" s="135"/>
      <c r="C9" s="125"/>
      <c r="D9" s="125"/>
      <c r="E9" s="68"/>
      <c r="F9" s="68"/>
      <c r="G9" s="126"/>
      <c r="H9" s="124"/>
      <c r="I9" s="64"/>
      <c r="J9" s="64"/>
      <c r="K9" s="64" t="s">
        <v>39</v>
      </c>
      <c r="L9" s="64"/>
      <c r="M9" s="64"/>
      <c r="N9" s="141" t="s">
        <v>83</v>
      </c>
      <c r="O9" s="141"/>
      <c r="P9" s="70">
        <f>ROUND(P7/(C26/2),2)</f>
        <v>1868.86</v>
      </c>
      <c r="Q9" s="81" t="s">
        <v>82</v>
      </c>
      <c r="R9" s="64"/>
      <c r="S9" s="64"/>
      <c r="T9" s="64"/>
      <c r="U9" s="64"/>
      <c r="V9" s="64"/>
    </row>
    <row r="10" spans="1:22" ht="20.399999999999999">
      <c r="A10" s="127" t="s">
        <v>40</v>
      </c>
      <c r="B10" s="128"/>
      <c r="C10" s="125" t="s">
        <v>174</v>
      </c>
      <c r="D10" s="68"/>
      <c r="E10" s="64"/>
      <c r="F10" s="129" t="s">
        <v>41</v>
      </c>
      <c r="G10" s="129"/>
      <c r="H10" s="70">
        <f>IF(H8=37,2.4,IF(H8=44,2.8,3.6))</f>
        <v>2.4</v>
      </c>
      <c r="I10" s="71" t="s">
        <v>42</v>
      </c>
      <c r="J10" s="64"/>
      <c r="K10" s="64"/>
      <c r="L10" s="64"/>
      <c r="M10" s="64"/>
      <c r="N10" s="82"/>
      <c r="O10" s="82"/>
      <c r="P10" s="64"/>
      <c r="Q10" s="64"/>
      <c r="R10" s="64"/>
      <c r="S10" s="64"/>
      <c r="T10" s="64"/>
      <c r="U10" s="64"/>
      <c r="V10" s="64"/>
    </row>
    <row r="11" spans="1:22" ht="20.399999999999999">
      <c r="A11" s="128"/>
      <c r="B11" s="128"/>
      <c r="C11" s="125"/>
      <c r="D11" s="68"/>
      <c r="E11" s="64"/>
      <c r="F11" s="129" t="s">
        <v>43</v>
      </c>
      <c r="G11" s="129"/>
      <c r="H11" s="70">
        <f>IF(H8=37,3.7,IF(H8=44,4.4,5.2))</f>
        <v>3.7</v>
      </c>
      <c r="I11" s="71" t="s">
        <v>42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</row>
    <row r="12" spans="1:22" ht="18">
      <c r="A12" s="64"/>
      <c r="B12" s="64"/>
      <c r="C12" s="72" t="s">
        <v>175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136" t="s">
        <v>84</v>
      </c>
      <c r="O12" s="130"/>
      <c r="P12" s="130"/>
      <c r="Q12" s="64"/>
      <c r="R12" s="64"/>
      <c r="S12" s="64"/>
      <c r="T12" s="64"/>
      <c r="U12" s="64"/>
      <c r="V12" s="64"/>
    </row>
    <row r="13" spans="1:22" ht="18">
      <c r="A13" s="127" t="s">
        <v>45</v>
      </c>
      <c r="B13" s="128"/>
      <c r="C13" s="128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8"/>
      <c r="O13" s="68"/>
      <c r="P13" s="68"/>
      <c r="Q13" s="68"/>
      <c r="R13" s="64"/>
      <c r="S13" s="64"/>
      <c r="T13" s="64"/>
      <c r="U13" s="64"/>
      <c r="V13" s="64"/>
    </row>
    <row r="14" spans="1:22" ht="18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139" t="s">
        <v>85</v>
      </c>
      <c r="O14" s="139"/>
      <c r="P14" s="73">
        <v>2424.84</v>
      </c>
      <c r="Q14" s="71" t="s">
        <v>53</v>
      </c>
      <c r="R14" s="64"/>
      <c r="S14" s="64"/>
      <c r="T14" s="64"/>
      <c r="U14" s="64"/>
      <c r="V14" s="64"/>
    </row>
    <row r="15" spans="1:22" ht="18">
      <c r="A15" s="130"/>
      <c r="B15" s="130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155" t="s">
        <v>86</v>
      </c>
      <c r="O15" s="155"/>
      <c r="P15" s="79" t="s">
        <v>39</v>
      </c>
      <c r="Q15" s="64"/>
      <c r="R15" s="64"/>
      <c r="S15" s="64"/>
      <c r="T15" s="64"/>
      <c r="U15" s="64"/>
      <c r="V15" s="64"/>
    </row>
    <row r="16" spans="1:22" ht="18">
      <c r="A16" s="130"/>
      <c r="B16" s="130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157" t="s">
        <v>87</v>
      </c>
      <c r="O16" s="157"/>
      <c r="P16" s="77">
        <f>IF(P15="Hinged",10,1)</f>
        <v>10</v>
      </c>
      <c r="Q16" s="64"/>
      <c r="R16" s="68"/>
      <c r="S16" s="126" t="s">
        <v>88</v>
      </c>
      <c r="T16" s="126"/>
      <c r="U16" s="68"/>
      <c r="V16" s="64"/>
    </row>
    <row r="17" spans="1:22" ht="20.399999999999999">
      <c r="A17" s="139" t="s">
        <v>46</v>
      </c>
      <c r="B17" s="139"/>
      <c r="C17" s="73">
        <v>16</v>
      </c>
      <c r="D17" s="71" t="s">
        <v>47</v>
      </c>
      <c r="E17" s="64"/>
      <c r="F17" s="64"/>
      <c r="G17" s="64"/>
      <c r="H17" s="64"/>
      <c r="I17" s="64"/>
      <c r="J17" s="64"/>
      <c r="K17" s="64"/>
      <c r="L17" s="64"/>
      <c r="M17" s="64"/>
      <c r="N17" s="140" t="s">
        <v>89</v>
      </c>
      <c r="O17" s="139"/>
      <c r="P17" s="73">
        <v>79890</v>
      </c>
      <c r="Q17" s="71" t="s">
        <v>90</v>
      </c>
      <c r="R17" s="64"/>
      <c r="S17" s="126" t="s">
        <v>91</v>
      </c>
      <c r="T17" s="126"/>
      <c r="U17" s="64"/>
      <c r="V17" s="64"/>
    </row>
    <row r="18" spans="1:22" ht="18">
      <c r="A18" s="139" t="s">
        <v>48</v>
      </c>
      <c r="B18" s="139"/>
      <c r="C18" s="73">
        <v>97</v>
      </c>
      <c r="D18" s="71" t="s">
        <v>49</v>
      </c>
      <c r="E18" s="64"/>
      <c r="F18" s="64"/>
      <c r="G18" s="64"/>
      <c r="H18" s="64"/>
      <c r="I18" s="64"/>
      <c r="J18" s="64"/>
      <c r="K18" s="64"/>
      <c r="L18" s="64"/>
      <c r="M18" s="64"/>
      <c r="N18" s="139" t="s">
        <v>92</v>
      </c>
      <c r="O18" s="139"/>
      <c r="P18" s="73">
        <v>2430</v>
      </c>
      <c r="Q18" s="71" t="s">
        <v>53</v>
      </c>
      <c r="R18" s="64"/>
      <c r="S18" s="126" t="s">
        <v>91</v>
      </c>
      <c r="T18" s="126"/>
      <c r="U18" s="64"/>
      <c r="V18" s="64"/>
    </row>
    <row r="19" spans="1:22" ht="18">
      <c r="A19" s="139" t="s">
        <v>50</v>
      </c>
      <c r="B19" s="139"/>
      <c r="C19" s="73">
        <v>6</v>
      </c>
      <c r="D19" s="71" t="s">
        <v>49</v>
      </c>
      <c r="E19" s="64"/>
      <c r="F19" s="64"/>
      <c r="G19" s="64"/>
      <c r="H19" s="64"/>
      <c r="I19" s="64"/>
      <c r="J19" s="64"/>
      <c r="K19" s="64"/>
      <c r="L19" s="64"/>
      <c r="M19" s="64"/>
      <c r="N19" s="155" t="s">
        <v>93</v>
      </c>
      <c r="O19" s="155"/>
      <c r="P19" s="83">
        <f>ROUND((P6/P14)/(P17/P18),2)</f>
        <v>7.68</v>
      </c>
      <c r="Q19" s="64"/>
      <c r="R19" s="64"/>
      <c r="S19" s="64"/>
      <c r="T19" s="64"/>
      <c r="U19" s="64"/>
      <c r="V19" s="64"/>
    </row>
    <row r="20" spans="1:22" ht="18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139" t="s">
        <v>94</v>
      </c>
      <c r="O20" s="139"/>
      <c r="P20" s="73" t="s">
        <v>176</v>
      </c>
      <c r="Q20" s="64"/>
      <c r="R20" s="126" t="s">
        <v>95</v>
      </c>
      <c r="S20" s="126"/>
      <c r="T20" s="126"/>
      <c r="U20" s="126"/>
      <c r="V20" s="64"/>
    </row>
    <row r="21" spans="1:22" ht="18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</row>
    <row r="22" spans="1:22" ht="20.399999999999999">
      <c r="A22" s="127" t="s">
        <v>51</v>
      </c>
      <c r="B22" s="128"/>
      <c r="C22" s="128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139" t="s">
        <v>96</v>
      </c>
      <c r="O22" s="139"/>
      <c r="P22" s="70" t="e">
        <f>ROUND(P20*P14,2)</f>
        <v>#VALUE!</v>
      </c>
      <c r="Q22" s="71" t="s">
        <v>53</v>
      </c>
      <c r="R22" s="64"/>
      <c r="S22" s="64"/>
      <c r="T22" s="64"/>
      <c r="U22" s="64"/>
      <c r="V22" s="64"/>
    </row>
    <row r="23" spans="1:22" ht="18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139" t="s">
        <v>97</v>
      </c>
      <c r="O23" s="139"/>
      <c r="P23" s="73">
        <v>540</v>
      </c>
      <c r="Q23" s="71" t="s">
        <v>53</v>
      </c>
      <c r="R23" s="158" t="s">
        <v>98</v>
      </c>
      <c r="S23" s="126"/>
      <c r="T23" s="126"/>
      <c r="U23" s="126"/>
      <c r="V23" s="64"/>
    </row>
    <row r="24" spans="1:22" ht="18">
      <c r="A24" s="139" t="s">
        <v>52</v>
      </c>
      <c r="B24" s="139"/>
      <c r="C24" s="73">
        <v>90</v>
      </c>
      <c r="D24" s="71" t="s">
        <v>53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</row>
    <row r="25" spans="1:22" ht="20.399999999999999">
      <c r="A25" s="137" t="s">
        <v>54</v>
      </c>
      <c r="B25" s="138"/>
      <c r="C25" s="73">
        <v>1.85</v>
      </c>
      <c r="D25" s="71" t="s">
        <v>53</v>
      </c>
      <c r="E25" s="64"/>
      <c r="F25" s="64"/>
      <c r="G25" s="64"/>
      <c r="H25" s="64"/>
      <c r="I25" s="64"/>
      <c r="J25" s="64"/>
      <c r="K25" s="64"/>
      <c r="L25" s="64"/>
      <c r="M25" s="64"/>
      <c r="N25" s="164" t="s">
        <v>129</v>
      </c>
      <c r="O25" s="164"/>
      <c r="P25" s="164"/>
      <c r="Q25" s="165" t="s">
        <v>130</v>
      </c>
      <c r="R25" s="165"/>
      <c r="S25" s="165"/>
      <c r="T25" s="88"/>
      <c r="U25" s="88"/>
      <c r="V25" s="88"/>
    </row>
    <row r="26" spans="1:22" ht="20.399999999999999">
      <c r="A26" s="137" t="s">
        <v>55</v>
      </c>
      <c r="B26" s="138"/>
      <c r="C26" s="73">
        <v>40</v>
      </c>
      <c r="D26" s="71" t="s">
        <v>53</v>
      </c>
      <c r="E26" s="64"/>
      <c r="F26" s="64"/>
      <c r="G26" s="64"/>
      <c r="H26" s="64"/>
      <c r="I26" s="64"/>
      <c r="J26" s="64"/>
      <c r="K26" s="64"/>
      <c r="L26" s="64"/>
      <c r="M26" s="64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20.399999999999999">
      <c r="A27" s="137" t="s">
        <v>56</v>
      </c>
      <c r="B27" s="138"/>
      <c r="C27" s="73">
        <v>3.5</v>
      </c>
      <c r="D27" s="71" t="s">
        <v>53</v>
      </c>
      <c r="E27" s="64"/>
      <c r="F27" s="64"/>
      <c r="G27" s="64"/>
      <c r="H27" s="64"/>
      <c r="I27" s="64"/>
      <c r="J27" s="64"/>
      <c r="K27" s="64"/>
      <c r="L27" s="64"/>
      <c r="M27" s="64"/>
      <c r="N27" s="88"/>
      <c r="O27" s="88"/>
      <c r="P27" s="156" t="s">
        <v>132</v>
      </c>
      <c r="Q27" s="156"/>
      <c r="R27" s="89">
        <f>ROUND(IF(H42="compact",(F62-(((F62-ROUND(H10*P8,2)))*((MAX(D36,I36)-I38)/(I39-I38))))*0.01,"-"),2)</f>
        <v>1382.55</v>
      </c>
      <c r="S27" s="88" t="s">
        <v>47</v>
      </c>
      <c r="T27" s="90" t="s">
        <v>133</v>
      </c>
      <c r="U27" s="89"/>
      <c r="V27" s="88"/>
    </row>
    <row r="28" spans="1:22" ht="1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88"/>
      <c r="O28" s="88"/>
      <c r="P28" s="156" t="s">
        <v>134</v>
      </c>
      <c r="Q28" s="156"/>
      <c r="R28" s="89">
        <f>IF(ROUND((F62-((F62-(ROUND(E58*P8*0.01,2)))*((D36-D38)/(D39-D38)))),2)&lt;=F62,ROUND((F62-((F62-(ROUND(E58*P8*0.01,2)))*((D36-D38)/(D39-D38)))),2),F62)</f>
        <v>365.68</v>
      </c>
      <c r="S28" s="88" t="s">
        <v>47</v>
      </c>
      <c r="T28" s="90" t="s">
        <v>135</v>
      </c>
      <c r="U28" s="89"/>
      <c r="V28" s="88"/>
    </row>
    <row r="29" spans="1:22" ht="18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88"/>
      <c r="O29" s="88"/>
      <c r="P29" s="156" t="s">
        <v>137</v>
      </c>
      <c r="Q29" s="156"/>
      <c r="R29" s="89">
        <f>MIN(R27,R28)</f>
        <v>365.68</v>
      </c>
      <c r="S29" s="88" t="s">
        <v>47</v>
      </c>
      <c r="T29" s="88"/>
      <c r="U29" s="88"/>
      <c r="V29" s="88"/>
    </row>
    <row r="30" spans="1:22" ht="18">
      <c r="A30" s="127" t="s">
        <v>57</v>
      </c>
      <c r="B30" s="128"/>
      <c r="C30" s="128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20.399999999999999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88"/>
      <c r="O31" s="88"/>
      <c r="P31" s="156" t="s">
        <v>140</v>
      </c>
      <c r="Q31" s="156"/>
      <c r="R31" s="89">
        <f>ROUND(E51+((E59-E51)*((F62-R29)/(F62-ROUND(E58*P8*0.01,2)))),2)</f>
        <v>472.5</v>
      </c>
      <c r="S31" s="88" t="s">
        <v>53</v>
      </c>
      <c r="T31" s="88"/>
      <c r="U31" s="91"/>
      <c r="V31" s="91"/>
    </row>
    <row r="32" spans="1:22" ht="18">
      <c r="A32" s="64"/>
      <c r="B32" s="75" t="s">
        <v>58</v>
      </c>
      <c r="C32" s="64"/>
      <c r="D32" s="64"/>
      <c r="E32" s="64"/>
      <c r="F32" s="68"/>
      <c r="G32" s="75" t="s">
        <v>59</v>
      </c>
      <c r="H32" s="75"/>
      <c r="I32" s="64"/>
      <c r="J32" s="64"/>
      <c r="K32" s="64"/>
      <c r="L32" s="64"/>
      <c r="M32" s="64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20.399999999999999">
      <c r="A33" s="64"/>
      <c r="B33" s="71" t="s">
        <v>60</v>
      </c>
      <c r="C33" s="70">
        <f>C24-(2*C27)</f>
        <v>83</v>
      </c>
      <c r="D33" s="71" t="s">
        <v>53</v>
      </c>
      <c r="E33" s="64"/>
      <c r="F33" s="64"/>
      <c r="G33" s="71" t="s">
        <v>61</v>
      </c>
      <c r="H33" s="70">
        <f>(C26/2)</f>
        <v>20</v>
      </c>
      <c r="I33" s="71" t="s">
        <v>53</v>
      </c>
      <c r="J33" s="64"/>
      <c r="K33" s="76" t="s">
        <v>62</v>
      </c>
      <c r="L33" s="71">
        <f>ROUND(0.5*(C18/(C33*C34*H10)+1),2)</f>
        <v>0.63</v>
      </c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20.399999999999999">
      <c r="A34" s="64"/>
      <c r="B34" s="71" t="s">
        <v>54</v>
      </c>
      <c r="C34" s="70">
        <f>C25</f>
        <v>1.85</v>
      </c>
      <c r="D34" s="71" t="s">
        <v>53</v>
      </c>
      <c r="E34" s="64"/>
      <c r="F34" s="64"/>
      <c r="G34" s="71" t="s">
        <v>56</v>
      </c>
      <c r="H34" s="70">
        <f>C27</f>
        <v>3.5</v>
      </c>
      <c r="I34" s="71" t="s">
        <v>53</v>
      </c>
      <c r="J34" s="64"/>
      <c r="K34" s="64"/>
      <c r="L34" s="64"/>
      <c r="M34" s="64"/>
      <c r="N34" s="88"/>
      <c r="O34" s="166" t="str">
        <f>IF(P23&lt;=R31,"Case ( a )",IF(AND(R31&lt;P23,P23&lt;=E59),"case ( b )","Case ( C )"))</f>
        <v>case ( b )</v>
      </c>
      <c r="P34" s="166"/>
      <c r="Q34" s="88"/>
      <c r="R34" s="88"/>
      <c r="S34" s="88"/>
      <c r="T34" s="88"/>
      <c r="U34" s="88"/>
      <c r="V34" s="88"/>
    </row>
    <row r="35" spans="1:22" ht="18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88"/>
      <c r="O35" s="166"/>
      <c r="P35" s="166"/>
      <c r="Q35" s="88"/>
      <c r="R35" s="88"/>
      <c r="S35" s="88"/>
      <c r="T35" s="88"/>
      <c r="U35" s="88"/>
      <c r="V35" s="88"/>
    </row>
    <row r="36" spans="1:22" ht="18">
      <c r="A36" s="64"/>
      <c r="B36" s="146" t="s">
        <v>63</v>
      </c>
      <c r="C36" s="147"/>
      <c r="D36" s="150">
        <f>ROUND(C33/C34,2)</f>
        <v>44.86</v>
      </c>
      <c r="E36" s="64"/>
      <c r="F36" s="64"/>
      <c r="G36" s="146" t="s">
        <v>63</v>
      </c>
      <c r="H36" s="147"/>
      <c r="I36" s="150">
        <f>ROUND(L33*H33/H34,2)</f>
        <v>3.6</v>
      </c>
      <c r="J36" s="64"/>
      <c r="K36" s="64"/>
      <c r="L36" s="64"/>
      <c r="M36" s="64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8">
      <c r="A37" s="78" t="s">
        <v>64</v>
      </c>
      <c r="B37" s="148"/>
      <c r="C37" s="149"/>
      <c r="D37" s="151"/>
      <c r="E37" s="64"/>
      <c r="F37" s="65" t="s">
        <v>65</v>
      </c>
      <c r="G37" s="148"/>
      <c r="H37" s="149"/>
      <c r="I37" s="151"/>
      <c r="J37" s="64"/>
      <c r="K37" s="64"/>
      <c r="L37" s="64"/>
      <c r="M37" s="64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20.399999999999999">
      <c r="A38" s="78" t="s">
        <v>66</v>
      </c>
      <c r="B38" s="152" t="s">
        <v>67</v>
      </c>
      <c r="C38" s="153"/>
      <c r="D38" s="70">
        <f>ROUND(IF(L33&gt;0.5,699/SQRT(H10)/(13*L33-1),63.6/L33/SQRT(H10)),2)</f>
        <v>62.75</v>
      </c>
      <c r="E38" s="64"/>
      <c r="F38" s="65" t="s">
        <v>68</v>
      </c>
      <c r="G38" s="152" t="s">
        <v>69</v>
      </c>
      <c r="H38" s="153"/>
      <c r="I38" s="70">
        <f>ROUND(15.3/SQRT(H10),2)</f>
        <v>9.8800000000000008</v>
      </c>
      <c r="J38" s="64"/>
      <c r="K38" s="64"/>
      <c r="L38" s="64"/>
      <c r="M38" s="64"/>
      <c r="N38" s="168" t="s">
        <v>116</v>
      </c>
      <c r="O38" s="168"/>
      <c r="P38" s="156" t="s">
        <v>117</v>
      </c>
      <c r="Q38" s="156"/>
      <c r="R38" s="88">
        <v>0.6</v>
      </c>
      <c r="S38" s="88"/>
      <c r="T38" s="88"/>
      <c r="U38" s="88"/>
      <c r="V38" s="88"/>
    </row>
    <row r="39" spans="1:22" ht="20.399999999999999">
      <c r="A39" s="65" t="s">
        <v>70</v>
      </c>
      <c r="B39" s="154" t="s">
        <v>71</v>
      </c>
      <c r="C39" s="139"/>
      <c r="D39" s="70">
        <f>ROUND(222/SQRT(H10),2)</f>
        <v>143.30000000000001</v>
      </c>
      <c r="E39" s="64"/>
      <c r="F39" s="65" t="s">
        <v>72</v>
      </c>
      <c r="G39" s="154" t="s">
        <v>71</v>
      </c>
      <c r="H39" s="139"/>
      <c r="I39" s="70">
        <f>ROUND(28/SQRT(H10),2)</f>
        <v>18.07</v>
      </c>
      <c r="J39" s="64"/>
      <c r="K39" s="64"/>
      <c r="L39" s="64"/>
      <c r="M39" s="64"/>
      <c r="N39" s="168" t="s">
        <v>119</v>
      </c>
      <c r="O39" s="168"/>
      <c r="P39" s="156" t="s">
        <v>120</v>
      </c>
      <c r="Q39" s="156"/>
      <c r="R39" s="89">
        <f>IF(O34="Case ( b )",ROUND(E58*P8*0.01,2),"-")</f>
        <v>195.9</v>
      </c>
      <c r="S39" s="88"/>
      <c r="T39" s="88"/>
      <c r="U39" s="88"/>
      <c r="V39" s="88"/>
    </row>
    <row r="40" spans="1:22" ht="1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168" t="s">
        <v>122</v>
      </c>
      <c r="O40" s="168"/>
      <c r="P40" s="156" t="s">
        <v>123</v>
      </c>
      <c r="Q40" s="156"/>
      <c r="R40" s="89" t="str">
        <f>IF(O34="Case ( C )",ROUND(P8*SQRT((((1380*E56)/(C24*P23))^2)+((20700/((P23/E55)^2))^2))*0.01,2),"-")</f>
        <v>-</v>
      </c>
      <c r="S40" s="88"/>
      <c r="T40" s="88"/>
      <c r="U40" s="88"/>
      <c r="V40" s="88"/>
    </row>
    <row r="41" spans="1:22" ht="1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8">
      <c r="A42" s="64"/>
      <c r="B42" s="139" t="s">
        <v>73</v>
      </c>
      <c r="C42" s="142" t="str">
        <f>IF(D36&lt;=D38,"compact",IF(D36&lt;=D39,"non compact","slender"))</f>
        <v>compact</v>
      </c>
      <c r="D42" s="143"/>
      <c r="E42" s="64"/>
      <c r="F42" s="64"/>
      <c r="G42" s="139" t="s">
        <v>73</v>
      </c>
      <c r="H42" s="139" t="str">
        <f>IF((I36)&lt;=I38,"compact",IF(AND(I38&lt;I36,I36&lt;I39),"non compact","slender"))</f>
        <v>compact</v>
      </c>
      <c r="I42" s="139"/>
      <c r="J42" s="64"/>
      <c r="K42" s="64"/>
      <c r="L42" s="64"/>
      <c r="M42" s="64"/>
      <c r="N42" s="168" t="s">
        <v>135</v>
      </c>
      <c r="O42" s="168"/>
      <c r="P42" s="156" t="s">
        <v>124</v>
      </c>
      <c r="Q42" s="156"/>
      <c r="R42" s="89">
        <f>IF(IF(O34="Case ( a )",R29,IF(O34="Case ( b )",ROUND((F62-((F62-R39)*((P23-E51)/(E59-E51))))*R38,2),ROUND(E67*R38,2)))&lt;=F62,IF(O34="Case ( a )",R29,IF(O34="Case ( b )",ROUND((F62-((F62-R39)*((P23-E51)/(E59-E51))))*R38,2),ROUND(E67*R38,2))),F62)</f>
        <v>214.02</v>
      </c>
      <c r="S42" s="88" t="s">
        <v>47</v>
      </c>
      <c r="T42" s="88"/>
      <c r="U42" s="88"/>
      <c r="V42" s="88"/>
    </row>
    <row r="43" spans="1:22" ht="18">
      <c r="A43" s="64"/>
      <c r="B43" s="139"/>
      <c r="C43" s="144"/>
      <c r="D43" s="145"/>
      <c r="E43" s="64"/>
      <c r="F43" s="64"/>
      <c r="G43" s="139"/>
      <c r="H43" s="139"/>
      <c r="I43" s="139"/>
      <c r="J43" s="64"/>
      <c r="K43" s="64"/>
      <c r="L43" s="64"/>
      <c r="M43" s="64"/>
      <c r="N43" s="88"/>
      <c r="O43" s="88"/>
      <c r="P43" s="169" t="s">
        <v>125</v>
      </c>
      <c r="Q43" s="156"/>
      <c r="R43" s="88">
        <v>0.85</v>
      </c>
      <c r="S43" s="88"/>
      <c r="T43" s="88"/>
      <c r="U43" s="168" t="str">
        <f>IF(R44&gt;MAX(C15,C16,C17),"Safe","Unsafe")</f>
        <v>Safe</v>
      </c>
      <c r="V43" s="168"/>
    </row>
    <row r="44" spans="1:22" ht="18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88"/>
      <c r="O44" s="88"/>
      <c r="P44" s="170" t="s">
        <v>126</v>
      </c>
      <c r="Q44" s="156"/>
      <c r="R44" s="87">
        <f>ROUND(R42*R43,2)</f>
        <v>181.92</v>
      </c>
      <c r="S44" s="88" t="s">
        <v>47</v>
      </c>
      <c r="T44" s="88"/>
      <c r="U44" s="168"/>
      <c r="V44" s="168"/>
    </row>
    <row r="45" spans="1:22" ht="18">
      <c r="A45" s="64"/>
      <c r="B45" s="64"/>
      <c r="C45" s="64"/>
      <c r="D45" s="139" t="s">
        <v>74</v>
      </c>
      <c r="E45" s="139"/>
      <c r="F45" s="159" t="str">
        <f>IF(AND(C42="compact",H42="compact"),"compact",IF(OR(C42="non compact",H42="non compact"),"non compact",IF(OR(C42="slender",H42="slender"),"slender","check")))</f>
        <v>compact</v>
      </c>
      <c r="G45" s="159"/>
      <c r="H45" s="64"/>
      <c r="I45" s="64"/>
      <c r="J45" s="64"/>
      <c r="K45" s="64"/>
      <c r="L45" s="64"/>
      <c r="M45" s="64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8">
      <c r="A46" s="64"/>
      <c r="B46" s="64"/>
      <c r="C46" s="64"/>
      <c r="D46" s="139"/>
      <c r="E46" s="139"/>
      <c r="F46" s="159"/>
      <c r="G46" s="159"/>
      <c r="H46" s="64"/>
      <c r="I46" s="64"/>
      <c r="J46" s="64"/>
      <c r="K46" s="64"/>
      <c r="L46" s="64"/>
      <c r="M46" s="64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8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</row>
    <row r="48" spans="1:22" ht="18">
      <c r="A48" s="136" t="s">
        <v>99</v>
      </c>
      <c r="B48" s="130"/>
      <c r="C48" s="130"/>
      <c r="D48" s="75" t="s">
        <v>100</v>
      </c>
      <c r="E48" s="64"/>
      <c r="F48" s="64"/>
      <c r="G48" s="126" t="s">
        <v>101</v>
      </c>
      <c r="H48" s="126"/>
      <c r="I48" s="64"/>
      <c r="J48" s="64"/>
      <c r="K48" s="64"/>
      <c r="L48" s="64"/>
      <c r="M48" s="64"/>
      <c r="N48" s="136" t="s">
        <v>127</v>
      </c>
      <c r="O48" s="130"/>
      <c r="P48" s="130"/>
      <c r="Q48" s="64"/>
      <c r="R48" s="75" t="s">
        <v>128</v>
      </c>
      <c r="S48" s="64"/>
      <c r="T48" s="64"/>
      <c r="U48" s="64"/>
      <c r="V48" s="64"/>
    </row>
    <row r="49" spans="1:22" ht="18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</row>
    <row r="50" spans="1:22" ht="20.399999999999999">
      <c r="A50" s="64"/>
      <c r="B50" s="64"/>
      <c r="C50" s="139" t="s">
        <v>102</v>
      </c>
      <c r="D50" s="139"/>
      <c r="E50" s="70">
        <f>ROUND(((P7/P5)^0.5),2)</f>
        <v>9.15</v>
      </c>
      <c r="F50" s="71" t="s">
        <v>53</v>
      </c>
      <c r="G50" s="64"/>
      <c r="H50" s="64"/>
      <c r="I50" s="64"/>
      <c r="J50" s="64"/>
      <c r="K50" s="64"/>
      <c r="L50" s="64"/>
      <c r="M50" s="64"/>
      <c r="N50" s="64"/>
      <c r="O50" s="64"/>
      <c r="P50" s="139" t="s">
        <v>131</v>
      </c>
      <c r="Q50" s="139"/>
      <c r="R50" s="70">
        <f>ROUND(SQRT(P6/P5),2)</f>
        <v>37.03</v>
      </c>
      <c r="S50" s="71" t="s">
        <v>53</v>
      </c>
      <c r="T50" s="64"/>
      <c r="U50" s="64"/>
      <c r="V50" s="64"/>
    </row>
    <row r="51" spans="1:22" ht="20.399999999999999">
      <c r="A51" s="126" t="s">
        <v>103</v>
      </c>
      <c r="B51" s="126"/>
      <c r="C51" s="139" t="s">
        <v>104</v>
      </c>
      <c r="D51" s="139"/>
      <c r="E51" s="70">
        <f>ROUND((80*E50)/SQRT(H10),2)</f>
        <v>472.5</v>
      </c>
      <c r="F51" s="71" t="s">
        <v>53</v>
      </c>
      <c r="G51" s="64"/>
      <c r="H51" s="64"/>
      <c r="I51" s="64"/>
      <c r="J51" s="64"/>
      <c r="K51" s="64"/>
      <c r="L51" s="64"/>
      <c r="M51" s="64"/>
      <c r="N51" s="64"/>
      <c r="O51" s="64"/>
      <c r="P51" s="139" t="s">
        <v>102</v>
      </c>
      <c r="Q51" s="139"/>
      <c r="R51" s="70">
        <f>ROUND(SQRT(P7/P5),2)</f>
        <v>9.15</v>
      </c>
      <c r="S51" s="71" t="s">
        <v>53</v>
      </c>
      <c r="T51" s="64"/>
      <c r="U51" s="64"/>
      <c r="V51" s="64"/>
    </row>
    <row r="52" spans="1:22" ht="18">
      <c r="A52" s="130"/>
      <c r="B52" s="130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154" t="s">
        <v>136</v>
      </c>
      <c r="Q52" s="139"/>
      <c r="R52" s="70" t="e">
        <f>ROUND(P22/R50,2)</f>
        <v>#VALUE!</v>
      </c>
      <c r="S52" s="64"/>
      <c r="T52" s="64"/>
      <c r="U52" s="64"/>
      <c r="V52" s="64"/>
    </row>
    <row r="53" spans="1:22" ht="19.8">
      <c r="A53" s="126" t="s">
        <v>105</v>
      </c>
      <c r="B53" s="126"/>
      <c r="C53" s="139" t="s">
        <v>106</v>
      </c>
      <c r="D53" s="139"/>
      <c r="E53" s="70">
        <f>ROUND(((C33/6)*C25)+(C26*C27),2)</f>
        <v>165.59</v>
      </c>
      <c r="F53" s="71" t="s">
        <v>107</v>
      </c>
      <c r="G53" s="64"/>
      <c r="H53" s="64"/>
      <c r="I53" s="64"/>
      <c r="J53" s="64"/>
      <c r="K53" s="64"/>
      <c r="L53" s="64"/>
      <c r="M53" s="64"/>
      <c r="N53" s="64"/>
      <c r="O53" s="64"/>
      <c r="P53" s="154" t="s">
        <v>138</v>
      </c>
      <c r="Q53" s="139"/>
      <c r="R53" s="70">
        <f>ROUND(P23/R51,2)</f>
        <v>59.02</v>
      </c>
      <c r="S53" s="64"/>
      <c r="T53" s="64"/>
      <c r="U53" s="64"/>
      <c r="V53" s="64"/>
    </row>
    <row r="54" spans="1:22" ht="20.399999999999999">
      <c r="A54" s="126"/>
      <c r="B54" s="126"/>
      <c r="C54" s="141" t="s">
        <v>80</v>
      </c>
      <c r="D54" s="141"/>
      <c r="E54" s="70">
        <f>ROUND((((C33/6)*(C25^3))/12)+((C27*(C26^3))/12),2)</f>
        <v>18673.97</v>
      </c>
      <c r="F54" s="84" t="s">
        <v>79</v>
      </c>
      <c r="G54" s="64"/>
      <c r="H54" s="64"/>
      <c r="I54" s="64"/>
      <c r="J54" s="64"/>
      <c r="K54" s="64"/>
      <c r="L54" s="64"/>
      <c r="M54" s="64"/>
      <c r="N54" s="64"/>
      <c r="O54" s="64"/>
      <c r="P54" s="154" t="s">
        <v>139</v>
      </c>
      <c r="Q54" s="139"/>
      <c r="R54" s="70" t="e">
        <f>MAX(R52,R53)</f>
        <v>#VALUE!</v>
      </c>
      <c r="S54" s="64"/>
      <c r="T54" s="64"/>
      <c r="U54" s="64"/>
      <c r="V54" s="64"/>
    </row>
    <row r="55" spans="1:22" ht="20.399999999999999">
      <c r="A55" s="64"/>
      <c r="B55" s="64"/>
      <c r="C55" s="139" t="s">
        <v>108</v>
      </c>
      <c r="D55" s="139"/>
      <c r="E55" s="70">
        <f>ROUND(SQRT(E54/E53),2)</f>
        <v>10.62</v>
      </c>
      <c r="F55" s="71" t="s">
        <v>53</v>
      </c>
      <c r="G55" s="64"/>
      <c r="H55" s="64"/>
      <c r="I55" s="64"/>
      <c r="J55" s="64"/>
      <c r="K55" s="64"/>
      <c r="L55" s="64"/>
      <c r="M55" s="64"/>
      <c r="N55" s="126" t="s">
        <v>141</v>
      </c>
      <c r="O55" s="161"/>
      <c r="P55" s="154" t="s">
        <v>142</v>
      </c>
      <c r="Q55" s="139"/>
      <c r="R55" s="70" t="e">
        <f>ROUND((R54/3.14)*SQRT(H10/2100),2)</f>
        <v>#VALUE!</v>
      </c>
      <c r="S55" s="64"/>
      <c r="T55" s="64"/>
      <c r="U55" s="64"/>
      <c r="V55" s="64"/>
    </row>
    <row r="56" spans="1:22" ht="20.399999999999999">
      <c r="A56" s="64"/>
      <c r="B56" s="64"/>
      <c r="C56" s="139" t="s">
        <v>109</v>
      </c>
      <c r="D56" s="139"/>
      <c r="E56" s="70">
        <f>ROUND(C26*C27,2)</f>
        <v>140</v>
      </c>
      <c r="F56" s="71" t="s">
        <v>107</v>
      </c>
      <c r="G56" s="64"/>
      <c r="H56" s="64"/>
      <c r="I56" s="64"/>
      <c r="J56" s="64"/>
      <c r="K56" s="64"/>
      <c r="L56" s="64"/>
      <c r="M56" s="64"/>
      <c r="N56" s="126" t="s">
        <v>143</v>
      </c>
      <c r="O56" s="167"/>
      <c r="P56" s="139" t="s">
        <v>144</v>
      </c>
      <c r="Q56" s="139"/>
      <c r="R56" s="70" t="e">
        <f>IF(R55&lt;=1.5,ROUND(H10*(1-(0.384*(R55^2))),2),ROUND(0.684*(H10/(R55^2)),2))</f>
        <v>#VALUE!</v>
      </c>
      <c r="S56" s="64"/>
      <c r="T56" s="64"/>
      <c r="U56" s="64"/>
      <c r="V56" s="64"/>
    </row>
    <row r="57" spans="1:22" ht="18">
      <c r="A57" s="126" t="s">
        <v>110</v>
      </c>
      <c r="B57" s="126"/>
      <c r="C57" s="139" t="s">
        <v>111</v>
      </c>
      <c r="D57" s="139"/>
      <c r="E57" s="70">
        <f>ROUND(((0.104*E55*C24)/E56)^2,2)</f>
        <v>0.5</v>
      </c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</row>
    <row r="58" spans="1:22" ht="20.399999999999999">
      <c r="A58" s="64"/>
      <c r="B58" s="64"/>
      <c r="C58" s="139" t="s">
        <v>112</v>
      </c>
      <c r="D58" s="139"/>
      <c r="E58" s="70">
        <f>0.6*H10</f>
        <v>1.44</v>
      </c>
      <c r="F58" s="71" t="s">
        <v>42</v>
      </c>
      <c r="G58" s="64"/>
      <c r="H58" s="64"/>
      <c r="I58" s="64"/>
      <c r="J58" s="64"/>
      <c r="K58" s="64"/>
      <c r="L58" s="64"/>
      <c r="M58" s="64"/>
      <c r="N58" s="126" t="s">
        <v>145</v>
      </c>
      <c r="O58" s="161"/>
      <c r="P58" s="139" t="s">
        <v>146</v>
      </c>
      <c r="Q58" s="139"/>
      <c r="R58" s="77" t="e">
        <f>ROUND(R56*P5,2)</f>
        <v>#VALUE!</v>
      </c>
      <c r="S58" s="71" t="s">
        <v>49</v>
      </c>
      <c r="T58" s="64"/>
      <c r="U58" s="64"/>
      <c r="V58" s="64"/>
    </row>
    <row r="59" spans="1:22" ht="20.399999999999999">
      <c r="A59" s="126" t="s">
        <v>113</v>
      </c>
      <c r="B59" s="126"/>
      <c r="C59" s="155" t="s">
        <v>114</v>
      </c>
      <c r="D59" s="155"/>
      <c r="E59" s="79">
        <f>ROUND(((1380*E56)/(C24*E58))*SQRT(0.5*(1+SQRT(1+(2*E57*E58)^2))),2)</f>
        <v>1749.06</v>
      </c>
      <c r="F59" s="71" t="s">
        <v>53</v>
      </c>
      <c r="G59" s="64"/>
      <c r="H59" s="64"/>
      <c r="I59" s="64"/>
      <c r="J59" s="64"/>
      <c r="K59" s="64"/>
      <c r="L59" s="64"/>
      <c r="M59" s="64"/>
      <c r="N59" s="64"/>
      <c r="O59" s="68"/>
      <c r="P59" s="154" t="s">
        <v>125</v>
      </c>
      <c r="Q59" s="139"/>
      <c r="R59" s="71">
        <v>0.8</v>
      </c>
      <c r="S59" s="64"/>
      <c r="T59" s="64"/>
      <c r="U59" s="162" t="e">
        <f>IF(R60&lt;C18,"Unsafe","Safe")</f>
        <v>#VALUE!</v>
      </c>
      <c r="V59" s="162"/>
    </row>
    <row r="60" spans="1:22" ht="18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8"/>
      <c r="P60" s="163" t="s">
        <v>147</v>
      </c>
      <c r="Q60" s="139"/>
      <c r="R60" s="80" t="e">
        <f>ROUND(R58*R59,2)</f>
        <v>#VALUE!</v>
      </c>
      <c r="S60" s="71" t="s">
        <v>49</v>
      </c>
      <c r="T60" s="64"/>
      <c r="U60" s="162"/>
      <c r="V60" s="162"/>
    </row>
    <row r="61" spans="1:22" ht="18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</row>
    <row r="62" spans="1:22" ht="18">
      <c r="A62" s="64"/>
      <c r="B62" s="124" t="str">
        <f>IF(P23&lt;=E51,"Case (a)",IF(AND(E51&lt;P23,P23&lt;=E59),"Case (b)","Case (c) "))</f>
        <v>Case (b)</v>
      </c>
      <c r="C62" s="124"/>
      <c r="D62" s="64"/>
      <c r="E62" s="139" t="s">
        <v>115</v>
      </c>
      <c r="F62" s="160">
        <f>ROUND(1.12*H10*P8*0.01,2)</f>
        <v>365.68</v>
      </c>
      <c r="G62" s="139" t="s">
        <v>47</v>
      </c>
      <c r="H62" s="64"/>
      <c r="I62" s="64"/>
      <c r="J62" s="64"/>
      <c r="K62" s="64"/>
      <c r="L62" s="64"/>
      <c r="M62" s="64"/>
      <c r="N62" s="136" t="s">
        <v>148</v>
      </c>
      <c r="O62" s="136"/>
      <c r="P62" s="136"/>
      <c r="Q62" s="64"/>
      <c r="R62" s="75" t="s">
        <v>149</v>
      </c>
      <c r="S62" s="64"/>
      <c r="T62" s="64"/>
      <c r="U62" s="64"/>
      <c r="V62" s="64"/>
    </row>
    <row r="63" spans="1:22" ht="18">
      <c r="A63" s="64"/>
      <c r="B63" s="124"/>
      <c r="C63" s="124"/>
      <c r="D63" s="64"/>
      <c r="E63" s="139"/>
      <c r="F63" s="160"/>
      <c r="G63" s="139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</row>
    <row r="64" spans="1:22" ht="18">
      <c r="A64" s="64"/>
      <c r="B64" s="64"/>
      <c r="C64" s="68"/>
      <c r="D64" s="68"/>
      <c r="E64" s="64"/>
      <c r="F64" s="64"/>
      <c r="G64" s="64"/>
      <c r="H64" s="64"/>
      <c r="I64" s="64"/>
      <c r="J64" s="64"/>
      <c r="K64" s="64"/>
      <c r="L64" s="64"/>
      <c r="M64" s="64"/>
      <c r="N64" s="68"/>
      <c r="O64" s="68"/>
      <c r="P64" s="139"/>
      <c r="Q64" s="139"/>
      <c r="R64" s="139">
        <f>ROUND(C33/C25,2)</f>
        <v>44.86</v>
      </c>
      <c r="S64" s="64"/>
      <c r="T64" s="64"/>
      <c r="U64" s="64"/>
      <c r="V64" s="64"/>
    </row>
    <row r="65" spans="1:22" ht="20.399999999999999">
      <c r="A65" s="126" t="s">
        <v>116</v>
      </c>
      <c r="B65" s="161"/>
      <c r="C65" s="139" t="s">
        <v>117</v>
      </c>
      <c r="D65" s="139"/>
      <c r="E65" s="71">
        <f>ROUND((1.75+1.05*((MIN(C17:C19))/(MAX(C17:C19)))+0.3*(((MIN(C17:C19))/(MAX(C17:C19)))^2)),2)</f>
        <v>1.82</v>
      </c>
      <c r="F65" s="86"/>
      <c r="G65" s="126" t="s">
        <v>118</v>
      </c>
      <c r="H65" s="126"/>
      <c r="I65" s="126"/>
      <c r="K65" s="64"/>
      <c r="L65" s="64"/>
      <c r="M65" s="64"/>
      <c r="N65" s="68"/>
      <c r="O65" s="68"/>
      <c r="P65" s="139"/>
      <c r="Q65" s="139"/>
      <c r="R65" s="139"/>
      <c r="S65" s="64"/>
      <c r="T65" s="64"/>
      <c r="U65" s="64"/>
      <c r="V65" s="64"/>
    </row>
    <row r="66" spans="1:22" ht="18">
      <c r="A66" s="126" t="s">
        <v>119</v>
      </c>
      <c r="B66" s="126"/>
      <c r="C66" s="139" t="s">
        <v>120</v>
      </c>
      <c r="D66" s="139"/>
      <c r="E66" s="70">
        <f>IF(B62="Case (b)",ROUND(E58*P8*0.01,2),"-")</f>
        <v>195.9</v>
      </c>
      <c r="F66" s="158" t="s">
        <v>121</v>
      </c>
      <c r="G66" s="126"/>
      <c r="H66" s="126"/>
      <c r="I66" s="64"/>
      <c r="J66" s="64"/>
      <c r="K66" s="64"/>
      <c r="L66" s="64"/>
      <c r="M66" s="64"/>
      <c r="N66" s="68"/>
      <c r="O66" s="68"/>
      <c r="P66" s="139"/>
      <c r="Q66" s="139"/>
      <c r="R66" s="139">
        <f>ROUND(112/SQRT(H10),2)</f>
        <v>72.3</v>
      </c>
      <c r="S66" s="64"/>
      <c r="T66" s="64"/>
      <c r="U66" s="64"/>
      <c r="V66" s="64"/>
    </row>
    <row r="67" spans="1:22" ht="18">
      <c r="A67" s="126" t="s">
        <v>122</v>
      </c>
      <c r="B67" s="161"/>
      <c r="C67" s="139" t="s">
        <v>123</v>
      </c>
      <c r="D67" s="139"/>
      <c r="E67" s="70" t="str">
        <f>IF(B62="Case (c) ",ROUND(P8*SQRT((((1380*E56)/(C24*P23))^2)+((20700/((P23/E55)^2))^2))*0.01,2),"-")</f>
        <v>-</v>
      </c>
      <c r="F67" s="158"/>
      <c r="G67" s="126"/>
      <c r="H67" s="126"/>
      <c r="I67" s="64"/>
      <c r="J67" s="64"/>
      <c r="K67" s="64"/>
      <c r="L67" s="64"/>
      <c r="M67" s="64"/>
      <c r="N67" s="68"/>
      <c r="O67" s="68"/>
      <c r="P67" s="139"/>
      <c r="Q67" s="139"/>
      <c r="R67" s="139"/>
      <c r="S67" s="64"/>
      <c r="T67" s="64"/>
      <c r="U67" s="64"/>
      <c r="V67" s="64"/>
    </row>
    <row r="68" spans="1:22" ht="1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8"/>
      <c r="O68" s="68"/>
      <c r="P68" s="139"/>
      <c r="Q68" s="139"/>
      <c r="R68" s="139">
        <f>ROUND(139/SQRT(H10),2)</f>
        <v>89.72</v>
      </c>
      <c r="S68" s="64"/>
      <c r="T68" s="64"/>
      <c r="U68" s="64"/>
      <c r="V68" s="64"/>
    </row>
    <row r="69" spans="1:22" ht="18">
      <c r="A69" s="64"/>
      <c r="B69" s="64"/>
      <c r="C69" s="139" t="s">
        <v>124</v>
      </c>
      <c r="D69" s="139"/>
      <c r="E69" s="70">
        <f>IF(IF(B62="Case (a)",F62,IF(B62="Case (b)",ROUND((F62-((F62-E66)*((P23-E51)/(E59-E51))))*E65,2),E67*E65))&lt;=F62,IF(B62="Case (a)",F62,IF(B62="Case (b)",ROUND((F62-((F62-E66)*((P23-E51)/(E59-E51))))*E65,2),E67*E65)),F62)</f>
        <v>365.68</v>
      </c>
      <c r="F69" s="71" t="s">
        <v>47</v>
      </c>
      <c r="G69" s="64"/>
      <c r="H69" s="64"/>
      <c r="I69" s="64"/>
      <c r="J69" s="64"/>
      <c r="K69" s="64"/>
      <c r="L69" s="64"/>
      <c r="M69" s="64"/>
      <c r="N69" s="68"/>
      <c r="O69" s="68"/>
      <c r="P69" s="139"/>
      <c r="Q69" s="139"/>
      <c r="R69" s="139"/>
      <c r="S69" s="64"/>
      <c r="T69" s="64"/>
      <c r="U69" s="64"/>
      <c r="V69" s="64"/>
    </row>
    <row r="70" spans="1:22" ht="18">
      <c r="A70" s="64"/>
      <c r="B70" s="64"/>
      <c r="C70" s="154" t="s">
        <v>125</v>
      </c>
      <c r="D70" s="139"/>
      <c r="E70" s="71">
        <v>0.85</v>
      </c>
      <c r="F70" s="64"/>
      <c r="G70" s="64"/>
      <c r="H70" s="162" t="str">
        <f>IF((E71&gt;=C17),"Safe","Unsafe")</f>
        <v>Safe</v>
      </c>
      <c r="I70" s="162"/>
      <c r="J70" s="64"/>
      <c r="K70" s="64"/>
      <c r="L70" s="64"/>
      <c r="M70" s="68"/>
      <c r="N70" s="126" t="s">
        <v>150</v>
      </c>
      <c r="O70" s="161"/>
      <c r="P70" s="139" t="s">
        <v>151</v>
      </c>
      <c r="Q70" s="139"/>
      <c r="R70" s="71">
        <f>IF(R64&lt;R66,ROUND(0.6*H10*C33*C34,2),IF(AND(R66&lt;R64,R64&lt;R68),ROUND(0.6*H10*C33*C34*(R66/R64),2),IF(AND(R68&lt;R64,R64&lt;260),ROUND(C33*C34*(9500/(R64^2)),2),"Check h/tw")))</f>
        <v>221.11</v>
      </c>
      <c r="S70" s="74" t="s">
        <v>49</v>
      </c>
      <c r="T70" s="64"/>
      <c r="U70" s="64"/>
      <c r="V70" s="64"/>
    </row>
    <row r="71" spans="1:22" ht="18">
      <c r="A71" s="64"/>
      <c r="B71" s="64"/>
      <c r="C71" s="163" t="s">
        <v>126</v>
      </c>
      <c r="D71" s="139"/>
      <c r="E71" s="87">
        <f>ROUND(E70*E69,2)</f>
        <v>310.83</v>
      </c>
      <c r="F71" s="71" t="s">
        <v>47</v>
      </c>
      <c r="G71" s="64"/>
      <c r="H71" s="162"/>
      <c r="I71" s="162"/>
      <c r="J71" s="64"/>
      <c r="K71" s="64"/>
      <c r="L71" s="64"/>
      <c r="M71" s="68"/>
      <c r="N71" s="64"/>
      <c r="O71" s="64"/>
      <c r="P71" s="154" t="s">
        <v>125</v>
      </c>
      <c r="Q71" s="139"/>
      <c r="R71" s="71">
        <v>0.85</v>
      </c>
      <c r="S71" s="64"/>
      <c r="T71" s="64"/>
      <c r="U71" s="162" t="str">
        <f>IF(R72&lt;C19,"Unsafe","Safe")</f>
        <v>Safe</v>
      </c>
      <c r="V71" s="162"/>
    </row>
    <row r="72" spans="1:22" ht="18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8"/>
      <c r="N72" s="64"/>
      <c r="O72" s="64"/>
      <c r="P72" s="163" t="s">
        <v>152</v>
      </c>
      <c r="Q72" s="139"/>
      <c r="R72" s="80">
        <f>ROUND(R70*R71,2)</f>
        <v>187.94</v>
      </c>
      <c r="S72" s="74" t="s">
        <v>49</v>
      </c>
      <c r="T72" s="64"/>
      <c r="U72" s="162"/>
      <c r="V72" s="162"/>
    </row>
    <row r="73" spans="1:22" ht="18">
      <c r="A73" s="136" t="s">
        <v>153</v>
      </c>
      <c r="B73" s="136"/>
      <c r="C73" s="136"/>
      <c r="D73" s="75" t="s">
        <v>154</v>
      </c>
      <c r="E73" s="64"/>
      <c r="F73" s="64"/>
      <c r="G73" s="64"/>
      <c r="H73" s="64"/>
      <c r="I73" s="64"/>
      <c r="J73" s="64"/>
      <c r="K73" s="64"/>
      <c r="L73" s="64"/>
      <c r="M73" s="68"/>
      <c r="N73" s="68"/>
      <c r="O73" s="68"/>
      <c r="P73" s="64"/>
      <c r="Q73" s="64"/>
      <c r="R73" s="64"/>
      <c r="S73" s="64"/>
      <c r="T73" s="64"/>
      <c r="U73" s="64"/>
      <c r="V73" s="64"/>
    </row>
    <row r="74" spans="1:22" ht="18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8"/>
      <c r="N74" s="68"/>
      <c r="O74" s="68"/>
      <c r="P74" s="64"/>
      <c r="Q74" s="64"/>
      <c r="R74" s="64"/>
      <c r="S74" s="64"/>
      <c r="T74" s="64"/>
      <c r="U74" s="64"/>
      <c r="V74" s="64"/>
    </row>
    <row r="75" spans="1:22" ht="18">
      <c r="A75" s="64"/>
      <c r="B75" s="64"/>
      <c r="C75" s="139"/>
      <c r="D75" s="139"/>
      <c r="E75" s="139" t="e">
        <f>C18/R60</f>
        <v>#VALUE!</v>
      </c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</row>
    <row r="76" spans="1:22" ht="18">
      <c r="A76" s="64"/>
      <c r="B76" s="64"/>
      <c r="C76" s="139"/>
      <c r="D76" s="139"/>
      <c r="E76" s="139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</row>
    <row r="77" spans="1:22" ht="18">
      <c r="A77" s="64"/>
      <c r="B77" s="64"/>
      <c r="C77" s="139"/>
      <c r="D77" s="139"/>
      <c r="E77" s="139">
        <f>ROUND(MAX(C17:C19)/IF(F45="compact",E71,R44),2)</f>
        <v>0.31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</row>
    <row r="78" spans="1:22" ht="18">
      <c r="A78" s="64"/>
      <c r="B78" s="64"/>
      <c r="C78" s="139"/>
      <c r="D78" s="139"/>
      <c r="E78" s="139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</row>
    <row r="79" spans="1:22" ht="18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</row>
    <row r="80" spans="1:22" ht="18">
      <c r="A80" s="126" t="s">
        <v>155</v>
      </c>
      <c r="B80" s="126"/>
      <c r="C80" s="139" t="s">
        <v>156</v>
      </c>
      <c r="D80" s="139"/>
      <c r="E80" s="159" t="e">
        <f>ROUND(IF(E75&gt;=0.2,(E75+(8/9*E77)),((0.5*E75)+E77)),2)</f>
        <v>#VALUE!</v>
      </c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</row>
    <row r="81" spans="1:22" ht="18">
      <c r="A81" s="126"/>
      <c r="B81" s="126"/>
      <c r="C81" s="139"/>
      <c r="D81" s="139"/>
      <c r="E81" s="159"/>
      <c r="F81" s="64"/>
      <c r="G81" s="64"/>
      <c r="H81" s="162" t="e">
        <f>IF(E80&lt;=1,"Safe","Unsafe")</f>
        <v>#VALUE!</v>
      </c>
      <c r="I81" s="162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</row>
    <row r="82" spans="1:22" ht="18">
      <c r="A82" s="64"/>
      <c r="B82" s="64"/>
      <c r="C82" s="64"/>
      <c r="D82" s="64"/>
      <c r="E82" s="64"/>
      <c r="F82" s="64"/>
      <c r="G82" s="64"/>
      <c r="H82" s="162"/>
      <c r="I82" s="162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</row>
    <row r="83" spans="1:22" ht="18"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</row>
    <row r="84" spans="1:22" ht="18">
      <c r="J84" s="68"/>
      <c r="K84" s="68"/>
      <c r="L84" s="68"/>
      <c r="M84" s="68"/>
      <c r="N84" s="64"/>
      <c r="O84" s="64"/>
      <c r="P84" s="64"/>
      <c r="Q84" s="64"/>
      <c r="R84" s="64"/>
      <c r="S84" s="64"/>
      <c r="T84" s="64"/>
      <c r="U84" s="64"/>
      <c r="V84" s="64"/>
    </row>
    <row r="85" spans="1:22" ht="18"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</row>
    <row r="86" spans="1:22" ht="18"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</row>
    <row r="87" spans="1:22" ht="18">
      <c r="J87" s="64"/>
      <c r="K87" s="85"/>
      <c r="L87" s="85"/>
      <c r="M87" s="64"/>
      <c r="N87" s="64"/>
      <c r="O87" s="64"/>
      <c r="P87" s="64"/>
      <c r="Q87" s="64"/>
      <c r="R87" s="64"/>
      <c r="S87" s="64"/>
      <c r="T87" s="64"/>
      <c r="U87" s="64"/>
      <c r="V87" s="64"/>
    </row>
    <row r="88" spans="1:22" ht="18"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</row>
    <row r="89" spans="1:22" ht="18"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</row>
    <row r="90" spans="1:22" ht="18"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</row>
    <row r="91" spans="1:22" ht="18"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</row>
    <row r="92" spans="1:22" ht="18"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</row>
    <row r="93" spans="1:22" ht="18"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</row>
    <row r="94" spans="1:22" ht="18"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</row>
    <row r="95" spans="1:22" ht="18"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</row>
    <row r="96" spans="1:22" ht="18"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</row>
    <row r="97" spans="1:22" ht="18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</row>
    <row r="98" spans="1:22" ht="18">
      <c r="J98" s="64"/>
      <c r="K98" s="64"/>
      <c r="L98" s="64"/>
      <c r="V98" s="64"/>
    </row>
    <row r="99" spans="1:22" ht="18">
      <c r="J99" s="64"/>
      <c r="K99" s="64"/>
      <c r="L99" s="64"/>
      <c r="V99" s="64"/>
    </row>
    <row r="100" spans="1:22" ht="18">
      <c r="J100" s="64"/>
      <c r="K100" s="64"/>
      <c r="L100" s="64"/>
      <c r="V100" s="64"/>
    </row>
    <row r="101" spans="1:22" ht="18">
      <c r="J101" s="64"/>
      <c r="K101" s="64"/>
      <c r="L101" s="64"/>
      <c r="V101" s="64"/>
    </row>
    <row r="102" spans="1:22" ht="18">
      <c r="J102" s="64"/>
      <c r="K102" s="64"/>
      <c r="L102" s="64"/>
      <c r="V102" s="64"/>
    </row>
    <row r="103" spans="1:22" ht="18">
      <c r="J103" s="64"/>
      <c r="K103" s="64"/>
      <c r="L103" s="64"/>
      <c r="V103" s="64"/>
    </row>
    <row r="104" spans="1:22" ht="18">
      <c r="J104" s="64"/>
      <c r="K104" s="64"/>
      <c r="L104" s="64"/>
      <c r="V104" s="64"/>
    </row>
    <row r="105" spans="1:22" ht="18">
      <c r="J105" s="64"/>
      <c r="K105" s="64"/>
      <c r="L105" s="64"/>
      <c r="V105" s="64"/>
    </row>
    <row r="106" spans="1:22" ht="18">
      <c r="J106" s="64"/>
      <c r="K106" s="64"/>
      <c r="L106" s="64"/>
      <c r="V106" s="64"/>
    </row>
    <row r="107" spans="1:22" ht="18">
      <c r="J107" s="64"/>
      <c r="K107" s="64"/>
      <c r="L107" s="64"/>
      <c r="V107" s="64"/>
    </row>
    <row r="108" spans="1:22" ht="18">
      <c r="J108" s="64"/>
      <c r="K108" s="64"/>
      <c r="L108" s="64"/>
      <c r="V108" s="64"/>
    </row>
    <row r="109" spans="1:22" ht="18">
      <c r="J109" s="64"/>
      <c r="K109" s="64"/>
      <c r="L109" s="64"/>
      <c r="V109" s="64"/>
    </row>
    <row r="110" spans="1:22" ht="18">
      <c r="J110" s="64"/>
      <c r="K110" s="64"/>
      <c r="L110" s="64"/>
      <c r="V110" s="64"/>
    </row>
    <row r="111" spans="1:22" ht="18">
      <c r="J111" s="64"/>
      <c r="K111" s="64"/>
      <c r="L111" s="64"/>
      <c r="V111" s="64"/>
    </row>
    <row r="112" spans="1:22" ht="18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V112" s="64"/>
    </row>
    <row r="113" spans="1:22" ht="18">
      <c r="J113" s="64"/>
      <c r="K113" s="64"/>
      <c r="L113" s="64"/>
      <c r="V113" s="64"/>
    </row>
    <row r="114" spans="1:22" ht="18">
      <c r="J114" s="64"/>
      <c r="K114" s="64"/>
      <c r="L114" s="64"/>
      <c r="V114" s="64"/>
    </row>
    <row r="115" spans="1:22" ht="18">
      <c r="J115" s="64"/>
      <c r="K115" s="64"/>
      <c r="L115" s="64"/>
      <c r="V115" s="64"/>
    </row>
    <row r="116" spans="1:22" ht="18">
      <c r="J116" s="64"/>
      <c r="K116" s="64"/>
      <c r="L116" s="64"/>
      <c r="V116" s="64"/>
    </row>
    <row r="117" spans="1:22" ht="18">
      <c r="J117" s="64"/>
      <c r="K117" s="64"/>
      <c r="L117" s="64"/>
      <c r="V117" s="64"/>
    </row>
    <row r="118" spans="1:22" ht="18">
      <c r="J118" s="64"/>
      <c r="K118" s="64"/>
      <c r="L118" s="64"/>
      <c r="V118" s="64"/>
    </row>
    <row r="119" spans="1:22" ht="18">
      <c r="J119" s="64"/>
      <c r="K119" s="64"/>
      <c r="L119" s="64"/>
      <c r="V119" s="64"/>
    </row>
    <row r="120" spans="1:22" ht="18"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</row>
    <row r="121" spans="1:22" ht="18"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</row>
    <row r="122" spans="1:22" ht="18"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</row>
    <row r="123" spans="1:22" ht="18"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</row>
    <row r="124" spans="1:22" ht="18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</row>
    <row r="125" spans="1:22" ht="18"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</row>
    <row r="126" spans="1:22" ht="18"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</row>
    <row r="127" spans="1:22" ht="18"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</row>
    <row r="128" spans="1:22" ht="18"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</row>
    <row r="129" spans="10:22" ht="18"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</row>
    <row r="130" spans="10:22" ht="18"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</row>
    <row r="131" spans="10:22" ht="18"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</row>
    <row r="132" spans="10:22" ht="18"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</row>
    <row r="133" spans="10:22" ht="18"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</row>
    <row r="134" spans="10:22" ht="18"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</row>
  </sheetData>
  <mergeCells count="149">
    <mergeCell ref="U71:V72"/>
    <mergeCell ref="P72:Q72"/>
    <mergeCell ref="P64:Q65"/>
    <mergeCell ref="R64:R65"/>
    <mergeCell ref="H81:I82"/>
    <mergeCell ref="A73:C73"/>
    <mergeCell ref="C75:D76"/>
    <mergeCell ref="E75:E76"/>
    <mergeCell ref="C77:D78"/>
    <mergeCell ref="E77:E78"/>
    <mergeCell ref="A80:B81"/>
    <mergeCell ref="C80:D81"/>
    <mergeCell ref="E80:E81"/>
    <mergeCell ref="A66:B66"/>
    <mergeCell ref="A67:B67"/>
    <mergeCell ref="C69:D69"/>
    <mergeCell ref="U59:V60"/>
    <mergeCell ref="P60:Q60"/>
    <mergeCell ref="P53:Q53"/>
    <mergeCell ref="P54:Q54"/>
    <mergeCell ref="P31:Q31"/>
    <mergeCell ref="N55:O55"/>
    <mergeCell ref="P55:Q55"/>
    <mergeCell ref="N56:O56"/>
    <mergeCell ref="P56:Q56"/>
    <mergeCell ref="N42:O42"/>
    <mergeCell ref="P42:Q42"/>
    <mergeCell ref="P43:Q43"/>
    <mergeCell ref="U43:V44"/>
    <mergeCell ref="P44:Q44"/>
    <mergeCell ref="N38:O38"/>
    <mergeCell ref="P38:Q38"/>
    <mergeCell ref="N39:O39"/>
    <mergeCell ref="P39:Q39"/>
    <mergeCell ref="N40:O40"/>
    <mergeCell ref="P40:Q40"/>
    <mergeCell ref="P51:Q51"/>
    <mergeCell ref="C70:D70"/>
    <mergeCell ref="H70:I71"/>
    <mergeCell ref="C71:D71"/>
    <mergeCell ref="N48:P48"/>
    <mergeCell ref="N25:P25"/>
    <mergeCell ref="Q25:S25"/>
    <mergeCell ref="O34:P35"/>
    <mergeCell ref="N58:O58"/>
    <mergeCell ref="P58:Q58"/>
    <mergeCell ref="P59:Q59"/>
    <mergeCell ref="P66:Q67"/>
    <mergeCell ref="R66:R67"/>
    <mergeCell ref="N62:P62"/>
    <mergeCell ref="P68:Q69"/>
    <mergeCell ref="R68:R69"/>
    <mergeCell ref="N70:O70"/>
    <mergeCell ref="P70:Q70"/>
    <mergeCell ref="P71:Q71"/>
    <mergeCell ref="C66:D66"/>
    <mergeCell ref="F66:H67"/>
    <mergeCell ref="C67:D67"/>
    <mergeCell ref="B62:C63"/>
    <mergeCell ref="E62:E63"/>
    <mergeCell ref="F62:F63"/>
    <mergeCell ref="G62:G63"/>
    <mergeCell ref="A65:B65"/>
    <mergeCell ref="C65:D65"/>
    <mergeCell ref="G65:I65"/>
    <mergeCell ref="C55:D55"/>
    <mergeCell ref="C56:D56"/>
    <mergeCell ref="A57:B57"/>
    <mergeCell ref="C57:D57"/>
    <mergeCell ref="C58:D58"/>
    <mergeCell ref="A59:B59"/>
    <mergeCell ref="C59:D59"/>
    <mergeCell ref="A51:B51"/>
    <mergeCell ref="C51:D51"/>
    <mergeCell ref="A52:B52"/>
    <mergeCell ref="A53:B54"/>
    <mergeCell ref="C53:D53"/>
    <mergeCell ref="C54:D54"/>
    <mergeCell ref="N22:O22"/>
    <mergeCell ref="N23:O23"/>
    <mergeCell ref="R23:U23"/>
    <mergeCell ref="A48:C48"/>
    <mergeCell ref="G48:H48"/>
    <mergeCell ref="C50:D50"/>
    <mergeCell ref="D45:E46"/>
    <mergeCell ref="F45:G46"/>
    <mergeCell ref="A24:B24"/>
    <mergeCell ref="P28:Q28"/>
    <mergeCell ref="P52:Q52"/>
    <mergeCell ref="P29:Q29"/>
    <mergeCell ref="N18:O18"/>
    <mergeCell ref="S18:T18"/>
    <mergeCell ref="N19:O19"/>
    <mergeCell ref="N20:O20"/>
    <mergeCell ref="R20:U20"/>
    <mergeCell ref="P50:Q50"/>
    <mergeCell ref="P27:Q27"/>
    <mergeCell ref="N12:P12"/>
    <mergeCell ref="N14:O14"/>
    <mergeCell ref="N15:O15"/>
    <mergeCell ref="N16:O16"/>
    <mergeCell ref="S16:T16"/>
    <mergeCell ref="N17:O17"/>
    <mergeCell ref="S17:T17"/>
    <mergeCell ref="N3:P3"/>
    <mergeCell ref="N5:O5"/>
    <mergeCell ref="N6:O6"/>
    <mergeCell ref="N7:O7"/>
    <mergeCell ref="N8:O8"/>
    <mergeCell ref="N9:O9"/>
    <mergeCell ref="B42:B43"/>
    <mergeCell ref="C42:D43"/>
    <mergeCell ref="G42:G43"/>
    <mergeCell ref="H42:I43"/>
    <mergeCell ref="G36:H37"/>
    <mergeCell ref="I36:I37"/>
    <mergeCell ref="B38:C38"/>
    <mergeCell ref="G38:H38"/>
    <mergeCell ref="B39:C39"/>
    <mergeCell ref="G39:H39"/>
    <mergeCell ref="A30:C30"/>
    <mergeCell ref="B36:C37"/>
    <mergeCell ref="D36:D37"/>
    <mergeCell ref="A16:B16"/>
    <mergeCell ref="A17:B17"/>
    <mergeCell ref="A18:B18"/>
    <mergeCell ref="A19:B19"/>
    <mergeCell ref="A22:C22"/>
    <mergeCell ref="A13:C13"/>
    <mergeCell ref="A15:B15"/>
    <mergeCell ref="C7:G7"/>
    <mergeCell ref="A8:B9"/>
    <mergeCell ref="C8:D8"/>
    <mergeCell ref="G8:G9"/>
    <mergeCell ref="A25:B25"/>
    <mergeCell ref="A26:B26"/>
    <mergeCell ref="A27:B27"/>
    <mergeCell ref="H8:H9"/>
    <mergeCell ref="C9:D9"/>
    <mergeCell ref="C1:G1"/>
    <mergeCell ref="C2:G2"/>
    <mergeCell ref="C3:G3"/>
    <mergeCell ref="C4:G4"/>
    <mergeCell ref="C5:G5"/>
    <mergeCell ref="C6:G6"/>
    <mergeCell ref="A10:B11"/>
    <mergeCell ref="C10:C11"/>
    <mergeCell ref="F10:G10"/>
    <mergeCell ref="F11:G11"/>
  </mergeCells>
  <dataValidations count="2">
    <dataValidation type="list" allowBlank="1" showInputMessage="1" showErrorMessage="1" sqref="H8:H9" xr:uid="{98477B8C-B3C4-4DC2-9500-161E80361AF7}">
      <formula1>$K$3:$K$5</formula1>
    </dataValidation>
    <dataValidation type="list" allowBlank="1" showInputMessage="1" showErrorMessage="1" sqref="P15" xr:uid="{AA7618D9-F856-45CA-B18D-76ABBB50A94E}">
      <formula1>$K$8:$K$9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utoCAD.Drawing.17" shapeId="2049" r:id="rId3">
          <objectPr defaultSize="0" autoPict="0" r:id="rId4">
            <anchor moveWithCells="1" sizeWithCells="1">
              <from>
                <xdr:col>4</xdr:col>
                <xdr:colOff>121920</xdr:colOff>
                <xdr:row>21</xdr:row>
                <xdr:rowOff>22860</xdr:rowOff>
              </from>
              <to>
                <xdr:col>8</xdr:col>
                <xdr:colOff>518160</xdr:colOff>
                <xdr:row>31</xdr:row>
                <xdr:rowOff>30480</xdr:rowOff>
              </to>
            </anchor>
          </objectPr>
        </oleObject>
      </mc:Choice>
      <mc:Fallback>
        <oleObject progId="AutoCAD.Drawing.17" shapeId="2049" r:id="rId3"/>
      </mc:Fallback>
    </mc:AlternateContent>
    <mc:AlternateContent xmlns:mc="http://schemas.openxmlformats.org/markup-compatibility/2006">
      <mc:Choice Requires="x14">
        <oleObject progId="AutoCAD.Drawing.17" shapeId="2050" r:id="rId5">
          <objectPr defaultSize="0" autoPict="0" r:id="rId6">
            <anchor moveWithCells="1" sizeWithCells="1">
              <from>
                <xdr:col>6</xdr:col>
                <xdr:colOff>60960</xdr:colOff>
                <xdr:row>48</xdr:row>
                <xdr:rowOff>60960</xdr:rowOff>
              </from>
              <to>
                <xdr:col>9</xdr:col>
                <xdr:colOff>228600</xdr:colOff>
                <xdr:row>58</xdr:row>
                <xdr:rowOff>60960</xdr:rowOff>
              </to>
            </anchor>
          </objectPr>
        </oleObject>
      </mc:Choice>
      <mc:Fallback>
        <oleObject progId="AutoCAD.Drawing.17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C5F3-FB6E-4DFA-8004-C0CB008469DD}">
  <dimension ref="A1:AH134"/>
  <sheetViews>
    <sheetView zoomScale="70" zoomScaleNormal="70" workbookViewId="0">
      <selection activeCell="J19" sqref="J19"/>
    </sheetView>
  </sheetViews>
  <sheetFormatPr defaultColWidth="8.88671875" defaultRowHeight="14.4"/>
  <cols>
    <col min="1" max="2" width="8.88671875" style="66"/>
    <col min="3" max="3" width="15.6640625" style="66" bestFit="1" customWidth="1"/>
    <col min="4" max="6" width="9" style="66" bestFit="1" customWidth="1"/>
    <col min="7" max="7" width="14.33203125" style="66" bestFit="1" customWidth="1"/>
    <col min="8" max="8" width="9" style="66" bestFit="1" customWidth="1"/>
    <col min="9" max="9" width="8.44140625" style="66" bestFit="1" customWidth="1"/>
    <col min="10" max="10" width="11.44140625" style="66" bestFit="1" customWidth="1"/>
    <col min="11" max="13" width="12.6640625" style="66" bestFit="1" customWidth="1"/>
    <col min="14" max="16" width="8.88671875" style="66"/>
    <col min="17" max="17" width="14.88671875" style="66" customWidth="1"/>
    <col min="18" max="16384" width="8.88671875" style="66"/>
  </cols>
  <sheetData>
    <row r="1" spans="1:24" ht="18">
      <c r="A1" s="64"/>
      <c r="B1" s="64"/>
      <c r="C1" s="126" t="s">
        <v>29</v>
      </c>
      <c r="D1" s="126"/>
      <c r="E1" s="126"/>
      <c r="F1" s="126"/>
      <c r="G1" s="126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4" ht="18">
      <c r="A2" s="64"/>
      <c r="B2" s="64"/>
      <c r="C2" s="126" t="s">
        <v>30</v>
      </c>
      <c r="D2" s="126"/>
      <c r="E2" s="126"/>
      <c r="F2" s="126"/>
      <c r="G2" s="126"/>
      <c r="H2" s="64"/>
      <c r="I2" s="64"/>
      <c r="J2" s="64"/>
      <c r="K2" s="64"/>
      <c r="L2" s="64"/>
      <c r="M2" s="64"/>
      <c r="N2" s="64"/>
      <c r="O2" s="136" t="s">
        <v>84</v>
      </c>
      <c r="P2" s="130"/>
      <c r="Q2" s="130"/>
      <c r="R2" s="64"/>
      <c r="S2" s="64"/>
      <c r="T2" s="64"/>
      <c r="U2" s="64"/>
      <c r="V2" s="64"/>
    </row>
    <row r="3" spans="1:24" ht="18">
      <c r="A3" s="64"/>
      <c r="B3" s="64"/>
      <c r="C3" s="126" t="s">
        <v>31</v>
      </c>
      <c r="D3" s="126"/>
      <c r="E3" s="126"/>
      <c r="F3" s="126"/>
      <c r="G3" s="126"/>
      <c r="H3" s="64"/>
      <c r="I3" s="64"/>
      <c r="J3" s="64"/>
      <c r="K3" s="64">
        <v>37</v>
      </c>
      <c r="L3" s="64"/>
      <c r="M3" s="64"/>
      <c r="N3" s="64"/>
      <c r="O3" s="68"/>
      <c r="P3" s="68"/>
      <c r="Q3" s="68"/>
      <c r="R3" s="68"/>
      <c r="S3" s="64"/>
      <c r="T3" s="64"/>
      <c r="U3" s="64"/>
      <c r="V3" s="64"/>
    </row>
    <row r="4" spans="1:24" ht="18">
      <c r="A4" s="64"/>
      <c r="B4" s="64"/>
      <c r="C4" s="126" t="s">
        <v>32</v>
      </c>
      <c r="D4" s="126"/>
      <c r="E4" s="126"/>
      <c r="F4" s="126"/>
      <c r="G4" s="126"/>
      <c r="H4" s="64"/>
      <c r="I4" s="64"/>
      <c r="J4" s="64"/>
      <c r="K4" s="64">
        <v>44</v>
      </c>
      <c r="L4" s="64"/>
      <c r="M4" s="64"/>
      <c r="N4" s="64"/>
      <c r="O4" s="139" t="s">
        <v>85</v>
      </c>
      <c r="P4" s="139"/>
      <c r="Q4" s="73">
        <v>2424.84</v>
      </c>
      <c r="R4" s="71" t="s">
        <v>53</v>
      </c>
      <c r="S4" s="64"/>
      <c r="T4" s="64"/>
      <c r="U4" s="64"/>
      <c r="V4" s="64"/>
    </row>
    <row r="5" spans="1:24" ht="18">
      <c r="A5" s="64"/>
      <c r="B5" s="64"/>
      <c r="C5" s="126" t="s">
        <v>33</v>
      </c>
      <c r="D5" s="126"/>
      <c r="E5" s="126"/>
      <c r="F5" s="126"/>
      <c r="G5" s="126"/>
      <c r="H5" s="64"/>
      <c r="I5" s="64"/>
      <c r="J5" s="64"/>
      <c r="K5" s="64">
        <v>52</v>
      </c>
      <c r="L5" s="64"/>
      <c r="M5" s="64"/>
      <c r="N5" s="64"/>
      <c r="O5" s="155" t="s">
        <v>86</v>
      </c>
      <c r="P5" s="155"/>
      <c r="Q5" s="79" t="s">
        <v>39</v>
      </c>
      <c r="R5" s="64"/>
      <c r="S5" s="64"/>
      <c r="T5" s="64"/>
      <c r="U5" s="64"/>
      <c r="V5" s="64"/>
    </row>
    <row r="6" spans="1:24" ht="18">
      <c r="A6" s="64"/>
      <c r="B6" s="64"/>
      <c r="C6" s="126" t="s">
        <v>34</v>
      </c>
      <c r="D6" s="126"/>
      <c r="E6" s="126"/>
      <c r="F6" s="126"/>
      <c r="G6" s="126"/>
      <c r="H6" s="64"/>
      <c r="I6" s="64"/>
      <c r="J6" s="64"/>
      <c r="K6" s="64"/>
      <c r="L6" s="64"/>
      <c r="M6" s="64"/>
      <c r="N6" s="64"/>
      <c r="O6" s="157" t="s">
        <v>87</v>
      </c>
      <c r="P6" s="157"/>
      <c r="Q6" s="77">
        <f>IF(Q5="Hinged",10,1)</f>
        <v>10</v>
      </c>
      <c r="R6" s="64"/>
      <c r="S6" s="68"/>
      <c r="T6" s="126" t="s">
        <v>88</v>
      </c>
      <c r="U6" s="126"/>
      <c r="V6" s="68"/>
    </row>
    <row r="7" spans="1:24" ht="20.399999999999999" thickBot="1">
      <c r="A7" s="67"/>
      <c r="B7" s="67"/>
      <c r="C7" s="131"/>
      <c r="D7" s="132"/>
      <c r="E7" s="132"/>
      <c r="F7" s="132"/>
      <c r="G7" s="132"/>
      <c r="H7" s="67"/>
      <c r="I7" s="67"/>
      <c r="J7" s="64"/>
      <c r="K7" s="64"/>
      <c r="L7" s="64"/>
      <c r="M7" s="64"/>
      <c r="N7" s="64"/>
      <c r="O7" s="140" t="s">
        <v>89</v>
      </c>
      <c r="P7" s="139"/>
      <c r="Q7" s="73">
        <v>287093</v>
      </c>
      <c r="R7" s="71" t="s">
        <v>90</v>
      </c>
      <c r="S7" s="64"/>
      <c r="T7" s="126" t="s">
        <v>91</v>
      </c>
      <c r="U7" s="126"/>
      <c r="V7" s="64"/>
    </row>
    <row r="8" spans="1:24" ht="18.600000000000001" thickTop="1">
      <c r="A8" s="133" t="s">
        <v>35</v>
      </c>
      <c r="B8" s="134"/>
      <c r="C8" s="125" t="s">
        <v>36</v>
      </c>
      <c r="D8" s="125"/>
      <c r="E8" s="68"/>
      <c r="F8" s="68"/>
      <c r="G8" s="136" t="s">
        <v>37</v>
      </c>
      <c r="H8" s="123">
        <v>37</v>
      </c>
      <c r="I8" s="64"/>
      <c r="J8" s="64"/>
      <c r="K8" s="64" t="s">
        <v>38</v>
      </c>
      <c r="L8" s="64"/>
      <c r="M8" s="64"/>
      <c r="N8" s="64"/>
      <c r="O8" s="139" t="s">
        <v>92</v>
      </c>
      <c r="P8" s="139"/>
      <c r="Q8" s="73">
        <v>2430</v>
      </c>
      <c r="R8" s="71" t="s">
        <v>53</v>
      </c>
      <c r="S8" s="64"/>
      <c r="T8" s="126" t="s">
        <v>91</v>
      </c>
      <c r="U8" s="126"/>
      <c r="V8" s="64"/>
    </row>
    <row r="9" spans="1:24" ht="18">
      <c r="A9" s="135"/>
      <c r="B9" s="135"/>
      <c r="C9" s="125"/>
      <c r="D9" s="125"/>
      <c r="E9" s="68"/>
      <c r="F9" s="68"/>
      <c r="G9" s="126"/>
      <c r="H9" s="124"/>
      <c r="I9" s="64"/>
      <c r="J9" s="64"/>
      <c r="K9" s="64" t="s">
        <v>39</v>
      </c>
      <c r="L9" s="64"/>
      <c r="M9" s="64"/>
      <c r="N9" s="64"/>
      <c r="O9" s="155" t="s">
        <v>93</v>
      </c>
      <c r="P9" s="155"/>
      <c r="Q9" s="83">
        <f>ROUND((C53/Q4)/(Q7/Q8),2)</f>
        <v>1.23</v>
      </c>
      <c r="R9" s="64"/>
      <c r="S9" s="64"/>
      <c r="T9" s="64"/>
      <c r="U9" s="64"/>
      <c r="V9" s="64"/>
    </row>
    <row r="10" spans="1:24" ht="20.399999999999999">
      <c r="A10" s="127" t="s">
        <v>40</v>
      </c>
      <c r="B10" s="128"/>
      <c r="C10" s="125" t="s">
        <v>20</v>
      </c>
      <c r="D10" s="68"/>
      <c r="E10" s="64"/>
      <c r="F10" s="129" t="s">
        <v>41</v>
      </c>
      <c r="G10" s="129"/>
      <c r="H10" s="70">
        <f>IF(H8=37,2.4,IF(H8=44,2.8,3.6))</f>
        <v>2.4</v>
      </c>
      <c r="I10" s="71" t="s">
        <v>42</v>
      </c>
      <c r="J10" s="64"/>
      <c r="K10" s="64"/>
      <c r="L10" s="64"/>
      <c r="M10" s="64"/>
      <c r="N10" s="64"/>
      <c r="O10" s="139" t="s">
        <v>94</v>
      </c>
      <c r="P10" s="139"/>
      <c r="Q10" s="73">
        <v>1.8</v>
      </c>
      <c r="R10" s="64"/>
      <c r="S10" s="126" t="s">
        <v>95</v>
      </c>
      <c r="T10" s="126"/>
      <c r="U10" s="126"/>
      <c r="V10" s="126"/>
    </row>
    <row r="11" spans="1:24" ht="20.399999999999999">
      <c r="A11" s="128"/>
      <c r="B11" s="128"/>
      <c r="C11" s="125"/>
      <c r="D11" s="68"/>
      <c r="E11" s="64"/>
      <c r="F11" s="129" t="s">
        <v>43</v>
      </c>
      <c r="G11" s="129"/>
      <c r="H11" s="70">
        <f>IF(H8=37,3.7,IF(H8=44,4.4,5.2))</f>
        <v>3.7</v>
      </c>
      <c r="I11" s="71" t="s">
        <v>42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</row>
    <row r="12" spans="1:24" ht="20.399999999999999">
      <c r="A12" s="64"/>
      <c r="B12" s="64"/>
      <c r="C12" s="72" t="s">
        <v>44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139" t="s">
        <v>96</v>
      </c>
      <c r="P12" s="139"/>
      <c r="Q12" s="70">
        <f>ROUND(Q10*Q4,2)</f>
        <v>4364.71</v>
      </c>
      <c r="R12" s="71" t="s">
        <v>53</v>
      </c>
      <c r="S12" s="64"/>
      <c r="T12" s="64"/>
      <c r="U12" s="64"/>
      <c r="V12" s="64"/>
    </row>
    <row r="13" spans="1:24" ht="18">
      <c r="A13" s="127" t="s">
        <v>45</v>
      </c>
      <c r="B13" s="128"/>
      <c r="C13" s="128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139" t="s">
        <v>97</v>
      </c>
      <c r="P13" s="139"/>
      <c r="Q13" s="73">
        <v>540</v>
      </c>
      <c r="R13" s="71" t="s">
        <v>53</v>
      </c>
      <c r="S13" s="158" t="s">
        <v>98</v>
      </c>
      <c r="T13" s="126"/>
      <c r="U13" s="126"/>
      <c r="V13" s="126"/>
    </row>
    <row r="14" spans="1:24" ht="18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</row>
    <row r="15" spans="1:24" ht="18">
      <c r="A15" s="130"/>
      <c r="B15" s="130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164" t="s">
        <v>129</v>
      </c>
      <c r="P15" s="164"/>
      <c r="Q15" s="164"/>
      <c r="R15" s="165" t="s">
        <v>130</v>
      </c>
      <c r="S15" s="165"/>
      <c r="T15" s="165"/>
      <c r="U15" s="88"/>
      <c r="V15" s="88"/>
      <c r="W15" s="88"/>
      <c r="X15" s="64"/>
    </row>
    <row r="16" spans="1:24" ht="18">
      <c r="A16" s="130"/>
      <c r="B16" s="130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88"/>
      <c r="P16" s="88"/>
      <c r="Q16" s="88"/>
      <c r="R16" s="88"/>
      <c r="S16" s="88"/>
      <c r="T16" s="88"/>
      <c r="U16" s="88"/>
      <c r="V16" s="88"/>
      <c r="W16" s="88"/>
      <c r="X16" s="64"/>
    </row>
    <row r="17" spans="1:24" ht="20.399999999999999">
      <c r="A17" s="139" t="s">
        <v>157</v>
      </c>
      <c r="B17" s="139"/>
      <c r="C17" s="73">
        <v>104.30692000000001</v>
      </c>
      <c r="D17" s="71" t="s">
        <v>47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88"/>
      <c r="P17" s="88"/>
      <c r="Q17" s="156" t="s">
        <v>132</v>
      </c>
      <c r="R17" s="156"/>
      <c r="S17" s="89">
        <f>ROUND(IF(H42="compact",(T54-(((T54-ROUND(H10*C55,2)))*((MAX(D36,I36)-I38)/(I39-I38))))*0.01,"-"),2)</f>
        <v>2216.08</v>
      </c>
      <c r="T17" s="88" t="s">
        <v>47</v>
      </c>
      <c r="U17" s="90" t="s">
        <v>133</v>
      </c>
      <c r="V17" s="89"/>
      <c r="W17" s="88"/>
      <c r="X17" s="64"/>
    </row>
    <row r="18" spans="1:24" ht="18">
      <c r="A18" s="139" t="s">
        <v>48</v>
      </c>
      <c r="B18" s="139"/>
      <c r="C18" s="73">
        <v>13.525700000000001</v>
      </c>
      <c r="D18" s="71" t="s">
        <v>49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88"/>
      <c r="P18" s="88"/>
      <c r="Q18" s="156" t="s">
        <v>134</v>
      </c>
      <c r="R18" s="156"/>
      <c r="S18" s="89">
        <f>IF(ROUND((T54-((T54-(ROUND(S50*C55*0.01,2)))*((D36-D38)/(D39-D38)))),2)&lt;=T54,ROUND((T54-((T54-(ROUND(S50*C55*0.01,2)))*((D36-D38)/(D39-D38)))),2),T54)</f>
        <v>163.87</v>
      </c>
      <c r="T18" s="88" t="s">
        <v>47</v>
      </c>
      <c r="U18" s="90" t="s">
        <v>135</v>
      </c>
      <c r="V18" s="89"/>
      <c r="W18" s="88"/>
      <c r="X18" s="64"/>
    </row>
    <row r="19" spans="1:24" ht="18">
      <c r="A19" s="139" t="s">
        <v>50</v>
      </c>
      <c r="B19" s="139"/>
      <c r="C19" s="73">
        <v>10.663600000000001</v>
      </c>
      <c r="D19" s="71" t="s">
        <v>49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88"/>
      <c r="P19" s="88"/>
      <c r="Q19" s="156" t="s">
        <v>137</v>
      </c>
      <c r="R19" s="156"/>
      <c r="S19" s="89">
        <f>MIN(S17,S18)</f>
        <v>163.87</v>
      </c>
      <c r="T19" s="88" t="s">
        <v>47</v>
      </c>
      <c r="U19" s="88"/>
      <c r="V19" s="88"/>
      <c r="W19" s="88"/>
      <c r="X19" s="64"/>
    </row>
    <row r="20" spans="1:24" ht="18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88"/>
      <c r="P20" s="88"/>
      <c r="Q20" s="88"/>
      <c r="R20" s="88"/>
      <c r="S20" s="88"/>
      <c r="T20" s="88"/>
      <c r="U20" s="88"/>
      <c r="V20" s="88"/>
      <c r="W20" s="88"/>
      <c r="X20" s="64"/>
    </row>
    <row r="21" spans="1:24" ht="20.399999999999999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88"/>
      <c r="P21" s="88"/>
      <c r="Q21" s="156" t="s">
        <v>140</v>
      </c>
      <c r="R21" s="156"/>
      <c r="S21" s="89">
        <f>ROUND(S43+((S51-S43)*((T54-S19)/(T54-ROUND(S50*C55*0.01,2)))),2)</f>
        <v>945.19</v>
      </c>
      <c r="T21" s="88" t="s">
        <v>53</v>
      </c>
      <c r="U21" s="88"/>
      <c r="V21" s="91"/>
      <c r="W21" s="91"/>
      <c r="X21" s="64"/>
    </row>
    <row r="22" spans="1:24" ht="18">
      <c r="A22" s="127" t="s">
        <v>51</v>
      </c>
      <c r="B22" s="128"/>
      <c r="C22" s="128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88"/>
      <c r="P22" s="88"/>
      <c r="Q22" s="88"/>
      <c r="R22" s="88"/>
      <c r="S22" s="88"/>
      <c r="T22" s="88"/>
      <c r="U22" s="88"/>
      <c r="V22" s="88"/>
      <c r="W22" s="88"/>
      <c r="X22" s="64"/>
    </row>
    <row r="23" spans="1:24" ht="18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88"/>
      <c r="P23" s="88"/>
      <c r="Q23" s="88"/>
      <c r="R23" s="88"/>
      <c r="S23" s="88"/>
      <c r="T23" s="88"/>
      <c r="U23" s="88"/>
      <c r="V23" s="88"/>
      <c r="W23" s="88"/>
      <c r="X23" s="64"/>
    </row>
    <row r="24" spans="1:24" ht="18">
      <c r="A24" s="139" t="s">
        <v>52</v>
      </c>
      <c r="B24" s="139"/>
      <c r="C24" s="73">
        <v>90</v>
      </c>
      <c r="D24" s="71" t="s">
        <v>53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88"/>
      <c r="P24" s="166" t="str">
        <f>IF(Q13&lt;=S21,"Case ( a )",IF(AND(S21&lt;Q13,Q13&lt;=S51),"case ( b )","Case ( C )"))</f>
        <v>Case ( a )</v>
      </c>
      <c r="Q24" s="166"/>
      <c r="R24" s="88"/>
      <c r="S24" s="88"/>
      <c r="T24" s="88"/>
      <c r="U24" s="88"/>
      <c r="V24" s="88"/>
      <c r="W24" s="88"/>
      <c r="X24" s="64"/>
    </row>
    <row r="25" spans="1:24" ht="20.399999999999999">
      <c r="A25" s="137" t="s">
        <v>54</v>
      </c>
      <c r="B25" s="138"/>
      <c r="C25" s="73">
        <v>0.8</v>
      </c>
      <c r="D25" s="71" t="s">
        <v>53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88"/>
      <c r="P25" s="166"/>
      <c r="Q25" s="166"/>
      <c r="R25" s="88"/>
      <c r="S25" s="88"/>
      <c r="T25" s="88"/>
      <c r="U25" s="88"/>
      <c r="V25" s="88"/>
      <c r="W25" s="88"/>
      <c r="X25" s="64"/>
    </row>
    <row r="26" spans="1:24" ht="20.399999999999999">
      <c r="A26" s="137" t="s">
        <v>55</v>
      </c>
      <c r="B26" s="138"/>
      <c r="C26" s="73">
        <v>40</v>
      </c>
      <c r="D26" s="71" t="s">
        <v>53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88"/>
      <c r="P26" s="88"/>
      <c r="Q26" s="88"/>
      <c r="R26" s="88"/>
      <c r="S26" s="88"/>
      <c r="T26" s="88"/>
      <c r="U26" s="88"/>
      <c r="V26" s="88"/>
      <c r="W26" s="88"/>
      <c r="X26" s="64"/>
    </row>
    <row r="27" spans="1:24" ht="20.399999999999999">
      <c r="A27" s="137" t="s">
        <v>56</v>
      </c>
      <c r="B27" s="138"/>
      <c r="C27" s="73">
        <v>2</v>
      </c>
      <c r="D27" s="71" t="s">
        <v>53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88"/>
      <c r="P27" s="88"/>
      <c r="Q27" s="88"/>
      <c r="R27" s="88"/>
      <c r="S27" s="88"/>
      <c r="T27" s="88"/>
      <c r="U27" s="88"/>
      <c r="V27" s="88"/>
      <c r="W27" s="88"/>
      <c r="X27" s="64"/>
    </row>
    <row r="28" spans="1:24" ht="20.399999999999999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168" t="s">
        <v>116</v>
      </c>
      <c r="P28" s="168"/>
      <c r="Q28" s="156" t="s">
        <v>117</v>
      </c>
      <c r="R28" s="156"/>
      <c r="S28" s="88">
        <v>0.6</v>
      </c>
      <c r="T28" s="88"/>
      <c r="U28" s="88"/>
      <c r="V28" s="88"/>
      <c r="W28" s="88"/>
      <c r="X28" s="64"/>
    </row>
    <row r="29" spans="1:24" ht="18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168" t="s">
        <v>119</v>
      </c>
      <c r="P29" s="168"/>
      <c r="Q29" s="156" t="s">
        <v>120</v>
      </c>
      <c r="R29" s="156"/>
      <c r="S29" s="89" t="str">
        <f>IF(P24="Case ( b )",ROUND(S50*C55*0.01,2),"-")</f>
        <v>-</v>
      </c>
      <c r="T29" s="88"/>
      <c r="U29" s="88"/>
      <c r="V29" s="88"/>
      <c r="W29" s="88"/>
      <c r="X29" s="64"/>
    </row>
    <row r="30" spans="1:24" ht="18">
      <c r="A30" s="127" t="s">
        <v>57</v>
      </c>
      <c r="B30" s="128"/>
      <c r="C30" s="128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168" t="s">
        <v>122</v>
      </c>
      <c r="P30" s="168"/>
      <c r="Q30" s="156" t="s">
        <v>123</v>
      </c>
      <c r="R30" s="156"/>
      <c r="S30" s="89" t="str">
        <f>IF(P24="Case ( C )",ROUND(C55*SQRT((((1380*S48)/(C24*Q13))^2)+((20700/((Q13/S47)^2))^2))*0.01,2),"-")</f>
        <v>-</v>
      </c>
      <c r="T30" s="88"/>
      <c r="U30" s="88"/>
      <c r="V30" s="88"/>
      <c r="W30" s="88"/>
      <c r="X30" s="64"/>
    </row>
    <row r="31" spans="1:24" ht="18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88"/>
      <c r="P31" s="88"/>
      <c r="Q31" s="88"/>
      <c r="R31" s="88"/>
      <c r="S31" s="88"/>
      <c r="T31" s="88"/>
      <c r="U31" s="88"/>
      <c r="V31" s="88"/>
      <c r="W31" s="88"/>
      <c r="X31" s="64"/>
    </row>
    <row r="32" spans="1:24" ht="18">
      <c r="A32" s="64"/>
      <c r="B32" s="75" t="s">
        <v>58</v>
      </c>
      <c r="C32" s="64"/>
      <c r="D32" s="64"/>
      <c r="E32" s="64"/>
      <c r="F32" s="68"/>
      <c r="G32" s="75" t="s">
        <v>59</v>
      </c>
      <c r="H32" s="75"/>
      <c r="I32" s="64"/>
      <c r="J32" s="64"/>
      <c r="K32" s="64"/>
      <c r="L32" s="64"/>
      <c r="M32" s="64"/>
      <c r="N32" s="64"/>
      <c r="O32" s="168" t="s">
        <v>135</v>
      </c>
      <c r="P32" s="168"/>
      <c r="Q32" s="156" t="s">
        <v>124</v>
      </c>
      <c r="R32" s="156"/>
      <c r="S32" s="89">
        <f>IF(IF(P24="Case ( a )",S19,IF(P24="Case ( b )",ROUND((T54-((T54-S29)*((Q13-S43)/(S51-S43))))*S28,2),ROUND(S59*S28,2)))&lt;=T54,IF(P24="Case ( a )",S19,IF(P24="Case ( b )",ROUND((T54-((T54-S29)*((Q13-S43)/(S51-S43))))*S28,2),ROUND(S59*S28,2))),T54)</f>
        <v>163.87</v>
      </c>
      <c r="T32" s="88" t="s">
        <v>47</v>
      </c>
      <c r="U32" s="88"/>
      <c r="V32" s="88"/>
      <c r="W32" s="88"/>
      <c r="X32" s="64"/>
    </row>
    <row r="33" spans="1:24" ht="20.399999999999999">
      <c r="A33" s="64"/>
      <c r="B33" s="71" t="s">
        <v>60</v>
      </c>
      <c r="C33" s="70">
        <f>C24-(2*C27)</f>
        <v>86</v>
      </c>
      <c r="D33" s="71" t="s">
        <v>53</v>
      </c>
      <c r="E33" s="64"/>
      <c r="F33" s="64"/>
      <c r="G33" s="71" t="s">
        <v>61</v>
      </c>
      <c r="H33" s="70">
        <f>(C26/2)</f>
        <v>20</v>
      </c>
      <c r="I33" s="71" t="s">
        <v>53</v>
      </c>
      <c r="J33" s="64"/>
      <c r="K33" s="76" t="s">
        <v>62</v>
      </c>
      <c r="L33" s="71">
        <f>ROUND(0.5*(C18/(C33*C34*H10)+1),2)</f>
        <v>0.54</v>
      </c>
      <c r="N33" s="64"/>
      <c r="O33" s="88"/>
      <c r="P33" s="88"/>
      <c r="Q33" s="169" t="s">
        <v>125</v>
      </c>
      <c r="R33" s="156"/>
      <c r="S33" s="88">
        <v>0.85</v>
      </c>
      <c r="T33" s="88"/>
      <c r="U33" s="88"/>
      <c r="V33" s="168" t="str">
        <f>IF(S34&gt;MAX(C15,C16,C17),"Safe","Unsafe")</f>
        <v>Safe</v>
      </c>
      <c r="W33" s="168"/>
      <c r="X33" s="64"/>
    </row>
    <row r="34" spans="1:24" ht="20.399999999999999">
      <c r="A34" s="64"/>
      <c r="B34" s="71" t="s">
        <v>54</v>
      </c>
      <c r="C34" s="70">
        <f>C25</f>
        <v>0.8</v>
      </c>
      <c r="D34" s="71" t="s">
        <v>53</v>
      </c>
      <c r="E34" s="64"/>
      <c r="F34" s="64"/>
      <c r="G34" s="71" t="s">
        <v>56</v>
      </c>
      <c r="H34" s="70">
        <f>C27</f>
        <v>2</v>
      </c>
      <c r="I34" s="71" t="s">
        <v>53</v>
      </c>
      <c r="J34" s="64"/>
      <c r="K34" s="64"/>
      <c r="L34" s="64"/>
      <c r="M34" s="64"/>
      <c r="N34" s="64"/>
      <c r="O34" s="88"/>
      <c r="P34" s="88"/>
      <c r="Q34" s="170" t="s">
        <v>126</v>
      </c>
      <c r="R34" s="156"/>
      <c r="S34" s="87">
        <f>ROUND(S32*S33,2)</f>
        <v>139.29</v>
      </c>
      <c r="T34" s="88" t="s">
        <v>47</v>
      </c>
      <c r="U34" s="88"/>
      <c r="V34" s="168"/>
      <c r="W34" s="168"/>
      <c r="X34" s="64"/>
    </row>
    <row r="35" spans="1:24" ht="18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88"/>
      <c r="P35" s="88"/>
      <c r="Q35" s="88"/>
      <c r="R35" s="88"/>
      <c r="S35" s="88"/>
      <c r="T35" s="88"/>
      <c r="U35" s="88"/>
      <c r="V35" s="88"/>
      <c r="W35" s="88"/>
      <c r="X35" s="64"/>
    </row>
    <row r="36" spans="1:24" ht="18">
      <c r="A36" s="64"/>
      <c r="B36" s="146" t="s">
        <v>63</v>
      </c>
      <c r="C36" s="147"/>
      <c r="D36" s="150">
        <f>ROUND(C33/C34,2)</f>
        <v>107.5</v>
      </c>
      <c r="E36" s="64"/>
      <c r="F36" s="64"/>
      <c r="G36" s="146" t="s">
        <v>63</v>
      </c>
      <c r="H36" s="147"/>
      <c r="I36" s="150">
        <f>ROUND(L33*H33/H34,2)</f>
        <v>5.4</v>
      </c>
      <c r="J36" s="64"/>
      <c r="K36" s="64"/>
      <c r="L36" s="64"/>
      <c r="M36" s="64"/>
      <c r="N36" s="64"/>
      <c r="O36" s="88"/>
      <c r="P36" s="88"/>
      <c r="Q36" s="88"/>
      <c r="R36" s="88"/>
      <c r="S36" s="88"/>
      <c r="T36" s="88"/>
      <c r="U36" s="88"/>
      <c r="V36" s="88"/>
      <c r="W36" s="88"/>
      <c r="X36" s="64"/>
    </row>
    <row r="37" spans="1:24" ht="18">
      <c r="A37" s="78" t="s">
        <v>64</v>
      </c>
      <c r="B37" s="148"/>
      <c r="C37" s="149"/>
      <c r="D37" s="151"/>
      <c r="E37" s="64"/>
      <c r="F37" s="65" t="s">
        <v>65</v>
      </c>
      <c r="G37" s="148"/>
      <c r="H37" s="149"/>
      <c r="I37" s="151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</row>
    <row r="38" spans="1:24" ht="18">
      <c r="A38" s="78" t="s">
        <v>66</v>
      </c>
      <c r="B38" s="152" t="s">
        <v>67</v>
      </c>
      <c r="C38" s="153"/>
      <c r="D38" s="70">
        <f>ROUND(IF(L33&gt;0.5,699/SQRT(H10)/(13*L33-1),63.6/L33/SQRT(H10)),2)</f>
        <v>74.95</v>
      </c>
      <c r="E38" s="64"/>
      <c r="F38" s="65" t="s">
        <v>68</v>
      </c>
      <c r="G38" s="152" t="s">
        <v>69</v>
      </c>
      <c r="H38" s="153"/>
      <c r="I38" s="70">
        <f>ROUND(15.3/SQRT(H10),2)</f>
        <v>9.8800000000000008</v>
      </c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</row>
    <row r="39" spans="1:24" ht="20.399999999999999">
      <c r="A39" s="65" t="s">
        <v>70</v>
      </c>
      <c r="B39" s="154" t="s">
        <v>71</v>
      </c>
      <c r="C39" s="139"/>
      <c r="D39" s="70">
        <f>ROUND(222/SQRT(H10),2)</f>
        <v>143.30000000000001</v>
      </c>
      <c r="E39" s="64"/>
      <c r="F39" s="65" t="s">
        <v>72</v>
      </c>
      <c r="G39" s="154" t="s">
        <v>71</v>
      </c>
      <c r="H39" s="139"/>
      <c r="I39" s="70">
        <f>ROUND(28/SQRT(H10),2)</f>
        <v>18.07</v>
      </c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</row>
    <row r="40" spans="1:24" ht="1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136" t="s">
        <v>99</v>
      </c>
      <c r="P40" s="130"/>
      <c r="Q40" s="130"/>
      <c r="R40" s="75" t="s">
        <v>100</v>
      </c>
      <c r="S40" s="64"/>
      <c r="T40" s="64"/>
      <c r="U40" s="126" t="s">
        <v>101</v>
      </c>
      <c r="V40" s="126"/>
      <c r="W40" s="64"/>
    </row>
    <row r="41" spans="1:24" ht="1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</row>
    <row r="42" spans="1:24" ht="20.399999999999999">
      <c r="A42" s="64"/>
      <c r="B42" s="139" t="s">
        <v>73</v>
      </c>
      <c r="C42" s="142" t="str">
        <f>IF(D36&lt;=D38,"compact",IF(D36&lt;=D39,"non compact","slender"))</f>
        <v>non compact</v>
      </c>
      <c r="D42" s="143"/>
      <c r="E42" s="64"/>
      <c r="F42" s="64"/>
      <c r="G42" s="139" t="s">
        <v>73</v>
      </c>
      <c r="H42" s="139" t="str">
        <f>IF((I36)&lt;=I38,"compact",IF(AND(I38&lt;I36,I36&lt;I39),"non compact","slender"))</f>
        <v>compact</v>
      </c>
      <c r="I42" s="139"/>
      <c r="J42" s="64"/>
      <c r="K42" s="64"/>
      <c r="L42" s="64"/>
      <c r="M42" s="64"/>
      <c r="N42" s="64"/>
      <c r="O42" s="64"/>
      <c r="P42" s="64"/>
      <c r="Q42" s="139" t="s">
        <v>102</v>
      </c>
      <c r="R42" s="139"/>
      <c r="S42" s="70">
        <f>ROUND(((C54/C52)^0.5),2)</f>
        <v>9.59</v>
      </c>
      <c r="T42" s="71" t="s">
        <v>53</v>
      </c>
      <c r="U42" s="64"/>
      <c r="V42" s="64"/>
      <c r="W42" s="64"/>
    </row>
    <row r="43" spans="1:24" ht="20.399999999999999">
      <c r="A43" s="64"/>
      <c r="B43" s="139"/>
      <c r="C43" s="144"/>
      <c r="D43" s="145"/>
      <c r="E43" s="64"/>
      <c r="F43" s="64"/>
      <c r="G43" s="139"/>
      <c r="H43" s="139"/>
      <c r="I43" s="139"/>
      <c r="J43" s="64"/>
      <c r="K43" s="64"/>
      <c r="L43" s="64"/>
      <c r="M43" s="64"/>
      <c r="N43" s="64"/>
      <c r="O43" s="126" t="s">
        <v>103</v>
      </c>
      <c r="P43" s="126"/>
      <c r="Q43" s="139" t="s">
        <v>104</v>
      </c>
      <c r="R43" s="139"/>
      <c r="S43" s="70">
        <f>ROUND((80*S42)/SQRT(H10),2)</f>
        <v>495.23</v>
      </c>
      <c r="T43" s="71" t="s">
        <v>53</v>
      </c>
      <c r="U43" s="64"/>
      <c r="V43" s="64"/>
      <c r="W43" s="64"/>
    </row>
    <row r="44" spans="1:24" ht="18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130"/>
      <c r="P44" s="130"/>
      <c r="Q44" s="64"/>
      <c r="R44" s="64"/>
      <c r="S44" s="64"/>
      <c r="T44" s="64"/>
      <c r="U44" s="64"/>
      <c r="V44" s="64"/>
      <c r="W44" s="64"/>
    </row>
    <row r="45" spans="1:24" ht="19.8">
      <c r="A45" s="64"/>
      <c r="B45" s="64"/>
      <c r="C45" s="64"/>
      <c r="D45" s="139" t="s">
        <v>74</v>
      </c>
      <c r="E45" s="139"/>
      <c r="F45" s="159" t="str">
        <f>IF(AND(C42="compact",H42="compact"),"compact",IF(OR(C42="non compact",H42="non compact"),"non compact",IF(OR(C42="slender",H42="slender"),"slender","check")))</f>
        <v>non compact</v>
      </c>
      <c r="G45" s="159"/>
      <c r="H45" s="64"/>
      <c r="I45" s="64"/>
      <c r="J45" s="64"/>
      <c r="K45" s="64"/>
      <c r="L45" s="64"/>
      <c r="M45" s="64"/>
      <c r="N45" s="64"/>
      <c r="O45" s="126" t="s">
        <v>105</v>
      </c>
      <c r="P45" s="126"/>
      <c r="Q45" s="139" t="s">
        <v>106</v>
      </c>
      <c r="R45" s="139"/>
      <c r="S45" s="70">
        <f>ROUND(((C33/6)*C25)+(C26*C27),2)</f>
        <v>91.47</v>
      </c>
      <c r="T45" s="71" t="s">
        <v>107</v>
      </c>
      <c r="U45" s="64"/>
      <c r="V45" s="64"/>
      <c r="W45" s="64"/>
    </row>
    <row r="46" spans="1:24" ht="20.399999999999999">
      <c r="A46" s="64"/>
      <c r="B46" s="64"/>
      <c r="C46" s="64"/>
      <c r="D46" s="139"/>
      <c r="E46" s="139"/>
      <c r="F46" s="159"/>
      <c r="G46" s="159"/>
      <c r="H46" s="64"/>
      <c r="I46" s="64"/>
      <c r="J46" s="64"/>
      <c r="K46" s="64"/>
      <c r="L46" s="64"/>
      <c r="M46" s="64"/>
      <c r="N46" s="64"/>
      <c r="O46" s="126"/>
      <c r="P46" s="126"/>
      <c r="Q46" s="141" t="s">
        <v>80</v>
      </c>
      <c r="R46" s="141"/>
      <c r="S46" s="70">
        <f>ROUND((((C33/6)*(C25^3))/12)+((C27*(C26^3))/12),2)</f>
        <v>10667.28</v>
      </c>
      <c r="T46" s="84" t="s">
        <v>79</v>
      </c>
      <c r="U46" s="64"/>
      <c r="V46" s="64"/>
      <c r="W46" s="64"/>
    </row>
    <row r="47" spans="1:24" ht="20.399999999999999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139" t="s">
        <v>108</v>
      </c>
      <c r="R47" s="139"/>
      <c r="S47" s="70">
        <f>ROUND(SQRT(S46/S45),2)</f>
        <v>10.8</v>
      </c>
      <c r="T47" s="71" t="s">
        <v>53</v>
      </c>
      <c r="U47" s="64"/>
      <c r="V47" s="64"/>
      <c r="W47" s="64"/>
    </row>
    <row r="48" spans="1:24" ht="19.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139" t="s">
        <v>109</v>
      </c>
      <c r="R48" s="139"/>
      <c r="S48" s="70">
        <f>ROUND(C26*C27,2)</f>
        <v>80</v>
      </c>
      <c r="T48" s="71" t="s">
        <v>107</v>
      </c>
      <c r="U48" s="64"/>
      <c r="V48" s="64"/>
      <c r="W48" s="64"/>
    </row>
    <row r="49" spans="1:23" ht="18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126" t="s">
        <v>110</v>
      </c>
      <c r="P49" s="126"/>
      <c r="Q49" s="139" t="s">
        <v>111</v>
      </c>
      <c r="R49" s="139"/>
      <c r="S49" s="70">
        <f>ROUND(((0.104*S47*C24)/S48)^2,2)</f>
        <v>1.6</v>
      </c>
      <c r="T49" s="64"/>
      <c r="U49" s="64"/>
      <c r="V49" s="64"/>
      <c r="W49" s="64"/>
    </row>
    <row r="50" spans="1:23" ht="20.399999999999999">
      <c r="A50" s="136" t="s">
        <v>75</v>
      </c>
      <c r="B50" s="130"/>
      <c r="C50" s="130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139" t="s">
        <v>112</v>
      </c>
      <c r="R50" s="139"/>
      <c r="S50" s="70">
        <f>0.6*H10</f>
        <v>1.44</v>
      </c>
      <c r="T50" s="71" t="s">
        <v>42</v>
      </c>
      <c r="U50" s="64"/>
      <c r="V50" s="64"/>
      <c r="W50" s="64"/>
    </row>
    <row r="51" spans="1:23" ht="20.399999999999999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126" t="s">
        <v>113</v>
      </c>
      <c r="P51" s="126"/>
      <c r="Q51" s="155" t="s">
        <v>114</v>
      </c>
      <c r="R51" s="155"/>
      <c r="S51" s="79">
        <f>ROUND(((1380*S48)/(C24*S50))*SQRT(0.5*(1+SQRT(1+(2*S49*S50)^2))),2)</f>
        <v>1440.02</v>
      </c>
      <c r="T51" s="71" t="s">
        <v>53</v>
      </c>
      <c r="U51" s="64"/>
      <c r="V51" s="64"/>
      <c r="W51" s="64"/>
    </row>
    <row r="52" spans="1:23" ht="20.399999999999999">
      <c r="A52" s="139" t="s">
        <v>76</v>
      </c>
      <c r="B52" s="139"/>
      <c r="C52" s="70">
        <f>(C24*C25)+(2*(C26*C27))</f>
        <v>232</v>
      </c>
      <c r="D52" s="81" t="s">
        <v>77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</row>
    <row r="53" spans="1:23" ht="20.399999999999999">
      <c r="A53" s="140" t="s">
        <v>78</v>
      </c>
      <c r="B53" s="139"/>
      <c r="C53" s="70">
        <f>ROUND(((C25*(C33)^3)/12)+2*(((C26*(C27)^3)/12)+(C26*C27*((C33/2)+(C27/2))^2)),2)</f>
        <v>352217.07</v>
      </c>
      <c r="D53" s="81" t="s">
        <v>79</v>
      </c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</row>
    <row r="54" spans="1:23" ht="20.399999999999999">
      <c r="A54" s="141" t="s">
        <v>80</v>
      </c>
      <c r="B54" s="141"/>
      <c r="C54" s="70">
        <f>ROUND(((C33*(C25)^3)/12)+2*((C27*(C26)^3)/12),2)</f>
        <v>21337</v>
      </c>
      <c r="D54" s="81" t="s">
        <v>79</v>
      </c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124" t="str">
        <f>IF(Q13&lt;=S43,"Case (a)",IF(AND(S43&lt;Q13,Q13&lt;=S51),"Case (b)","Case (c) "))</f>
        <v>Case (b)</v>
      </c>
      <c r="Q54" s="124"/>
      <c r="R54" s="64"/>
      <c r="S54" s="139" t="s">
        <v>115</v>
      </c>
      <c r="T54" s="160">
        <f>ROUND(1.12*H10*C55*0.01,2)</f>
        <v>210.39</v>
      </c>
      <c r="U54" s="139" t="s">
        <v>47</v>
      </c>
      <c r="V54" s="64"/>
      <c r="W54" s="64"/>
    </row>
    <row r="55" spans="1:23" ht="20.399999999999999">
      <c r="A55" s="141" t="s">
        <v>81</v>
      </c>
      <c r="B55" s="141"/>
      <c r="C55" s="70">
        <f>ROUND(C53/(C24/2),2)</f>
        <v>7827.05</v>
      </c>
      <c r="D55" s="81" t="s">
        <v>82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124"/>
      <c r="Q55" s="124"/>
      <c r="R55" s="64"/>
      <c r="S55" s="139"/>
      <c r="T55" s="160"/>
      <c r="U55" s="139"/>
      <c r="V55" s="64"/>
      <c r="W55" s="64"/>
    </row>
    <row r="56" spans="1:23" ht="20.399999999999999">
      <c r="A56" s="141" t="s">
        <v>83</v>
      </c>
      <c r="B56" s="141"/>
      <c r="C56" s="70">
        <f>ROUND(C54/(C26/2),2)</f>
        <v>1066.8499999999999</v>
      </c>
      <c r="D56" s="81" t="s">
        <v>82</v>
      </c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8"/>
      <c r="R56" s="68"/>
      <c r="S56" s="64"/>
      <c r="T56" s="64"/>
      <c r="U56" s="64"/>
      <c r="V56" s="64"/>
      <c r="W56" s="64"/>
    </row>
    <row r="57" spans="1:23" ht="20.399999999999999">
      <c r="A57" s="82"/>
      <c r="B57" s="82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126" t="s">
        <v>116</v>
      </c>
      <c r="P57" s="161"/>
      <c r="Q57" s="139" t="s">
        <v>117</v>
      </c>
      <c r="R57" s="139"/>
      <c r="S57" s="71">
        <f>ROUND((1.75+1.05*((MIN(C17:C19))/(MAX(C17:C19)))+0.3*(((MIN(C17:C19))/(MAX(C17:C19)))^2)),2)</f>
        <v>1.86</v>
      </c>
      <c r="T57" s="86"/>
      <c r="U57" s="126" t="s">
        <v>118</v>
      </c>
      <c r="V57" s="126"/>
      <c r="W57" s="126"/>
    </row>
    <row r="58" spans="1:23" ht="18">
      <c r="J58" s="64"/>
      <c r="K58" s="64"/>
      <c r="L58" s="64"/>
      <c r="M58" s="64"/>
      <c r="N58" s="64"/>
      <c r="O58" s="126" t="s">
        <v>119</v>
      </c>
      <c r="P58" s="126"/>
      <c r="Q58" s="139" t="s">
        <v>120</v>
      </c>
      <c r="R58" s="139"/>
      <c r="S58" s="70">
        <f>IF(P54="Case (b)",ROUND(S50*C55*0.01,2),"-")</f>
        <v>112.71</v>
      </c>
      <c r="T58" s="158" t="s">
        <v>121</v>
      </c>
      <c r="U58" s="126"/>
      <c r="V58" s="126"/>
      <c r="W58" s="64"/>
    </row>
    <row r="59" spans="1:23" ht="18">
      <c r="A59" s="136" t="s">
        <v>127</v>
      </c>
      <c r="B59" s="130"/>
      <c r="C59" s="130"/>
      <c r="D59" s="64"/>
      <c r="E59" s="75" t="s">
        <v>128</v>
      </c>
      <c r="F59" s="64"/>
      <c r="G59" s="64"/>
      <c r="H59" s="64"/>
      <c r="I59" s="64"/>
      <c r="J59" s="64"/>
      <c r="K59" s="64"/>
      <c r="L59" s="64"/>
      <c r="M59" s="64"/>
      <c r="N59" s="64"/>
      <c r="O59" s="126" t="s">
        <v>122</v>
      </c>
      <c r="P59" s="161"/>
      <c r="Q59" s="139" t="s">
        <v>123</v>
      </c>
      <c r="R59" s="139"/>
      <c r="S59" s="70" t="str">
        <f>IF(P54="Case (c) ",ROUND(C55*SQRT((((1380*S48)/(C24*Q13))^2)+((20700/((Q13/S47)^2))^2))*0.01,2),"-")</f>
        <v>-</v>
      </c>
      <c r="T59" s="158"/>
      <c r="U59" s="126"/>
      <c r="V59" s="126"/>
      <c r="W59" s="64"/>
    </row>
    <row r="60" spans="1:23" ht="18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</row>
    <row r="61" spans="1:23" ht="20.399999999999999">
      <c r="A61" s="64"/>
      <c r="B61" s="64"/>
      <c r="C61" s="139" t="s">
        <v>131</v>
      </c>
      <c r="D61" s="139"/>
      <c r="E61" s="70">
        <f>ROUND(SQRT(C53/C52),2)</f>
        <v>38.96</v>
      </c>
      <c r="F61" s="71" t="s">
        <v>53</v>
      </c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139" t="s">
        <v>124</v>
      </c>
      <c r="R61" s="139"/>
      <c r="S61" s="70">
        <f>IF(IF(P54="Case (a)",T54,IF(P54="Case (b)",ROUND((T54-((T54-S58)*((Q13-S43)/(S51-S43))))*S57,2),S59*S57))&lt;=T54,IF(P54="Case (a)",T54,IF(P54="Case (b)",ROUND((T54-((T54-S58)*((Q13-S43)/(S51-S43))))*S57,2),S59*S57)),T54)</f>
        <v>210.39</v>
      </c>
      <c r="T61" s="71" t="s">
        <v>47</v>
      </c>
      <c r="U61" s="64"/>
      <c r="V61" s="64"/>
      <c r="W61" s="64"/>
    </row>
    <row r="62" spans="1:23" ht="20.399999999999999">
      <c r="A62" s="64"/>
      <c r="B62" s="64"/>
      <c r="C62" s="139" t="s">
        <v>102</v>
      </c>
      <c r="D62" s="139"/>
      <c r="E62" s="70">
        <f>ROUND(SQRT(C54/C52),2)</f>
        <v>9.59</v>
      </c>
      <c r="F62" s="71" t="s">
        <v>53</v>
      </c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154" t="s">
        <v>125</v>
      </c>
      <c r="R62" s="139"/>
      <c r="S62" s="71">
        <v>0.85</v>
      </c>
      <c r="T62" s="64"/>
      <c r="U62" s="64"/>
      <c r="V62" s="162" t="str">
        <f>IF((S63&gt;=C17),"Safe","Unsafe")</f>
        <v>Safe</v>
      </c>
      <c r="W62" s="162"/>
    </row>
    <row r="63" spans="1:23" ht="18">
      <c r="A63" s="64"/>
      <c r="B63" s="64"/>
      <c r="C63" s="154" t="s">
        <v>136</v>
      </c>
      <c r="D63" s="139"/>
      <c r="E63" s="70">
        <f>ROUND(Q12/E61,2)</f>
        <v>112.03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163" t="s">
        <v>126</v>
      </c>
      <c r="R63" s="139"/>
      <c r="S63" s="87">
        <f>ROUND(S62*S61,2)</f>
        <v>178.83</v>
      </c>
      <c r="T63" s="71" t="s">
        <v>47</v>
      </c>
      <c r="U63" s="64"/>
      <c r="V63" s="162"/>
      <c r="W63" s="162"/>
    </row>
    <row r="64" spans="1:23" ht="18">
      <c r="A64" s="64"/>
      <c r="B64" s="64"/>
      <c r="C64" s="154" t="s">
        <v>138</v>
      </c>
      <c r="D64" s="139"/>
      <c r="E64" s="70">
        <f>ROUND(Q13/E62,2)</f>
        <v>56.31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</row>
    <row r="65" spans="1:24" ht="18">
      <c r="A65" s="64"/>
      <c r="B65" s="64"/>
      <c r="C65" s="154" t="s">
        <v>139</v>
      </c>
      <c r="D65" s="139"/>
      <c r="E65" s="70">
        <f>MAX(E63,E64)</f>
        <v>112.03</v>
      </c>
      <c r="F65" s="64"/>
      <c r="G65" s="64"/>
      <c r="H65" s="64"/>
      <c r="I65" s="64"/>
      <c r="J65" s="64"/>
      <c r="K65" s="64"/>
      <c r="L65" s="64"/>
      <c r="M65" s="64"/>
      <c r="N65" s="64"/>
      <c r="P65" s="136" t="s">
        <v>148</v>
      </c>
      <c r="Q65" s="136"/>
      <c r="R65" s="136"/>
      <c r="S65" s="64"/>
      <c r="T65" s="75" t="s">
        <v>149</v>
      </c>
      <c r="U65" s="64"/>
      <c r="V65" s="64"/>
      <c r="W65" s="64"/>
      <c r="X65" s="64"/>
    </row>
    <row r="66" spans="1:24" ht="18">
      <c r="A66" s="126" t="s">
        <v>141</v>
      </c>
      <c r="B66" s="161"/>
      <c r="C66" s="154" t="s">
        <v>142</v>
      </c>
      <c r="D66" s="139"/>
      <c r="E66" s="70">
        <f>ROUND((E65/3.14)*SQRT(H10/2100),2)</f>
        <v>1.21</v>
      </c>
      <c r="F66" s="64"/>
      <c r="G66" s="64"/>
      <c r="H66" s="64"/>
      <c r="I66" s="64"/>
      <c r="J66" s="64"/>
      <c r="K66" s="64"/>
      <c r="L66" s="64"/>
      <c r="M66" s="64"/>
      <c r="N66" s="64"/>
      <c r="P66" s="64"/>
      <c r="Q66" s="64"/>
      <c r="R66" s="64"/>
      <c r="S66" s="64"/>
      <c r="T66" s="64"/>
      <c r="U66" s="64"/>
      <c r="V66" s="64"/>
      <c r="W66" s="64"/>
      <c r="X66" s="64"/>
    </row>
    <row r="67" spans="1:24" ht="20.399999999999999">
      <c r="A67" s="126" t="s">
        <v>143</v>
      </c>
      <c r="B67" s="167"/>
      <c r="C67" s="139" t="s">
        <v>144</v>
      </c>
      <c r="D67" s="139"/>
      <c r="E67" s="70">
        <f>IF(E66&lt;=1.5,ROUND(H10*(1-(0.384*(E66^2))),2),ROUND(0.684*(H10/(E66^2)),2))</f>
        <v>1.05</v>
      </c>
      <c r="F67" s="64"/>
      <c r="G67" s="64"/>
      <c r="H67" s="64"/>
      <c r="I67" s="64"/>
      <c r="J67" s="64"/>
      <c r="K67" s="64"/>
      <c r="L67" s="64"/>
      <c r="M67" s="64"/>
      <c r="N67" s="64"/>
      <c r="P67" s="68"/>
      <c r="Q67" s="68"/>
      <c r="R67" s="139"/>
      <c r="S67" s="139"/>
      <c r="T67" s="139">
        <f>ROUND(C33/C25,2)</f>
        <v>107.5</v>
      </c>
      <c r="U67" s="64"/>
      <c r="V67" s="64"/>
      <c r="W67" s="64"/>
      <c r="X67" s="64"/>
    </row>
    <row r="68" spans="1:24" ht="1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P68" s="68"/>
      <c r="Q68" s="68"/>
      <c r="R68" s="139"/>
      <c r="S68" s="139"/>
      <c r="T68" s="139"/>
      <c r="U68" s="64"/>
      <c r="V68" s="64"/>
      <c r="W68" s="64"/>
      <c r="X68" s="64"/>
    </row>
    <row r="69" spans="1:24" ht="18">
      <c r="A69" s="126" t="s">
        <v>145</v>
      </c>
      <c r="B69" s="161"/>
      <c r="C69" s="139" t="s">
        <v>146</v>
      </c>
      <c r="D69" s="139"/>
      <c r="E69" s="77">
        <f>ROUND(E67*C52,2)</f>
        <v>243.6</v>
      </c>
      <c r="F69" s="71" t="s">
        <v>49</v>
      </c>
      <c r="G69" s="64"/>
      <c r="H69" s="64"/>
      <c r="I69" s="64"/>
      <c r="J69" s="64"/>
      <c r="K69" s="64"/>
      <c r="L69" s="64"/>
      <c r="M69" s="64"/>
      <c r="N69" s="64"/>
      <c r="P69" s="68"/>
      <c r="Q69" s="68"/>
      <c r="R69" s="139"/>
      <c r="S69" s="139"/>
      <c r="T69" s="139">
        <f>ROUND(112/SQRT(H10),2)</f>
        <v>72.3</v>
      </c>
      <c r="U69" s="64"/>
      <c r="V69" s="64"/>
      <c r="W69" s="64"/>
      <c r="X69" s="64"/>
    </row>
    <row r="70" spans="1:24" ht="18">
      <c r="A70" s="64"/>
      <c r="B70" s="68"/>
      <c r="C70" s="154" t="s">
        <v>125</v>
      </c>
      <c r="D70" s="139"/>
      <c r="E70" s="71">
        <v>0.8</v>
      </c>
      <c r="F70" s="64"/>
      <c r="G70" s="64"/>
      <c r="H70" s="162" t="str">
        <f>IF(E71&lt;C18,"Unsafe","Safe")</f>
        <v>Safe</v>
      </c>
      <c r="I70" s="162"/>
      <c r="J70" s="64"/>
      <c r="K70" s="64"/>
      <c r="L70" s="64"/>
      <c r="M70" s="68"/>
      <c r="N70" s="68"/>
      <c r="P70" s="68"/>
      <c r="Q70" s="68"/>
      <c r="R70" s="139"/>
      <c r="S70" s="139"/>
      <c r="T70" s="139"/>
      <c r="U70" s="64"/>
      <c r="V70" s="64"/>
      <c r="W70" s="64"/>
      <c r="X70" s="64"/>
    </row>
    <row r="71" spans="1:24" ht="18">
      <c r="A71" s="64"/>
      <c r="B71" s="68"/>
      <c r="C71" s="163" t="s">
        <v>147</v>
      </c>
      <c r="D71" s="139"/>
      <c r="E71" s="80">
        <f>ROUND(E69*E70,2)</f>
        <v>194.88</v>
      </c>
      <c r="F71" s="71" t="s">
        <v>49</v>
      </c>
      <c r="G71" s="64"/>
      <c r="H71" s="162"/>
      <c r="I71" s="162"/>
      <c r="J71" s="64"/>
      <c r="K71" s="64"/>
      <c r="L71" s="64"/>
      <c r="M71" s="68"/>
      <c r="N71" s="68"/>
      <c r="P71" s="68"/>
      <c r="Q71" s="68"/>
      <c r="R71" s="139"/>
      <c r="S71" s="139"/>
      <c r="T71" s="139">
        <f>ROUND(139/SQRT(H10),2)</f>
        <v>89.72</v>
      </c>
      <c r="U71" s="64"/>
      <c r="V71" s="64"/>
      <c r="W71" s="64"/>
      <c r="X71" s="64"/>
    </row>
    <row r="72" spans="1:24" ht="18">
      <c r="J72" s="64"/>
      <c r="K72" s="64"/>
      <c r="L72" s="64"/>
      <c r="M72" s="68"/>
      <c r="N72" s="68"/>
      <c r="P72" s="68"/>
      <c r="Q72" s="68"/>
      <c r="R72" s="139"/>
      <c r="S72" s="139"/>
      <c r="T72" s="139"/>
      <c r="U72" s="64"/>
      <c r="V72" s="64"/>
      <c r="W72" s="64"/>
      <c r="X72" s="64"/>
    </row>
    <row r="73" spans="1:24" ht="18">
      <c r="A73" s="136" t="s">
        <v>153</v>
      </c>
      <c r="B73" s="136"/>
      <c r="C73" s="136"/>
      <c r="D73" s="75" t="s">
        <v>154</v>
      </c>
      <c r="E73" s="64"/>
      <c r="F73" s="64"/>
      <c r="G73" s="64"/>
      <c r="H73" s="64"/>
      <c r="I73" s="64"/>
      <c r="J73" s="64"/>
      <c r="K73" s="64"/>
      <c r="L73" s="64"/>
      <c r="M73" s="68"/>
      <c r="N73" s="68"/>
      <c r="P73" s="126" t="s">
        <v>150</v>
      </c>
      <c r="Q73" s="161"/>
      <c r="R73" s="139" t="s">
        <v>151</v>
      </c>
      <c r="S73" s="139"/>
      <c r="T73" s="71">
        <f>IF(T67&lt;T69,ROUND(0.6*H10*C33*C34,2),IF(AND(T69&lt;T67,T67&lt;T71),ROUND(0.6*H10*C33*C34*(T69/T67),2),IF(AND(T71&lt;T67,T67&lt;260),ROUND(C33*C34*(9500/(T67^2)),2),"Check h/tw")))</f>
        <v>56.56</v>
      </c>
      <c r="U73" s="74" t="s">
        <v>49</v>
      </c>
      <c r="V73" s="64"/>
      <c r="W73" s="64"/>
      <c r="X73" s="64"/>
    </row>
    <row r="74" spans="1:24" ht="18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8"/>
      <c r="N74" s="68"/>
      <c r="P74" s="64"/>
      <c r="Q74" s="64"/>
      <c r="R74" s="154" t="s">
        <v>125</v>
      </c>
      <c r="S74" s="139"/>
      <c r="T74" s="71">
        <v>0.85</v>
      </c>
      <c r="U74" s="64"/>
      <c r="V74" s="64"/>
      <c r="W74" s="162" t="str">
        <f>IF(T75&lt;C19,"Unsafe","Safe")</f>
        <v>Safe</v>
      </c>
      <c r="X74" s="162"/>
    </row>
    <row r="75" spans="1:24" ht="18">
      <c r="A75" s="64"/>
      <c r="B75" s="64"/>
      <c r="C75" s="139"/>
      <c r="D75" s="139"/>
      <c r="E75" s="139">
        <f>C18/E71</f>
        <v>6.9405275041050901E-2</v>
      </c>
      <c r="F75" s="64"/>
      <c r="G75" s="64"/>
      <c r="H75" s="64"/>
      <c r="I75" s="64"/>
      <c r="J75" s="64"/>
      <c r="K75" s="64"/>
      <c r="L75" s="64"/>
      <c r="M75" s="64"/>
      <c r="N75" s="64"/>
      <c r="P75" s="64"/>
      <c r="Q75" s="64"/>
      <c r="R75" s="163" t="s">
        <v>152</v>
      </c>
      <c r="S75" s="139"/>
      <c r="T75" s="80">
        <f>ROUND(T73*T74,2)</f>
        <v>48.08</v>
      </c>
      <c r="U75" s="74" t="s">
        <v>49</v>
      </c>
      <c r="V75" s="64"/>
      <c r="W75" s="162"/>
      <c r="X75" s="162"/>
    </row>
    <row r="76" spans="1:24" ht="18">
      <c r="A76" s="64"/>
      <c r="B76" s="64"/>
      <c r="C76" s="139"/>
      <c r="D76" s="139"/>
      <c r="E76" s="139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</row>
    <row r="77" spans="1:24" ht="18">
      <c r="A77" s="64"/>
      <c r="B77" s="64"/>
      <c r="C77" s="139"/>
      <c r="D77" s="139"/>
      <c r="E77" s="139">
        <f>ROUND(MAX(C17:C19)/IF(F45="compact",S63,S34),2)</f>
        <v>0.75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</row>
    <row r="78" spans="1:24" ht="18">
      <c r="A78" s="64"/>
      <c r="B78" s="64"/>
      <c r="C78" s="139"/>
      <c r="D78" s="139"/>
      <c r="E78" s="139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</row>
    <row r="79" spans="1:24" ht="18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</row>
    <row r="80" spans="1:24" ht="18">
      <c r="A80" s="126" t="s">
        <v>155</v>
      </c>
      <c r="B80" s="126"/>
      <c r="C80" s="139" t="s">
        <v>156</v>
      </c>
      <c r="D80" s="139"/>
      <c r="E80" s="159">
        <f>ROUND(IF(E75&gt;=0.2,(E75+(8/9*E77)),((0.5*E75)+E77)),2)</f>
        <v>0.78</v>
      </c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</row>
    <row r="81" spans="1:34" ht="18">
      <c r="A81" s="126"/>
      <c r="B81" s="126"/>
      <c r="C81" s="139"/>
      <c r="D81" s="139"/>
      <c r="E81" s="159"/>
      <c r="F81" s="64"/>
      <c r="G81" s="64"/>
      <c r="H81" s="162" t="str">
        <f>IF(E80&lt;=1,"Safe","Unsafe")</f>
        <v>Safe</v>
      </c>
      <c r="I81" s="162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</row>
    <row r="82" spans="1:34" ht="18">
      <c r="A82" s="64"/>
      <c r="B82" s="64"/>
      <c r="C82" s="64"/>
      <c r="D82" s="64"/>
      <c r="E82" s="64"/>
      <c r="F82" s="64"/>
      <c r="G82" s="64"/>
      <c r="H82" s="162"/>
      <c r="I82" s="162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</row>
    <row r="83" spans="1:34" ht="18"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</row>
    <row r="84" spans="1:34" ht="18">
      <c r="J84" s="68"/>
      <c r="K84" s="68"/>
      <c r="L84" s="68"/>
      <c r="M84" s="68"/>
      <c r="N84" s="64"/>
      <c r="O84" s="64"/>
      <c r="P84" s="64"/>
      <c r="Q84" s="64"/>
      <c r="R84" s="64"/>
      <c r="S84" s="64"/>
      <c r="T84" s="64"/>
      <c r="U84" s="64"/>
      <c r="V84" s="64"/>
    </row>
    <row r="85" spans="1:34" ht="18"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</row>
    <row r="86" spans="1:34" ht="18"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Z86" s="64"/>
      <c r="AA86" s="64"/>
      <c r="AB86" s="64"/>
      <c r="AC86" s="64"/>
      <c r="AD86" s="64"/>
      <c r="AE86" s="64"/>
      <c r="AF86" s="64"/>
      <c r="AG86" s="64"/>
      <c r="AH86" s="64"/>
    </row>
    <row r="87" spans="1:34" ht="18">
      <c r="J87" s="64"/>
      <c r="K87" s="85"/>
      <c r="L87" s="85"/>
      <c r="M87" s="64"/>
      <c r="N87" s="64"/>
      <c r="O87" s="64"/>
      <c r="P87" s="64"/>
      <c r="Q87" s="64"/>
      <c r="R87" s="64"/>
      <c r="S87" s="64"/>
      <c r="T87" s="64"/>
      <c r="U87" s="64"/>
      <c r="V87" s="64"/>
      <c r="Z87" s="64"/>
      <c r="AA87" s="64"/>
      <c r="AB87" s="64"/>
      <c r="AC87" s="64"/>
      <c r="AD87" s="64"/>
      <c r="AE87" s="64"/>
      <c r="AF87" s="64"/>
      <c r="AG87" s="64"/>
      <c r="AH87" s="64"/>
    </row>
    <row r="88" spans="1:34" ht="18"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</row>
    <row r="89" spans="1:34" ht="18"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</row>
    <row r="90" spans="1:34" ht="18"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</row>
    <row r="91" spans="1:34" ht="18"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</row>
    <row r="92" spans="1:34" ht="18"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</row>
    <row r="93" spans="1:34" ht="18"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</row>
    <row r="94" spans="1:34" ht="18"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</row>
    <row r="95" spans="1:34" ht="18"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</row>
    <row r="96" spans="1:34" ht="18"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</row>
    <row r="97" spans="10:34" ht="18"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</row>
    <row r="98" spans="10:34" ht="18">
      <c r="J98" s="64"/>
      <c r="K98" s="64"/>
      <c r="L98" s="64"/>
    </row>
    <row r="99" spans="10:34" ht="18">
      <c r="J99" s="64"/>
      <c r="K99" s="64"/>
      <c r="L99" s="64"/>
      <c r="Z99" s="64"/>
      <c r="AA99" s="64"/>
      <c r="AB99" s="64"/>
      <c r="AC99" s="64"/>
      <c r="AD99" s="64"/>
      <c r="AE99" s="64"/>
      <c r="AF99" s="64"/>
      <c r="AG99" s="64"/>
      <c r="AH99" s="64"/>
    </row>
    <row r="100" spans="10:34" ht="18">
      <c r="J100" s="64"/>
      <c r="K100" s="64"/>
      <c r="L100" s="64"/>
    </row>
    <row r="101" spans="10:34" ht="18">
      <c r="J101" s="64"/>
      <c r="K101" s="64"/>
      <c r="L101" s="64"/>
    </row>
    <row r="102" spans="10:34" ht="18">
      <c r="J102" s="64"/>
      <c r="K102" s="64"/>
      <c r="L102" s="64"/>
    </row>
    <row r="103" spans="10:34" ht="18">
      <c r="J103" s="64"/>
      <c r="K103" s="64"/>
      <c r="L103" s="64"/>
    </row>
    <row r="104" spans="10:34" ht="18">
      <c r="J104" s="64"/>
      <c r="K104" s="64"/>
      <c r="L104" s="64"/>
    </row>
    <row r="105" spans="10:34" ht="18">
      <c r="J105" s="64"/>
      <c r="K105" s="64"/>
      <c r="L105" s="64"/>
    </row>
    <row r="106" spans="10:34" ht="18">
      <c r="J106" s="64"/>
      <c r="K106" s="64"/>
      <c r="L106" s="64"/>
    </row>
    <row r="107" spans="10:34" ht="18">
      <c r="J107" s="64"/>
      <c r="K107" s="64"/>
      <c r="L107" s="64"/>
    </row>
    <row r="108" spans="10:34" ht="18">
      <c r="J108" s="64"/>
      <c r="K108" s="64"/>
      <c r="L108" s="64"/>
    </row>
    <row r="109" spans="10:34" ht="18">
      <c r="J109" s="64"/>
      <c r="K109" s="64"/>
      <c r="L109" s="64"/>
    </row>
    <row r="110" spans="10:34" ht="18">
      <c r="J110" s="64"/>
      <c r="K110" s="64"/>
      <c r="L110" s="64"/>
    </row>
    <row r="111" spans="10:34" ht="18">
      <c r="J111" s="64"/>
      <c r="K111" s="64"/>
      <c r="L111" s="64"/>
    </row>
    <row r="112" spans="10:34" ht="18">
      <c r="J112" s="64"/>
      <c r="K112" s="64"/>
      <c r="L112" s="64"/>
    </row>
    <row r="113" spans="10:22" ht="18">
      <c r="J113" s="64"/>
      <c r="K113" s="64"/>
      <c r="L113" s="64"/>
    </row>
    <row r="114" spans="10:22" ht="18">
      <c r="J114" s="64"/>
      <c r="K114" s="64"/>
      <c r="L114" s="64"/>
    </row>
    <row r="115" spans="10:22" ht="18">
      <c r="J115" s="64"/>
      <c r="K115" s="64"/>
      <c r="L115" s="64"/>
    </row>
    <row r="116" spans="10:22" ht="18">
      <c r="J116" s="64"/>
      <c r="K116" s="64"/>
      <c r="L116" s="64"/>
    </row>
    <row r="117" spans="10:22" ht="18">
      <c r="J117" s="64"/>
      <c r="K117" s="64"/>
      <c r="L117" s="64"/>
    </row>
    <row r="118" spans="10:22" ht="18">
      <c r="J118" s="64"/>
      <c r="K118" s="64"/>
      <c r="L118" s="64"/>
    </row>
    <row r="119" spans="10:22" ht="18">
      <c r="J119" s="64"/>
      <c r="K119" s="64"/>
      <c r="L119" s="64"/>
    </row>
    <row r="120" spans="10:22" ht="18"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</row>
    <row r="121" spans="10:22" ht="18"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</row>
    <row r="122" spans="10:22" ht="18"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</row>
    <row r="123" spans="10:22" ht="18"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</row>
    <row r="124" spans="10:22" ht="18"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</row>
    <row r="125" spans="10:22" ht="18"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</row>
    <row r="126" spans="10:22" ht="18"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</row>
    <row r="127" spans="10:22" ht="18"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</row>
    <row r="128" spans="10:22" ht="18"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</row>
    <row r="129" spans="10:22" ht="18"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</row>
    <row r="130" spans="10:22" ht="18"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</row>
    <row r="131" spans="10:22" ht="18"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</row>
    <row r="132" spans="10:22" ht="18"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</row>
    <row r="133" spans="10:22" ht="18"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</row>
    <row r="134" spans="10:22" ht="18"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</row>
  </sheetData>
  <mergeCells count="149">
    <mergeCell ref="A73:C73"/>
    <mergeCell ref="C75:D76"/>
    <mergeCell ref="E75:E76"/>
    <mergeCell ref="C77:D78"/>
    <mergeCell ref="E77:E78"/>
    <mergeCell ref="A80:B81"/>
    <mergeCell ref="C80:D81"/>
    <mergeCell ref="E80:E81"/>
    <mergeCell ref="T71:T72"/>
    <mergeCell ref="P73:Q73"/>
    <mergeCell ref="R73:S73"/>
    <mergeCell ref="R74:S74"/>
    <mergeCell ref="W74:X75"/>
    <mergeCell ref="R75:S75"/>
    <mergeCell ref="R67:S68"/>
    <mergeCell ref="T67:T68"/>
    <mergeCell ref="H81:I82"/>
    <mergeCell ref="T69:T70"/>
    <mergeCell ref="Q34:R34"/>
    <mergeCell ref="O28:P28"/>
    <mergeCell ref="Q28:R28"/>
    <mergeCell ref="O29:P29"/>
    <mergeCell ref="Q29:R29"/>
    <mergeCell ref="P65:R65"/>
    <mergeCell ref="O30:P30"/>
    <mergeCell ref="Q30:R30"/>
    <mergeCell ref="Q51:R51"/>
    <mergeCell ref="G38:H38"/>
    <mergeCell ref="A69:B69"/>
    <mergeCell ref="C69:D69"/>
    <mergeCell ref="C70:D70"/>
    <mergeCell ref="H70:I71"/>
    <mergeCell ref="C71:D71"/>
    <mergeCell ref="C64:D64"/>
    <mergeCell ref="C65:D65"/>
    <mergeCell ref="Q21:R21"/>
    <mergeCell ref="A66:B66"/>
    <mergeCell ref="C66:D66"/>
    <mergeCell ref="A67:B67"/>
    <mergeCell ref="C67:D67"/>
    <mergeCell ref="O32:P32"/>
    <mergeCell ref="Q32:R32"/>
    <mergeCell ref="Q33:R33"/>
    <mergeCell ref="R69:S70"/>
    <mergeCell ref="R71:S72"/>
    <mergeCell ref="C61:D61"/>
    <mergeCell ref="A53:B53"/>
    <mergeCell ref="A54:B54"/>
    <mergeCell ref="A55:B55"/>
    <mergeCell ref="A56:B56"/>
    <mergeCell ref="Q50:R50"/>
    <mergeCell ref="O51:P51"/>
    <mergeCell ref="C62:D62"/>
    <mergeCell ref="Q18:R18"/>
    <mergeCell ref="C63:D63"/>
    <mergeCell ref="Q19:R19"/>
    <mergeCell ref="Q62:R62"/>
    <mergeCell ref="V62:W63"/>
    <mergeCell ref="Q63:R63"/>
    <mergeCell ref="A59:C59"/>
    <mergeCell ref="P24:Q25"/>
    <mergeCell ref="V33:W34"/>
    <mergeCell ref="O58:P58"/>
    <mergeCell ref="Q58:R58"/>
    <mergeCell ref="T58:V59"/>
    <mergeCell ref="O59:P59"/>
    <mergeCell ref="Q59:R59"/>
    <mergeCell ref="Q61:R61"/>
    <mergeCell ref="P54:Q55"/>
    <mergeCell ref="S54:S55"/>
    <mergeCell ref="T54:T55"/>
    <mergeCell ref="U54:U55"/>
    <mergeCell ref="O57:P57"/>
    <mergeCell ref="Q57:R57"/>
    <mergeCell ref="U57:W57"/>
    <mergeCell ref="O12:P12"/>
    <mergeCell ref="O13:P13"/>
    <mergeCell ref="S13:V13"/>
    <mergeCell ref="O40:Q40"/>
    <mergeCell ref="U40:V40"/>
    <mergeCell ref="Q42:R42"/>
    <mergeCell ref="Q47:R47"/>
    <mergeCell ref="Q48:R48"/>
    <mergeCell ref="O49:P49"/>
    <mergeCell ref="Q49:R49"/>
    <mergeCell ref="O43:P43"/>
    <mergeCell ref="Q43:R43"/>
    <mergeCell ref="O44:P44"/>
    <mergeCell ref="O45:P46"/>
    <mergeCell ref="Q45:R45"/>
    <mergeCell ref="Q46:R46"/>
    <mergeCell ref="O15:Q15"/>
    <mergeCell ref="Q17:R17"/>
    <mergeCell ref="O2:Q2"/>
    <mergeCell ref="O4:P4"/>
    <mergeCell ref="O5:P5"/>
    <mergeCell ref="O6:P6"/>
    <mergeCell ref="T6:U6"/>
    <mergeCell ref="O7:P7"/>
    <mergeCell ref="T7:U7"/>
    <mergeCell ref="A50:C50"/>
    <mergeCell ref="A52:B52"/>
    <mergeCell ref="O8:P8"/>
    <mergeCell ref="T8:U8"/>
    <mergeCell ref="O9:P9"/>
    <mergeCell ref="O10:P10"/>
    <mergeCell ref="S10:V10"/>
    <mergeCell ref="R15:T15"/>
    <mergeCell ref="B42:B43"/>
    <mergeCell ref="C42:D43"/>
    <mergeCell ref="G42:G43"/>
    <mergeCell ref="H42:I43"/>
    <mergeCell ref="D45:E46"/>
    <mergeCell ref="F45:G46"/>
    <mergeCell ref="G36:H37"/>
    <mergeCell ref="I36:I37"/>
    <mergeCell ref="B38:C38"/>
    <mergeCell ref="B39:C39"/>
    <mergeCell ref="G39:H39"/>
    <mergeCell ref="A30:C30"/>
    <mergeCell ref="B36:C37"/>
    <mergeCell ref="D36:D37"/>
    <mergeCell ref="A16:B16"/>
    <mergeCell ref="A17:B17"/>
    <mergeCell ref="A18:B18"/>
    <mergeCell ref="A19:B19"/>
    <mergeCell ref="A22:C22"/>
    <mergeCell ref="A24:B24"/>
    <mergeCell ref="A13:C13"/>
    <mergeCell ref="A15:B15"/>
    <mergeCell ref="C7:G7"/>
    <mergeCell ref="A8:B9"/>
    <mergeCell ref="C8:D8"/>
    <mergeCell ref="G8:G9"/>
    <mergeCell ref="A25:B25"/>
    <mergeCell ref="A26:B26"/>
    <mergeCell ref="A27:B27"/>
    <mergeCell ref="H8:H9"/>
    <mergeCell ref="C9:D9"/>
    <mergeCell ref="C1:G1"/>
    <mergeCell ref="C2:G2"/>
    <mergeCell ref="C3:G3"/>
    <mergeCell ref="C4:G4"/>
    <mergeCell ref="C5:G5"/>
    <mergeCell ref="C6:G6"/>
    <mergeCell ref="A10:B11"/>
    <mergeCell ref="C10:C11"/>
    <mergeCell ref="F10:G10"/>
    <mergeCell ref="F11:G11"/>
  </mergeCells>
  <dataValidations count="2">
    <dataValidation type="list" allowBlank="1" showInputMessage="1" showErrorMessage="1" sqref="H8:H9" xr:uid="{9AD6886A-91ED-4C10-AE2D-80D648145CFC}">
      <formula1>$K$3:$K$5</formula1>
    </dataValidation>
    <dataValidation type="list" allowBlank="1" showInputMessage="1" showErrorMessage="1" sqref="Q5" xr:uid="{1CE647E7-EB8A-4DC0-9FFC-0FADFDA02AD1}">
      <formula1>$K$8:$K$9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utoCAD.Drawing.17" shapeId="3073" r:id="rId3">
          <objectPr defaultSize="0" autoPict="0" r:id="rId4">
            <anchor moveWithCells="1" sizeWithCells="1">
              <from>
                <xdr:col>4</xdr:col>
                <xdr:colOff>121920</xdr:colOff>
                <xdr:row>21</xdr:row>
                <xdr:rowOff>22860</xdr:rowOff>
              </from>
              <to>
                <xdr:col>8</xdr:col>
                <xdr:colOff>518160</xdr:colOff>
                <xdr:row>31</xdr:row>
                <xdr:rowOff>30480</xdr:rowOff>
              </to>
            </anchor>
          </objectPr>
        </oleObject>
      </mc:Choice>
      <mc:Fallback>
        <oleObject progId="AutoCAD.Drawing.17" shapeId="3073" r:id="rId3"/>
      </mc:Fallback>
    </mc:AlternateContent>
    <mc:AlternateContent xmlns:mc="http://schemas.openxmlformats.org/markup-compatibility/2006">
      <mc:Choice Requires="x14">
        <oleObject progId="AutoCAD.Drawing.17" shapeId="3074" r:id="rId5">
          <objectPr defaultSize="0" autoPict="0" r:id="rId6">
            <anchor moveWithCells="1" sizeWithCells="1">
              <from>
                <xdr:col>20</xdr:col>
                <xdr:colOff>60960</xdr:colOff>
                <xdr:row>40</xdr:row>
                <xdr:rowOff>60960</xdr:rowOff>
              </from>
              <to>
                <xdr:col>23</xdr:col>
                <xdr:colOff>228600</xdr:colOff>
                <xdr:row>50</xdr:row>
                <xdr:rowOff>60960</xdr:rowOff>
              </to>
            </anchor>
          </objectPr>
        </oleObject>
      </mc:Choice>
      <mc:Fallback>
        <oleObject progId="AutoCAD.Drawing.17" shapeId="3074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55BD-3327-494E-B7F7-0A9768723919}">
  <dimension ref="A1:AH134"/>
  <sheetViews>
    <sheetView topLeftCell="E1" zoomScale="70" zoomScaleNormal="70" workbookViewId="0">
      <selection activeCell="AF50" sqref="AF50"/>
    </sheetView>
  </sheetViews>
  <sheetFormatPr defaultColWidth="8.88671875" defaultRowHeight="14.4"/>
  <cols>
    <col min="1" max="2" width="8.88671875" style="66"/>
    <col min="3" max="3" width="15.6640625" style="66" bestFit="1" customWidth="1"/>
    <col min="4" max="6" width="9" style="66" bestFit="1" customWidth="1"/>
    <col min="7" max="7" width="14.33203125" style="66" bestFit="1" customWidth="1"/>
    <col min="8" max="8" width="9" style="66" bestFit="1" customWidth="1"/>
    <col min="9" max="9" width="8.44140625" style="66" bestFit="1" customWidth="1"/>
    <col min="10" max="10" width="11.44140625" style="66" bestFit="1" customWidth="1"/>
    <col min="11" max="11" width="14.109375" style="66" customWidth="1"/>
    <col min="12" max="12" width="15.6640625" style="66" customWidth="1"/>
    <col min="13" max="13" width="12.6640625" style="66" bestFit="1" customWidth="1"/>
    <col min="14" max="16" width="8.88671875" style="66"/>
    <col min="17" max="17" width="13.6640625" style="66" customWidth="1"/>
    <col min="18" max="23" width="8.88671875" style="66"/>
    <col min="24" max="24" width="11.5546875" style="66" customWidth="1"/>
    <col min="25" max="25" width="10.88671875" style="66" customWidth="1"/>
    <col min="26" max="26" width="14.109375" style="66" customWidth="1"/>
    <col min="27" max="16384" width="8.88671875" style="66"/>
  </cols>
  <sheetData>
    <row r="1" spans="1:26" ht="18">
      <c r="A1" s="64"/>
      <c r="B1" s="64"/>
      <c r="C1" s="126" t="s">
        <v>29</v>
      </c>
      <c r="D1" s="126"/>
      <c r="E1" s="126"/>
      <c r="F1" s="126"/>
      <c r="G1" s="126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6" ht="18">
      <c r="A2" s="64"/>
      <c r="B2" s="64"/>
      <c r="C2" s="126" t="s">
        <v>30</v>
      </c>
      <c r="D2" s="126"/>
      <c r="E2" s="126"/>
      <c r="F2" s="126"/>
      <c r="G2" s="126"/>
      <c r="H2" s="64"/>
      <c r="I2" s="64"/>
      <c r="J2" s="64"/>
      <c r="K2" s="64"/>
      <c r="L2" s="64"/>
      <c r="M2" s="64"/>
      <c r="N2" s="64"/>
      <c r="O2" s="136" t="s">
        <v>75</v>
      </c>
      <c r="P2" s="130"/>
      <c r="Q2" s="130"/>
      <c r="R2" s="64"/>
      <c r="S2" s="64"/>
      <c r="T2" s="64"/>
      <c r="U2" s="64"/>
      <c r="V2" s="64"/>
      <c r="W2" s="64"/>
      <c r="X2" s="64"/>
      <c r="Y2" s="64"/>
      <c r="Z2" s="64"/>
    </row>
    <row r="3" spans="1:26" ht="18">
      <c r="A3" s="64"/>
      <c r="B3" s="64"/>
      <c r="C3" s="126" t="s">
        <v>31</v>
      </c>
      <c r="D3" s="126"/>
      <c r="E3" s="126"/>
      <c r="F3" s="126"/>
      <c r="G3" s="126"/>
      <c r="H3" s="64"/>
      <c r="I3" s="64"/>
      <c r="J3" s="64"/>
      <c r="K3" s="64">
        <v>37</v>
      </c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20.399999999999999">
      <c r="A4" s="64"/>
      <c r="B4" s="64"/>
      <c r="C4" s="126" t="s">
        <v>32</v>
      </c>
      <c r="D4" s="126"/>
      <c r="E4" s="126"/>
      <c r="F4" s="126"/>
      <c r="G4" s="126"/>
      <c r="H4" s="64"/>
      <c r="I4" s="64"/>
      <c r="J4" s="64"/>
      <c r="K4" s="64">
        <v>44</v>
      </c>
      <c r="L4" s="64"/>
      <c r="M4" s="64"/>
      <c r="N4" s="64"/>
      <c r="O4" s="139" t="s">
        <v>76</v>
      </c>
      <c r="P4" s="139"/>
      <c r="Q4" s="70">
        <f>(C24*C25)+(2*(C26*C27))</f>
        <v>184</v>
      </c>
      <c r="R4" s="81" t="s">
        <v>77</v>
      </c>
      <c r="S4" s="64"/>
      <c r="T4" s="64"/>
      <c r="U4" s="64"/>
      <c r="V4" s="64"/>
      <c r="W4" s="64"/>
      <c r="X4" s="64"/>
      <c r="Y4" s="64"/>
      <c r="Z4" s="64"/>
    </row>
    <row r="5" spans="1:26" ht="20.399999999999999">
      <c r="A5" s="64"/>
      <c r="B5" s="64"/>
      <c r="C5" s="126" t="s">
        <v>33</v>
      </c>
      <c r="D5" s="126"/>
      <c r="E5" s="126"/>
      <c r="F5" s="126"/>
      <c r="G5" s="126"/>
      <c r="H5" s="64"/>
      <c r="I5" s="64"/>
      <c r="J5" s="64"/>
      <c r="K5" s="64">
        <v>52</v>
      </c>
      <c r="L5" s="64"/>
      <c r="M5" s="64"/>
      <c r="N5" s="64"/>
      <c r="O5" s="140" t="s">
        <v>78</v>
      </c>
      <c r="P5" s="139"/>
      <c r="Q5" s="70">
        <f>ROUND(((C25*(C33)^3)/12)+2*(((C26*(C27)^3)/12)+(C26*C27*((C33/2)+(C27/2))^2)),2)</f>
        <v>211825.07</v>
      </c>
      <c r="R5" s="81" t="s">
        <v>79</v>
      </c>
      <c r="S5" s="64"/>
      <c r="T5" s="64"/>
      <c r="U5" s="64"/>
      <c r="V5" s="64"/>
      <c r="W5" s="64"/>
      <c r="X5" s="64"/>
      <c r="Y5" s="64"/>
      <c r="Z5" s="64"/>
    </row>
    <row r="6" spans="1:26" ht="20.399999999999999">
      <c r="A6" s="64"/>
      <c r="B6" s="64"/>
      <c r="C6" s="126" t="s">
        <v>34</v>
      </c>
      <c r="D6" s="126"/>
      <c r="E6" s="126"/>
      <c r="F6" s="126"/>
      <c r="G6" s="126"/>
      <c r="H6" s="64"/>
      <c r="I6" s="64"/>
      <c r="J6" s="64"/>
      <c r="K6" s="64"/>
      <c r="L6" s="64"/>
      <c r="M6" s="64"/>
      <c r="N6" s="64"/>
      <c r="O6" s="141" t="s">
        <v>80</v>
      </c>
      <c r="P6" s="141"/>
      <c r="Q6" s="70">
        <f>ROUND(((C33*(C25)^3)/12)+2*((C27*(C26)^3)/12),2)</f>
        <v>9003.24</v>
      </c>
      <c r="R6" s="81" t="s">
        <v>79</v>
      </c>
      <c r="S6" s="64"/>
      <c r="T6" s="64"/>
      <c r="U6" s="64"/>
      <c r="V6" s="64"/>
      <c r="W6" s="64"/>
      <c r="X6" s="64"/>
      <c r="Y6" s="64"/>
      <c r="Z6" s="64"/>
    </row>
    <row r="7" spans="1:26" ht="21" thickBot="1">
      <c r="A7" s="67"/>
      <c r="B7" s="67"/>
      <c r="C7" s="131"/>
      <c r="D7" s="132"/>
      <c r="E7" s="132"/>
      <c r="F7" s="132"/>
      <c r="G7" s="132"/>
      <c r="H7" s="67"/>
      <c r="I7" s="67"/>
      <c r="J7" s="64"/>
      <c r="K7" s="64"/>
      <c r="L7" s="64"/>
      <c r="M7" s="64"/>
      <c r="N7" s="64"/>
      <c r="O7" s="141" t="s">
        <v>81</v>
      </c>
      <c r="P7" s="141"/>
      <c r="Q7" s="70">
        <f>ROUND(Q5/(C24/2),2)</f>
        <v>5295.63</v>
      </c>
      <c r="R7" s="81" t="s">
        <v>82</v>
      </c>
      <c r="S7" s="64"/>
      <c r="T7" s="64"/>
      <c r="U7" s="64"/>
      <c r="V7" s="64"/>
      <c r="W7" s="64"/>
      <c r="X7" s="64"/>
      <c r="Y7" s="64"/>
      <c r="Z7" s="64"/>
    </row>
    <row r="8" spans="1:26" ht="21" thickTop="1">
      <c r="A8" s="133" t="s">
        <v>35</v>
      </c>
      <c r="B8" s="134"/>
      <c r="C8" s="125" t="s">
        <v>36</v>
      </c>
      <c r="D8" s="125"/>
      <c r="E8" s="68"/>
      <c r="F8" s="68"/>
      <c r="G8" s="136" t="s">
        <v>37</v>
      </c>
      <c r="H8" s="123">
        <v>37</v>
      </c>
      <c r="I8" s="64"/>
      <c r="J8" s="64"/>
      <c r="K8" s="64" t="s">
        <v>38</v>
      </c>
      <c r="L8" s="64"/>
      <c r="M8" s="64"/>
      <c r="N8" s="64"/>
      <c r="O8" s="141" t="s">
        <v>83</v>
      </c>
      <c r="P8" s="141"/>
      <c r="Q8" s="70">
        <f>ROUND(Q6/(C26/2),2)</f>
        <v>600.22</v>
      </c>
      <c r="R8" s="81" t="s">
        <v>82</v>
      </c>
      <c r="S8" s="64"/>
      <c r="T8" s="64"/>
      <c r="U8" s="64"/>
      <c r="V8" s="64"/>
      <c r="W8" s="64"/>
      <c r="X8" s="64"/>
      <c r="Y8" s="64"/>
      <c r="Z8" s="64"/>
    </row>
    <row r="9" spans="1:26" ht="18">
      <c r="A9" s="135"/>
      <c r="B9" s="135"/>
      <c r="C9" s="125"/>
      <c r="D9" s="125"/>
      <c r="E9" s="68"/>
      <c r="F9" s="68"/>
      <c r="G9" s="126"/>
      <c r="H9" s="124"/>
      <c r="I9" s="64"/>
      <c r="J9" s="64"/>
      <c r="K9" s="64" t="s">
        <v>39</v>
      </c>
      <c r="L9" s="64"/>
      <c r="M9" s="64"/>
      <c r="N9" s="64"/>
      <c r="O9" s="82"/>
      <c r="P9" s="82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20.399999999999999">
      <c r="A10" s="127" t="s">
        <v>40</v>
      </c>
      <c r="B10" s="128"/>
      <c r="C10" s="125" t="s">
        <v>27</v>
      </c>
      <c r="D10" s="68"/>
      <c r="E10" s="64"/>
      <c r="F10" s="129" t="s">
        <v>41</v>
      </c>
      <c r="G10" s="129"/>
      <c r="H10" s="70">
        <f>IF(H8=37,2.4,IF(H8=44,2.8,3.6))</f>
        <v>2.4</v>
      </c>
      <c r="I10" s="71" t="s">
        <v>42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20.399999999999999">
      <c r="A11" s="128"/>
      <c r="B11" s="128"/>
      <c r="C11" s="125"/>
      <c r="D11" s="68"/>
      <c r="E11" s="64"/>
      <c r="F11" s="129" t="s">
        <v>43</v>
      </c>
      <c r="G11" s="129"/>
      <c r="H11" s="70">
        <f>IF(H8=37,3.7,IF(H8=44,4.4,5.2))</f>
        <v>3.7</v>
      </c>
      <c r="I11" s="71" t="s">
        <v>42</v>
      </c>
      <c r="J11" s="64"/>
      <c r="K11" s="64"/>
      <c r="L11" s="64"/>
      <c r="M11" s="64"/>
      <c r="N11" s="64"/>
      <c r="O11" s="136" t="s">
        <v>84</v>
      </c>
      <c r="P11" s="130"/>
      <c r="Q11" s="130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8">
      <c r="A12" s="64"/>
      <c r="B12" s="64"/>
      <c r="C12" s="72" t="s">
        <v>158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8"/>
      <c r="P12" s="68"/>
      <c r="Q12" s="68"/>
      <c r="R12" s="68"/>
      <c r="S12" s="64"/>
      <c r="T12" s="64"/>
      <c r="U12" s="64"/>
      <c r="V12" s="64"/>
      <c r="W12" s="64"/>
      <c r="X12" s="64"/>
      <c r="Y12" s="64"/>
      <c r="Z12" s="64"/>
    </row>
    <row r="13" spans="1:26" ht="18">
      <c r="A13" s="127" t="s">
        <v>45</v>
      </c>
      <c r="B13" s="128"/>
      <c r="C13" s="128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139" t="s">
        <v>85</v>
      </c>
      <c r="P13" s="139"/>
      <c r="Q13" s="73">
        <v>1705</v>
      </c>
      <c r="R13" s="71" t="s">
        <v>53</v>
      </c>
      <c r="S13" s="64"/>
      <c r="T13" s="64"/>
      <c r="U13" s="64"/>
      <c r="V13" s="64"/>
      <c r="W13" s="64"/>
      <c r="X13" s="64"/>
      <c r="Y13" s="64"/>
      <c r="Z13" s="64"/>
    </row>
    <row r="14" spans="1:26" ht="18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155" t="s">
        <v>86</v>
      </c>
      <c r="P14" s="155"/>
      <c r="Q14" s="79" t="s">
        <v>39</v>
      </c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8.600000000000001" thickBot="1">
      <c r="A15" s="130"/>
      <c r="B15" s="130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139" t="s">
        <v>87</v>
      </c>
      <c r="P15" s="139"/>
      <c r="Q15" s="70">
        <v>10</v>
      </c>
      <c r="R15" s="64"/>
      <c r="S15" s="68"/>
      <c r="T15" s="126" t="s">
        <v>88</v>
      </c>
      <c r="U15" s="126"/>
      <c r="V15" s="68"/>
      <c r="W15" s="64"/>
      <c r="X15" s="64"/>
      <c r="Y15" s="64"/>
      <c r="Z15" s="64"/>
    </row>
    <row r="16" spans="1:26" ht="18">
      <c r="A16" s="130"/>
      <c r="B16" s="130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139" t="s">
        <v>93</v>
      </c>
      <c r="P16" s="139"/>
      <c r="Q16" s="71">
        <f>ROUND((Q5/Q13)/(Y19/Y18+Z19/Z18),2)</f>
        <v>2.29</v>
      </c>
      <c r="R16" s="64"/>
      <c r="S16" s="64"/>
      <c r="T16" s="64"/>
      <c r="U16" s="64"/>
      <c r="V16" s="64"/>
      <c r="W16" s="64"/>
      <c r="X16" s="171" t="s">
        <v>159</v>
      </c>
      <c r="Y16" s="172"/>
      <c r="Z16" s="173"/>
    </row>
    <row r="17" spans="1:26" ht="20.399999999999999">
      <c r="A17" s="139" t="s">
        <v>157</v>
      </c>
      <c r="B17" s="139"/>
      <c r="C17" s="73">
        <v>108.75431</v>
      </c>
      <c r="D17" s="71" t="s">
        <v>47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139" t="s">
        <v>94</v>
      </c>
      <c r="P17" s="139"/>
      <c r="Q17" s="73">
        <v>2.2000000000000002</v>
      </c>
      <c r="R17" s="64"/>
      <c r="S17" s="126" t="s">
        <v>95</v>
      </c>
      <c r="T17" s="126"/>
      <c r="U17" s="126"/>
      <c r="V17" s="126"/>
      <c r="W17" s="68"/>
      <c r="X17" s="92"/>
      <c r="Y17" s="71" t="s">
        <v>160</v>
      </c>
      <c r="Z17" s="93" t="s">
        <v>161</v>
      </c>
    </row>
    <row r="18" spans="1:26" ht="18">
      <c r="A18" s="139" t="s">
        <v>48</v>
      </c>
      <c r="B18" s="139"/>
      <c r="C18" s="73">
        <v>13.525700000000001</v>
      </c>
      <c r="D18" s="71" t="s">
        <v>49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94" t="s">
        <v>162</v>
      </c>
      <c r="Y18" s="73">
        <v>600</v>
      </c>
      <c r="Z18" s="95">
        <v>600</v>
      </c>
    </row>
    <row r="19" spans="1:26" ht="21" thickBot="1">
      <c r="A19" s="139" t="s">
        <v>50</v>
      </c>
      <c r="B19" s="139"/>
      <c r="C19" s="73">
        <v>50.983499999999999</v>
      </c>
      <c r="D19" s="71" t="s">
        <v>49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139" t="s">
        <v>96</v>
      </c>
      <c r="P19" s="139"/>
      <c r="Q19" s="70">
        <f>ROUND(Q17*Q13,2)</f>
        <v>3751</v>
      </c>
      <c r="R19" s="71" t="s">
        <v>53</v>
      </c>
      <c r="S19" s="64"/>
      <c r="T19" s="64"/>
      <c r="U19" s="64"/>
      <c r="V19" s="64"/>
      <c r="W19" s="64"/>
      <c r="X19" s="96" t="s">
        <v>163</v>
      </c>
      <c r="Y19" s="97">
        <v>16270</v>
      </c>
      <c r="Z19" s="98">
        <v>16270</v>
      </c>
    </row>
    <row r="20" spans="1:26" ht="18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139" t="s">
        <v>97</v>
      </c>
      <c r="P20" s="139"/>
      <c r="Q20" s="73">
        <v>5001</v>
      </c>
      <c r="R20" s="71" t="s">
        <v>53</v>
      </c>
      <c r="S20" s="158" t="s">
        <v>98</v>
      </c>
      <c r="T20" s="126"/>
      <c r="U20" s="126"/>
      <c r="V20" s="126"/>
      <c r="W20" s="64"/>
      <c r="X20" s="64"/>
      <c r="Y20" s="64"/>
      <c r="Z20" s="64"/>
    </row>
    <row r="21" spans="1:26" ht="18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130"/>
      <c r="P21" s="130"/>
      <c r="Q21" s="69"/>
      <c r="R21" s="64"/>
      <c r="S21" s="64"/>
      <c r="T21" s="64"/>
      <c r="U21" s="64"/>
      <c r="V21" s="64"/>
      <c r="W21" s="68"/>
      <c r="X21" s="68"/>
      <c r="Y21" s="68"/>
      <c r="Z21" s="68"/>
    </row>
    <row r="22" spans="1:26" ht="18">
      <c r="A22" s="127" t="s">
        <v>51</v>
      </c>
      <c r="B22" s="128"/>
      <c r="C22" s="128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164" t="s">
        <v>129</v>
      </c>
      <c r="P22" s="164"/>
      <c r="Q22" s="164"/>
      <c r="R22" s="165" t="s">
        <v>130</v>
      </c>
      <c r="S22" s="165"/>
      <c r="T22" s="165"/>
      <c r="U22" s="88"/>
      <c r="V22" s="88"/>
      <c r="W22" s="88"/>
    </row>
    <row r="23" spans="1:26" ht="18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88"/>
      <c r="P23" s="88"/>
      <c r="Q23" s="88"/>
      <c r="R23" s="88"/>
      <c r="S23" s="88"/>
      <c r="T23" s="88"/>
      <c r="U23" s="88"/>
      <c r="V23" s="88"/>
      <c r="W23" s="88"/>
    </row>
    <row r="24" spans="1:26" ht="18">
      <c r="A24" s="139" t="s">
        <v>52</v>
      </c>
      <c r="B24" s="139"/>
      <c r="C24" s="73">
        <v>80</v>
      </c>
      <c r="D24" s="71" t="s">
        <v>53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88"/>
      <c r="P24" s="88"/>
      <c r="Q24" s="156" t="s">
        <v>132</v>
      </c>
      <c r="R24" s="156"/>
      <c r="S24" s="89">
        <f>ROUND(IF(H42="compact",(T59-(((T59-ROUND(H10*Q7,2)))*((MAX(D36,I36)-I38)/(I39-I38))))*0.01,"-"),2)</f>
        <v>1307.55</v>
      </c>
      <c r="T24" s="88" t="s">
        <v>47</v>
      </c>
      <c r="U24" s="90" t="s">
        <v>133</v>
      </c>
      <c r="V24" s="89"/>
      <c r="W24" s="88"/>
    </row>
    <row r="25" spans="1:26" ht="20.399999999999999">
      <c r="A25" s="137" t="s">
        <v>54</v>
      </c>
      <c r="B25" s="138"/>
      <c r="C25" s="73">
        <v>0.8</v>
      </c>
      <c r="D25" s="71" t="s">
        <v>53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88"/>
      <c r="P25" s="88"/>
      <c r="Q25" s="156" t="s">
        <v>134</v>
      </c>
      <c r="R25" s="156"/>
      <c r="S25" s="89">
        <f>IF(ROUND((T59-((T59-(ROUND(S55*Q7*0.01,2)))*((D36-D38)/(D39-D38)))),2)&lt;=T59,ROUND((T59-((T59-(ROUND(S55*Q7*0.01,2)))*((D36-D38)/(D39-D38)))),2),T59)</f>
        <v>121.91</v>
      </c>
      <c r="T25" s="88" t="s">
        <v>47</v>
      </c>
      <c r="U25" s="90" t="s">
        <v>135</v>
      </c>
      <c r="V25" s="89"/>
      <c r="W25" s="88"/>
    </row>
    <row r="26" spans="1:26" ht="20.399999999999999">
      <c r="A26" s="137" t="s">
        <v>55</v>
      </c>
      <c r="B26" s="138"/>
      <c r="C26" s="73">
        <v>30</v>
      </c>
      <c r="D26" s="71" t="s">
        <v>53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88"/>
      <c r="P26" s="88"/>
      <c r="Q26" s="156" t="s">
        <v>137</v>
      </c>
      <c r="R26" s="156"/>
      <c r="S26" s="89">
        <f>MIN(S24,S25)</f>
        <v>121.91</v>
      </c>
      <c r="T26" s="88" t="s">
        <v>47</v>
      </c>
      <c r="U26" s="88"/>
      <c r="V26" s="88"/>
      <c r="W26" s="88"/>
    </row>
    <row r="27" spans="1:26" ht="20.399999999999999">
      <c r="A27" s="137" t="s">
        <v>56</v>
      </c>
      <c r="B27" s="138"/>
      <c r="C27" s="73">
        <v>2</v>
      </c>
      <c r="D27" s="71" t="s">
        <v>53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88"/>
      <c r="P27" s="88"/>
      <c r="Q27" s="88"/>
      <c r="R27" s="88"/>
      <c r="S27" s="88"/>
      <c r="T27" s="88"/>
      <c r="U27" s="88"/>
      <c r="V27" s="88"/>
      <c r="W27" s="88"/>
    </row>
    <row r="28" spans="1:26" ht="20.399999999999999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88"/>
      <c r="P28" s="88"/>
      <c r="Q28" s="156" t="s">
        <v>140</v>
      </c>
      <c r="R28" s="156"/>
      <c r="S28" s="89">
        <f>ROUND(S48+((S56-S48)*((T59-S26)/(T59-ROUND(S55*Q7*0.01,2)))),2)</f>
        <v>589.75</v>
      </c>
      <c r="T28" s="88" t="s">
        <v>53</v>
      </c>
      <c r="U28" s="88"/>
      <c r="V28" s="91"/>
      <c r="W28" s="91"/>
    </row>
    <row r="29" spans="1:26" ht="18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88"/>
      <c r="P29" s="88"/>
      <c r="Q29" s="88"/>
      <c r="R29" s="88"/>
      <c r="S29" s="88"/>
      <c r="T29" s="88"/>
      <c r="U29" s="88"/>
      <c r="V29" s="88"/>
      <c r="W29" s="88"/>
    </row>
    <row r="30" spans="1:26" ht="18">
      <c r="A30" s="127" t="s">
        <v>57</v>
      </c>
      <c r="B30" s="128"/>
      <c r="C30" s="128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88"/>
      <c r="P30" s="88"/>
      <c r="Q30" s="88"/>
      <c r="R30" s="88"/>
      <c r="S30" s="88"/>
      <c r="T30" s="88"/>
      <c r="U30" s="88"/>
      <c r="V30" s="88"/>
      <c r="W30" s="88"/>
    </row>
    <row r="31" spans="1:26" ht="18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88"/>
      <c r="P31" s="166" t="str">
        <f>IF(C70&lt;=S28,"Case ( a )",IF(AND(S28&lt;C70,C70&lt;=S56),"case ( b )","Case ( C )"))</f>
        <v>Case ( a )</v>
      </c>
      <c r="Q31" s="166"/>
      <c r="R31" s="88"/>
      <c r="S31" s="88"/>
      <c r="T31" s="88"/>
      <c r="U31" s="88"/>
      <c r="V31" s="88"/>
      <c r="W31" s="88"/>
    </row>
    <row r="32" spans="1:26" ht="18">
      <c r="A32" s="64"/>
      <c r="B32" s="75" t="s">
        <v>58</v>
      </c>
      <c r="C32" s="64"/>
      <c r="D32" s="64"/>
      <c r="E32" s="64"/>
      <c r="F32" s="68"/>
      <c r="G32" s="75" t="s">
        <v>59</v>
      </c>
      <c r="H32" s="75"/>
      <c r="I32" s="64"/>
      <c r="J32" s="64"/>
      <c r="K32" s="64"/>
      <c r="L32" s="64"/>
      <c r="M32" s="64"/>
      <c r="N32" s="64"/>
      <c r="O32" s="88"/>
      <c r="P32" s="166"/>
      <c r="Q32" s="166"/>
      <c r="R32" s="88"/>
      <c r="S32" s="88"/>
      <c r="T32" s="88"/>
      <c r="U32" s="88"/>
      <c r="V32" s="88"/>
      <c r="W32" s="88"/>
    </row>
    <row r="33" spans="1:34" ht="20.399999999999999">
      <c r="A33" s="64"/>
      <c r="B33" s="71" t="s">
        <v>60</v>
      </c>
      <c r="C33" s="70">
        <f>C24-(2*C27)</f>
        <v>76</v>
      </c>
      <c r="D33" s="71" t="s">
        <v>53</v>
      </c>
      <c r="E33" s="64"/>
      <c r="F33" s="64"/>
      <c r="G33" s="71" t="s">
        <v>61</v>
      </c>
      <c r="H33" s="70">
        <f>(C26/2)</f>
        <v>15</v>
      </c>
      <c r="I33" s="71" t="s">
        <v>53</v>
      </c>
      <c r="J33" s="64"/>
      <c r="K33" s="76" t="s">
        <v>62</v>
      </c>
      <c r="L33" s="71">
        <f>ROUND(0.5*(C18/(C33*C34*H10)+1),2)</f>
        <v>0.55000000000000004</v>
      </c>
      <c r="N33" s="64"/>
      <c r="O33" s="88"/>
      <c r="P33" s="88"/>
      <c r="Q33" s="88"/>
      <c r="R33" s="88"/>
      <c r="S33" s="88"/>
      <c r="T33" s="88"/>
      <c r="U33" s="88"/>
      <c r="V33" s="88"/>
      <c r="W33" s="88"/>
    </row>
    <row r="34" spans="1:34" ht="20.399999999999999">
      <c r="A34" s="64"/>
      <c r="B34" s="71" t="s">
        <v>54</v>
      </c>
      <c r="C34" s="70">
        <f>C25</f>
        <v>0.8</v>
      </c>
      <c r="D34" s="71" t="s">
        <v>53</v>
      </c>
      <c r="E34" s="64"/>
      <c r="F34" s="64"/>
      <c r="G34" s="71" t="s">
        <v>56</v>
      </c>
      <c r="H34" s="70">
        <f>C27</f>
        <v>2</v>
      </c>
      <c r="I34" s="71" t="s">
        <v>53</v>
      </c>
      <c r="J34" s="64"/>
      <c r="K34" s="64"/>
      <c r="L34" s="64"/>
      <c r="M34" s="64"/>
      <c r="N34" s="64"/>
      <c r="O34" s="88"/>
      <c r="P34" s="88"/>
      <c r="Q34" s="88"/>
      <c r="R34" s="88"/>
      <c r="S34" s="88"/>
      <c r="T34" s="88"/>
      <c r="U34" s="88"/>
      <c r="V34" s="88"/>
      <c r="W34" s="88"/>
    </row>
    <row r="35" spans="1:34" ht="20.399999999999999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168" t="s">
        <v>116</v>
      </c>
      <c r="P35" s="168"/>
      <c r="Q35" s="156" t="s">
        <v>117</v>
      </c>
      <c r="R35" s="156"/>
      <c r="S35" s="88">
        <v>0.6</v>
      </c>
      <c r="T35" s="88"/>
      <c r="U35" s="88"/>
      <c r="V35" s="88"/>
      <c r="W35" s="88"/>
    </row>
    <row r="36" spans="1:34" ht="18">
      <c r="A36" s="64"/>
      <c r="B36" s="146" t="s">
        <v>63</v>
      </c>
      <c r="C36" s="147"/>
      <c r="D36" s="150">
        <f>ROUND(C33/C34,2)</f>
        <v>95</v>
      </c>
      <c r="E36" s="64"/>
      <c r="F36" s="64"/>
      <c r="G36" s="146" t="s">
        <v>63</v>
      </c>
      <c r="H36" s="147"/>
      <c r="I36" s="150">
        <f>ROUND(L33*H33/H34,2)</f>
        <v>4.13</v>
      </c>
      <c r="J36" s="64"/>
      <c r="K36" s="64"/>
      <c r="L36" s="64"/>
      <c r="M36" s="64"/>
      <c r="N36" s="64"/>
      <c r="O36" s="168" t="s">
        <v>119</v>
      </c>
      <c r="P36" s="168"/>
      <c r="Q36" s="156" t="s">
        <v>120</v>
      </c>
      <c r="R36" s="156"/>
      <c r="S36" s="89" t="str">
        <f>IF(P31="Case ( b )",ROUND(S55*Q7*0.01,2),"-")</f>
        <v>-</v>
      </c>
      <c r="T36" s="88"/>
      <c r="U36" s="88"/>
      <c r="V36" s="88"/>
      <c r="W36" s="88"/>
    </row>
    <row r="37" spans="1:34" ht="18">
      <c r="A37" s="78" t="s">
        <v>64</v>
      </c>
      <c r="B37" s="148"/>
      <c r="C37" s="149"/>
      <c r="D37" s="151"/>
      <c r="E37" s="64"/>
      <c r="F37" s="65" t="s">
        <v>65</v>
      </c>
      <c r="G37" s="148"/>
      <c r="H37" s="149"/>
      <c r="I37" s="151"/>
      <c r="J37" s="64"/>
      <c r="K37" s="64"/>
      <c r="L37" s="64"/>
      <c r="M37" s="64"/>
      <c r="N37" s="64"/>
      <c r="O37" s="168" t="s">
        <v>122</v>
      </c>
      <c r="P37" s="168"/>
      <c r="Q37" s="156" t="s">
        <v>123</v>
      </c>
      <c r="R37" s="156"/>
      <c r="S37" s="89" t="str">
        <f>IF(P31="Case ( C )",ROUND(Q7*SQRT((((1380*S53)/(C24*C70))^2)+((20700/((C70/S52)^2))^2))*0.01,2),"-")</f>
        <v>-</v>
      </c>
      <c r="T37" s="88"/>
      <c r="U37" s="88"/>
      <c r="V37" s="88"/>
      <c r="W37" s="88"/>
    </row>
    <row r="38" spans="1:34" ht="18">
      <c r="A38" s="78" t="s">
        <v>66</v>
      </c>
      <c r="B38" s="152" t="s">
        <v>67</v>
      </c>
      <c r="C38" s="153"/>
      <c r="D38" s="70">
        <f>ROUND(IF(L33&gt;0.5,699/SQRT(H10)/(13*L33-1),63.6/L33/SQRT(H10)),2)</f>
        <v>73.37</v>
      </c>
      <c r="E38" s="64"/>
      <c r="F38" s="65" t="s">
        <v>68</v>
      </c>
      <c r="G38" s="152" t="s">
        <v>69</v>
      </c>
      <c r="H38" s="153"/>
      <c r="I38" s="70">
        <f>ROUND(15.3/SQRT(H10),2)</f>
        <v>9.8800000000000008</v>
      </c>
      <c r="J38" s="64"/>
      <c r="K38" s="64"/>
      <c r="L38" s="64"/>
      <c r="M38" s="64"/>
      <c r="N38" s="64"/>
      <c r="O38" s="88"/>
      <c r="P38" s="88"/>
      <c r="Q38" s="88"/>
      <c r="R38" s="88"/>
      <c r="S38" s="88"/>
      <c r="T38" s="88"/>
      <c r="U38" s="88"/>
      <c r="V38" s="88"/>
      <c r="W38" s="88"/>
    </row>
    <row r="39" spans="1:34" ht="20.399999999999999">
      <c r="A39" s="65" t="s">
        <v>70</v>
      </c>
      <c r="B39" s="154" t="s">
        <v>71</v>
      </c>
      <c r="C39" s="139"/>
      <c r="D39" s="70">
        <f>ROUND(222/SQRT(H10),2)</f>
        <v>143.30000000000001</v>
      </c>
      <c r="E39" s="64"/>
      <c r="F39" s="65" t="s">
        <v>72</v>
      </c>
      <c r="G39" s="154" t="s">
        <v>71</v>
      </c>
      <c r="H39" s="139"/>
      <c r="I39" s="70">
        <f>ROUND(28/SQRT(H10),2)</f>
        <v>18.07</v>
      </c>
      <c r="J39" s="64"/>
      <c r="K39" s="64"/>
      <c r="L39" s="64"/>
      <c r="M39" s="64"/>
      <c r="N39" s="64"/>
      <c r="O39" s="168" t="s">
        <v>135</v>
      </c>
      <c r="P39" s="168"/>
      <c r="Q39" s="156" t="s">
        <v>124</v>
      </c>
      <c r="R39" s="156"/>
      <c r="S39" s="89">
        <f>IF(IF(P31="Case ( a )",S26,IF(P31="Case ( b )",ROUND((T59-((T59-S36)*((C70-S48)/(S56-S48))))*S35,2),ROUND(S64*S35,2)))&lt;=T59,IF(P31="Case ( a )",S26,IF(P31="Case ( b )",ROUND((T59-((T59-S36)*((C70-S48)/(S56-S48))))*S35,2),ROUND(S64*S35,2))),T59)</f>
        <v>121.91</v>
      </c>
      <c r="T39" s="88" t="s">
        <v>47</v>
      </c>
      <c r="U39" s="88"/>
      <c r="V39" s="88"/>
      <c r="W39" s="88"/>
    </row>
    <row r="40" spans="1:34" ht="1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88"/>
      <c r="P40" s="88"/>
      <c r="Q40" s="169" t="s">
        <v>125</v>
      </c>
      <c r="R40" s="156"/>
      <c r="S40" s="88">
        <v>0.85</v>
      </c>
      <c r="T40" s="88"/>
      <c r="U40" s="88"/>
      <c r="V40" s="168" t="str">
        <f>IF(S41&gt;MAX(C15,C16,C17),"Safe","Unsafe")</f>
        <v>Unsafe</v>
      </c>
      <c r="W40" s="168"/>
    </row>
    <row r="41" spans="1:34" ht="1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88"/>
      <c r="P41" s="88"/>
      <c r="Q41" s="170" t="s">
        <v>126</v>
      </c>
      <c r="R41" s="156"/>
      <c r="S41" s="87">
        <f>ROUND(S39*S40,2)</f>
        <v>103.62</v>
      </c>
      <c r="T41" s="88" t="s">
        <v>47</v>
      </c>
      <c r="U41" s="88"/>
      <c r="V41" s="168"/>
      <c r="W41" s="168"/>
    </row>
    <row r="42" spans="1:34" ht="18">
      <c r="A42" s="64"/>
      <c r="B42" s="139" t="s">
        <v>73</v>
      </c>
      <c r="C42" s="142" t="str">
        <f>IF(D36&lt;=D38,"compact",IF(D36&lt;=D39,"non compact","slender"))</f>
        <v>non compact</v>
      </c>
      <c r="D42" s="143"/>
      <c r="E42" s="64"/>
      <c r="F42" s="64"/>
      <c r="G42" s="139" t="s">
        <v>73</v>
      </c>
      <c r="H42" s="139" t="str">
        <f>IF((I36)&lt;=I38,"compact",IF(AND(I38&lt;I36,I36&lt;I39),"non compact","slender"))</f>
        <v>compact</v>
      </c>
      <c r="I42" s="139"/>
      <c r="J42" s="64"/>
      <c r="K42" s="64"/>
      <c r="L42" s="64"/>
      <c r="M42" s="64"/>
      <c r="N42" s="64"/>
      <c r="O42" s="88"/>
      <c r="P42" s="88"/>
      <c r="Q42" s="88"/>
      <c r="R42" s="88"/>
      <c r="S42" s="88"/>
      <c r="T42" s="88"/>
      <c r="U42" s="88"/>
      <c r="V42" s="88"/>
      <c r="W42" s="88"/>
    </row>
    <row r="43" spans="1:34" ht="18">
      <c r="A43" s="64"/>
      <c r="B43" s="139"/>
      <c r="C43" s="144"/>
      <c r="D43" s="145"/>
      <c r="E43" s="64"/>
      <c r="F43" s="64"/>
      <c r="G43" s="139"/>
      <c r="H43" s="139"/>
      <c r="I43" s="139"/>
      <c r="J43" s="64"/>
      <c r="K43" s="64"/>
      <c r="L43" s="64"/>
      <c r="M43" s="64"/>
      <c r="N43" s="64"/>
      <c r="O43" s="88"/>
      <c r="P43" s="88"/>
      <c r="Q43" s="88"/>
      <c r="R43" s="88"/>
      <c r="S43" s="88"/>
      <c r="T43" s="88"/>
      <c r="U43" s="88"/>
      <c r="V43" s="88"/>
      <c r="W43" s="88"/>
    </row>
    <row r="44" spans="1:34" ht="18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</row>
    <row r="45" spans="1:34" ht="18">
      <c r="A45" s="64"/>
      <c r="B45" s="64"/>
      <c r="C45" s="64"/>
      <c r="D45" s="139" t="s">
        <v>74</v>
      </c>
      <c r="E45" s="139"/>
      <c r="F45" s="159" t="str">
        <f>IF(AND(C42="compact",H42="compact"),"compact",IF(OR(C42="non compact",H42="non compact"),"non compact",IF(OR(C42="slender",H42="slender"),"slender","check")))</f>
        <v>non compact</v>
      </c>
      <c r="G45" s="159"/>
      <c r="H45" s="64"/>
      <c r="I45" s="64"/>
      <c r="J45" s="64"/>
      <c r="K45" s="64"/>
      <c r="L45" s="64"/>
      <c r="M45" s="64"/>
      <c r="N45" s="64"/>
      <c r="O45" s="136" t="s">
        <v>99</v>
      </c>
      <c r="P45" s="130"/>
      <c r="Q45" s="130"/>
      <c r="R45" s="75" t="s">
        <v>100</v>
      </c>
      <c r="S45" s="64"/>
      <c r="T45" s="64"/>
      <c r="U45" s="126" t="s">
        <v>101</v>
      </c>
      <c r="V45" s="126"/>
      <c r="W45" s="64"/>
    </row>
    <row r="46" spans="1:34" ht="18">
      <c r="A46" s="64"/>
      <c r="B46" s="64"/>
      <c r="C46" s="64"/>
      <c r="D46" s="139"/>
      <c r="E46" s="139"/>
      <c r="F46" s="159"/>
      <c r="G46" s="159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</row>
    <row r="47" spans="1:34" ht="20.399999999999999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139" t="s">
        <v>102</v>
      </c>
      <c r="R47" s="139"/>
      <c r="S47" s="70">
        <f>ROUND(((Q6/Q4)^0.5),2)</f>
        <v>7</v>
      </c>
      <c r="T47" s="71" t="s">
        <v>53</v>
      </c>
      <c r="U47" s="64"/>
      <c r="V47" s="64"/>
      <c r="W47" s="64"/>
      <c r="Z47" s="64"/>
      <c r="AA47" s="64"/>
      <c r="AB47" s="64"/>
      <c r="AC47" s="64"/>
      <c r="AD47" s="64"/>
      <c r="AE47" s="64"/>
      <c r="AF47" s="64"/>
      <c r="AG47" s="64"/>
      <c r="AH47" s="64"/>
    </row>
    <row r="48" spans="1:34" ht="20.399999999999999">
      <c r="A48" s="64"/>
      <c r="B48" s="136" t="s">
        <v>127</v>
      </c>
      <c r="C48" s="130"/>
      <c r="D48" s="130"/>
      <c r="E48" s="64"/>
      <c r="F48" s="75" t="s">
        <v>128</v>
      </c>
      <c r="G48" s="64"/>
      <c r="H48" s="64"/>
      <c r="I48" s="64"/>
      <c r="J48" s="64"/>
      <c r="K48" s="64"/>
      <c r="L48" s="64"/>
      <c r="M48" s="64"/>
      <c r="N48" s="64"/>
      <c r="O48" s="126" t="s">
        <v>103</v>
      </c>
      <c r="P48" s="126"/>
      <c r="Q48" s="139" t="s">
        <v>104</v>
      </c>
      <c r="R48" s="139"/>
      <c r="S48" s="70">
        <f>ROUND((80*S47)/SQRT(H10),2)</f>
        <v>361.48</v>
      </c>
      <c r="T48" s="71" t="s">
        <v>53</v>
      </c>
      <c r="U48" s="64"/>
      <c r="V48" s="64"/>
      <c r="W48" s="64"/>
    </row>
    <row r="49" spans="1:23" ht="18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130"/>
      <c r="P49" s="130"/>
      <c r="Q49" s="64"/>
      <c r="R49" s="64"/>
      <c r="S49" s="64"/>
      <c r="T49" s="64"/>
      <c r="U49" s="64"/>
      <c r="V49" s="64"/>
      <c r="W49" s="64"/>
    </row>
    <row r="50" spans="1:23" ht="20.399999999999999">
      <c r="B50" s="64"/>
      <c r="C50" s="64"/>
      <c r="D50" s="139" t="s">
        <v>131</v>
      </c>
      <c r="E50" s="139"/>
      <c r="F50" s="70">
        <f>ROUND(SQRT(Q5/Q4),2)</f>
        <v>33.93</v>
      </c>
      <c r="G50" s="71" t="s">
        <v>53</v>
      </c>
      <c r="H50" s="64"/>
      <c r="I50" s="64"/>
      <c r="J50" s="64"/>
      <c r="M50" s="64"/>
      <c r="N50" s="64"/>
      <c r="O50" s="126" t="s">
        <v>105</v>
      </c>
      <c r="P50" s="126"/>
      <c r="Q50" s="139" t="s">
        <v>106</v>
      </c>
      <c r="R50" s="139"/>
      <c r="S50" s="70">
        <f>ROUND(((C33/6)*C25)+(C26*C27),2)</f>
        <v>70.13</v>
      </c>
      <c r="T50" s="71" t="s">
        <v>107</v>
      </c>
      <c r="U50" s="64"/>
      <c r="V50" s="64"/>
      <c r="W50" s="64"/>
    </row>
    <row r="51" spans="1:23" ht="20.399999999999999">
      <c r="B51" s="64"/>
      <c r="C51" s="64"/>
      <c r="D51" s="139" t="s">
        <v>102</v>
      </c>
      <c r="E51" s="139"/>
      <c r="F51" s="70">
        <f>ROUND(SQRT(Q6/Q4),2)</f>
        <v>7</v>
      </c>
      <c r="G51" s="71" t="s">
        <v>53</v>
      </c>
      <c r="H51" s="64"/>
      <c r="I51" s="64"/>
      <c r="J51" s="64"/>
      <c r="M51" s="64"/>
      <c r="N51" s="64"/>
      <c r="O51" s="126"/>
      <c r="P51" s="126"/>
      <c r="Q51" s="141" t="s">
        <v>80</v>
      </c>
      <c r="R51" s="141"/>
      <c r="S51" s="70">
        <f>ROUND((((C33/6)*(C25^3))/12)+((C27*(C26^3))/12),2)</f>
        <v>4500.54</v>
      </c>
      <c r="T51" s="84" t="s">
        <v>79</v>
      </c>
      <c r="U51" s="64"/>
      <c r="V51" s="64"/>
      <c r="W51" s="64"/>
    </row>
    <row r="52" spans="1:23" ht="20.399999999999999">
      <c r="B52" s="64"/>
      <c r="C52" s="64"/>
      <c r="D52" s="154" t="s">
        <v>136</v>
      </c>
      <c r="E52" s="139"/>
      <c r="F52" s="70">
        <f>ROUND(Q21/F50,2)</f>
        <v>0</v>
      </c>
      <c r="G52" s="64"/>
      <c r="H52" s="64"/>
      <c r="I52" s="64"/>
      <c r="J52" s="64"/>
      <c r="M52" s="64"/>
      <c r="N52" s="64"/>
      <c r="O52" s="64"/>
      <c r="P52" s="64"/>
      <c r="Q52" s="139" t="s">
        <v>108</v>
      </c>
      <c r="R52" s="139"/>
      <c r="S52" s="70">
        <f>ROUND(SQRT(S51/S50),2)</f>
        <v>8.01</v>
      </c>
      <c r="T52" s="71" t="s">
        <v>53</v>
      </c>
      <c r="U52" s="64"/>
      <c r="V52" s="64"/>
      <c r="W52" s="64"/>
    </row>
    <row r="53" spans="1:23" ht="19.8">
      <c r="B53" s="64"/>
      <c r="C53" s="64"/>
      <c r="D53" s="154" t="s">
        <v>138</v>
      </c>
      <c r="E53" s="139"/>
      <c r="F53" s="70">
        <f>ROUND(C70/F51,2)</f>
        <v>0</v>
      </c>
      <c r="G53" s="64"/>
      <c r="H53" s="64"/>
      <c r="I53" s="64"/>
      <c r="J53" s="64"/>
      <c r="M53" s="64"/>
      <c r="N53" s="64"/>
      <c r="O53" s="64"/>
      <c r="P53" s="64"/>
      <c r="Q53" s="139" t="s">
        <v>109</v>
      </c>
      <c r="R53" s="139"/>
      <c r="S53" s="70">
        <f>ROUND(C26*C27,2)</f>
        <v>60</v>
      </c>
      <c r="T53" s="71" t="s">
        <v>107</v>
      </c>
      <c r="U53" s="64"/>
      <c r="V53" s="64"/>
      <c r="W53" s="64"/>
    </row>
    <row r="54" spans="1:23" ht="18">
      <c r="B54" s="64"/>
      <c r="C54" s="64"/>
      <c r="D54" s="154" t="s">
        <v>139</v>
      </c>
      <c r="E54" s="139"/>
      <c r="F54" s="70">
        <f>MAX(F52,F53)</f>
        <v>0</v>
      </c>
      <c r="G54" s="64"/>
      <c r="H54" s="64"/>
      <c r="I54" s="64"/>
      <c r="J54" s="64"/>
      <c r="M54" s="64"/>
      <c r="N54" s="64"/>
      <c r="O54" s="126" t="s">
        <v>110</v>
      </c>
      <c r="P54" s="126"/>
      <c r="Q54" s="139" t="s">
        <v>111</v>
      </c>
      <c r="R54" s="139"/>
      <c r="S54" s="70">
        <f>ROUND(((0.104*S52*C24)/S53)^2,2)</f>
        <v>1.23</v>
      </c>
      <c r="T54" s="64"/>
      <c r="U54" s="64"/>
      <c r="V54" s="64"/>
      <c r="W54" s="64"/>
    </row>
    <row r="55" spans="1:23" ht="20.399999999999999">
      <c r="B55" s="126" t="s">
        <v>141</v>
      </c>
      <c r="C55" s="161"/>
      <c r="D55" s="154" t="s">
        <v>142</v>
      </c>
      <c r="E55" s="139"/>
      <c r="F55" s="70">
        <f>ROUND((F54/3.14)*SQRT(H10/2100),2)</f>
        <v>0</v>
      </c>
      <c r="G55" s="64"/>
      <c r="H55" s="64"/>
      <c r="I55" s="64"/>
      <c r="J55" s="64"/>
      <c r="M55" s="64"/>
      <c r="N55" s="64"/>
      <c r="O55" s="64"/>
      <c r="P55" s="64"/>
      <c r="Q55" s="139" t="s">
        <v>112</v>
      </c>
      <c r="R55" s="139"/>
      <c r="S55" s="70">
        <f>0.6*H10</f>
        <v>1.44</v>
      </c>
      <c r="T55" s="71" t="s">
        <v>42</v>
      </c>
      <c r="U55" s="64"/>
      <c r="V55" s="64"/>
      <c r="W55" s="64"/>
    </row>
    <row r="56" spans="1:23" ht="20.399999999999999">
      <c r="B56" s="126" t="s">
        <v>143</v>
      </c>
      <c r="C56" s="167"/>
      <c r="D56" s="139" t="s">
        <v>144</v>
      </c>
      <c r="E56" s="139"/>
      <c r="F56" s="70">
        <f>IF(F55&lt;=1.5,ROUND(H10*(1-(0.384*(F55^2))),2),ROUND(0.684*(H10/(F55^2)),2))</f>
        <v>2.4</v>
      </c>
      <c r="G56" s="64"/>
      <c r="H56" s="64"/>
      <c r="I56" s="64"/>
      <c r="J56" s="64"/>
      <c r="M56" s="64"/>
      <c r="N56" s="64"/>
      <c r="O56" s="126" t="s">
        <v>113</v>
      </c>
      <c r="P56" s="126"/>
      <c r="Q56" s="155" t="s">
        <v>114</v>
      </c>
      <c r="R56" s="155"/>
      <c r="S56" s="79">
        <f>ROUND(((1380*S53)/(C24*S55))*SQRT(0.5*(1+SQRT(1+(2*S54*S55)^2))),2)</f>
        <v>1099.57</v>
      </c>
      <c r="T56" s="71" t="s">
        <v>53</v>
      </c>
      <c r="U56" s="64"/>
      <c r="V56" s="64"/>
      <c r="W56" s="64"/>
    </row>
    <row r="57" spans="1:23" ht="18">
      <c r="B57" s="64"/>
      <c r="C57" s="64"/>
      <c r="D57" s="64"/>
      <c r="E57" s="64"/>
      <c r="F57" s="64"/>
      <c r="G57" s="64"/>
      <c r="H57" s="64"/>
      <c r="I57" s="64"/>
      <c r="J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</row>
    <row r="58" spans="1:23" ht="18">
      <c r="B58" s="126" t="s">
        <v>145</v>
      </c>
      <c r="C58" s="161"/>
      <c r="D58" s="139" t="s">
        <v>146</v>
      </c>
      <c r="E58" s="139"/>
      <c r="F58" s="77">
        <f>ROUND(F56*Q4,2)</f>
        <v>441.6</v>
      </c>
      <c r="G58" s="71" t="s">
        <v>49</v>
      </c>
      <c r="H58" s="64"/>
      <c r="I58" s="64"/>
      <c r="J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</row>
    <row r="59" spans="1:23" ht="18">
      <c r="B59" s="64"/>
      <c r="C59" s="68"/>
      <c r="D59" s="154" t="s">
        <v>125</v>
      </c>
      <c r="E59" s="139"/>
      <c r="F59" s="71">
        <v>0.8</v>
      </c>
      <c r="G59" s="64"/>
      <c r="H59" s="64"/>
      <c r="I59" s="162" t="str">
        <f>IF(F60&lt;C18,"Unsafe","Safe")</f>
        <v>Safe</v>
      </c>
      <c r="J59" s="162"/>
      <c r="M59" s="64"/>
      <c r="N59" s="64"/>
      <c r="O59" s="64"/>
      <c r="P59" s="124" t="str">
        <f>IF(C70&lt;=S48,"Case (a)",IF(AND(S48&lt;C70,C70&lt;=S56),"Case (b)","Case (c) "))</f>
        <v>Case (a)</v>
      </c>
      <c r="Q59" s="124"/>
      <c r="R59" s="64"/>
      <c r="S59" s="139" t="s">
        <v>115</v>
      </c>
      <c r="T59" s="160">
        <f>ROUND(1.12*H10*Q7*0.01,2)</f>
        <v>142.35</v>
      </c>
      <c r="U59" s="139" t="s">
        <v>47</v>
      </c>
      <c r="V59" s="64"/>
      <c r="W59" s="64"/>
    </row>
    <row r="60" spans="1:23" ht="18">
      <c r="B60" s="64"/>
      <c r="C60" s="68"/>
      <c r="D60" s="163" t="s">
        <v>147</v>
      </c>
      <c r="E60" s="139"/>
      <c r="F60" s="80">
        <f>ROUND(F58*F59,2)</f>
        <v>353.28</v>
      </c>
      <c r="G60" s="71" t="s">
        <v>49</v>
      </c>
      <c r="H60" s="64"/>
      <c r="I60" s="162"/>
      <c r="J60" s="162"/>
      <c r="M60" s="64"/>
      <c r="N60" s="64"/>
      <c r="O60" s="64"/>
      <c r="P60" s="124"/>
      <c r="Q60" s="124"/>
      <c r="R60" s="64"/>
      <c r="S60" s="139"/>
      <c r="T60" s="160"/>
      <c r="U60" s="139"/>
      <c r="V60" s="64"/>
      <c r="W60" s="64"/>
    </row>
    <row r="61" spans="1:23" ht="18">
      <c r="B61" s="64"/>
      <c r="C61" s="64"/>
      <c r="D61" s="64"/>
      <c r="E61" s="64"/>
      <c r="F61" s="64"/>
      <c r="G61" s="64"/>
      <c r="H61" s="64"/>
      <c r="I61" s="64"/>
      <c r="J61" s="64"/>
      <c r="M61" s="64"/>
      <c r="N61" s="64"/>
      <c r="O61" s="64"/>
      <c r="P61" s="64"/>
      <c r="Q61" s="68"/>
      <c r="R61" s="68"/>
      <c r="S61" s="64"/>
      <c r="T61" s="64"/>
      <c r="U61" s="64"/>
      <c r="V61" s="64"/>
      <c r="W61" s="64"/>
    </row>
    <row r="62" spans="1:23" ht="20.399999999999999">
      <c r="M62" s="64"/>
      <c r="N62" s="64"/>
      <c r="O62" s="126" t="s">
        <v>116</v>
      </c>
      <c r="P62" s="161"/>
      <c r="Q62" s="139" t="s">
        <v>117</v>
      </c>
      <c r="R62" s="139"/>
      <c r="S62" s="71">
        <f>ROUND((1.75+1.05*((MIN(C17:C19))/(MAX(C17:C19)))+0.3*(((MIN(C17:C19))/(MAX(C17:C19)))^2)),2)</f>
        <v>1.89</v>
      </c>
      <c r="T62" s="86"/>
      <c r="U62" s="126" t="s">
        <v>118</v>
      </c>
      <c r="V62" s="126"/>
      <c r="W62" s="126"/>
    </row>
    <row r="63" spans="1:23" ht="18">
      <c r="M63" s="68"/>
      <c r="N63" s="68"/>
      <c r="O63" s="126" t="s">
        <v>119</v>
      </c>
      <c r="P63" s="126"/>
      <c r="Q63" s="139" t="s">
        <v>120</v>
      </c>
      <c r="R63" s="139"/>
      <c r="S63" s="70" t="str">
        <f>IF(P59="Case (b)",ROUND(S55*Q7*0.01,2),"-")</f>
        <v>-</v>
      </c>
      <c r="T63" s="158" t="s">
        <v>121</v>
      </c>
      <c r="U63" s="126"/>
      <c r="V63" s="126"/>
      <c r="W63" s="64"/>
    </row>
    <row r="64" spans="1:23" ht="18">
      <c r="N64" s="68"/>
      <c r="O64" s="126" t="s">
        <v>122</v>
      </c>
      <c r="P64" s="161"/>
      <c r="Q64" s="139" t="s">
        <v>123</v>
      </c>
      <c r="R64" s="139"/>
      <c r="S64" s="70" t="str">
        <f>IF(P59="Case (c) ",ROUND(Q7*SQRT((((1380*S53)/(C24*C70))^2)+((20700/((C70/S52)^2))^2))*0.01,2),"-")</f>
        <v>-</v>
      </c>
      <c r="T64" s="158"/>
      <c r="U64" s="126"/>
      <c r="V64" s="126"/>
      <c r="W64" s="64"/>
    </row>
    <row r="65" spans="1:34" ht="18">
      <c r="E65" s="64"/>
      <c r="F65" s="64"/>
      <c r="G65" s="64"/>
      <c r="H65" s="64"/>
      <c r="I65" s="64"/>
      <c r="J65" s="64"/>
      <c r="K65" s="64"/>
      <c r="L65" s="64"/>
      <c r="M65" s="64"/>
      <c r="N65" s="68"/>
      <c r="O65" s="64"/>
      <c r="P65" s="64"/>
      <c r="Q65" s="64"/>
      <c r="R65" s="64"/>
      <c r="S65" s="64"/>
      <c r="T65" s="64"/>
      <c r="U65" s="64"/>
      <c r="V65" s="64"/>
      <c r="W65" s="64"/>
    </row>
    <row r="66" spans="1:34" ht="18">
      <c r="E66" s="136" t="s">
        <v>153</v>
      </c>
      <c r="F66" s="136"/>
      <c r="G66" s="136"/>
      <c r="H66" s="75" t="s">
        <v>154</v>
      </c>
      <c r="I66" s="64"/>
      <c r="J66" s="64"/>
      <c r="K66" s="64"/>
      <c r="L66" s="64"/>
      <c r="M66" s="64"/>
      <c r="N66" s="68"/>
      <c r="O66" s="64"/>
      <c r="P66" s="64"/>
      <c r="Q66" s="139" t="s">
        <v>124</v>
      </c>
      <c r="R66" s="139"/>
      <c r="S66" s="70">
        <f>IF(IF(P59="Case (a)",T59,IF(P59="Case (b)",ROUND((T59-((T59-S63)*((C70-S48)/(S56-S48))))*S62,2),S64*S62))&lt;=T59,IF(P59="Case (a)",T59,IF(P59="Case (b)",ROUND((T59-((T59-S63)*((C70-S48)/(S56-S48))))*S62,2),S64*S62)),T59)</f>
        <v>142.35</v>
      </c>
      <c r="T66" s="71" t="s">
        <v>47</v>
      </c>
      <c r="U66" s="64"/>
      <c r="V66" s="64"/>
      <c r="W66" s="64"/>
    </row>
    <row r="67" spans="1:34" ht="18">
      <c r="E67" s="64"/>
      <c r="F67" s="64"/>
      <c r="G67" s="64"/>
      <c r="H67" s="64"/>
      <c r="I67" s="64"/>
      <c r="J67" s="64"/>
      <c r="K67" s="64"/>
      <c r="L67" s="64"/>
      <c r="M67" s="64"/>
      <c r="N67" s="68"/>
      <c r="O67" s="64"/>
      <c r="P67" s="64"/>
      <c r="Q67" s="154" t="s">
        <v>125</v>
      </c>
      <c r="R67" s="139"/>
      <c r="S67" s="71">
        <v>0.85</v>
      </c>
      <c r="T67" s="64"/>
      <c r="U67" s="64"/>
      <c r="V67" s="162" t="str">
        <f>IF((S68&gt;=C17),"Safe","Unsafe")</f>
        <v>Safe</v>
      </c>
      <c r="W67" s="162"/>
    </row>
    <row r="68" spans="1:34" ht="18">
      <c r="E68" s="64"/>
      <c r="F68" s="64"/>
      <c r="G68" s="139"/>
      <c r="H68" s="139"/>
      <c r="I68" s="139">
        <f>C18/F60</f>
        <v>3.828606204710145E-2</v>
      </c>
      <c r="J68" s="64"/>
      <c r="K68" s="64"/>
      <c r="L68" s="64"/>
      <c r="M68" s="64"/>
      <c r="N68" s="68"/>
      <c r="O68" s="64"/>
      <c r="P68" s="64"/>
      <c r="Q68" s="163" t="s">
        <v>126</v>
      </c>
      <c r="R68" s="139"/>
      <c r="S68" s="87">
        <f>ROUND(S67*S66,2)</f>
        <v>121</v>
      </c>
      <c r="T68" s="71" t="s">
        <v>47</v>
      </c>
      <c r="U68" s="64"/>
      <c r="V68" s="162"/>
      <c r="W68" s="162"/>
    </row>
    <row r="69" spans="1:34" ht="18">
      <c r="E69" s="64"/>
      <c r="F69" s="64"/>
      <c r="G69" s="139"/>
      <c r="H69" s="139"/>
      <c r="I69" s="139"/>
      <c r="J69" s="64"/>
      <c r="K69" s="64"/>
      <c r="L69" s="64"/>
      <c r="M69" s="64"/>
      <c r="N69" s="68"/>
      <c r="O69" s="68"/>
      <c r="P69" s="64"/>
      <c r="Q69" s="64"/>
      <c r="R69" s="64"/>
      <c r="S69" s="64"/>
      <c r="T69" s="64"/>
      <c r="U69" s="64"/>
      <c r="V69" s="64"/>
    </row>
    <row r="70" spans="1:34" ht="18">
      <c r="A70" s="130"/>
      <c r="B70" s="130"/>
      <c r="C70" s="64"/>
      <c r="E70" s="64"/>
      <c r="F70" s="64"/>
      <c r="G70" s="139"/>
      <c r="H70" s="139"/>
      <c r="I70" s="139">
        <f>ROUND(MAX(C17:C19)/IF(F45="compact",S68,S41),2)</f>
        <v>1.05</v>
      </c>
      <c r="J70" s="64"/>
      <c r="K70" s="64"/>
      <c r="L70" s="64"/>
      <c r="M70" s="64"/>
      <c r="N70" s="68"/>
      <c r="O70" s="68"/>
      <c r="P70" s="136" t="s">
        <v>148</v>
      </c>
      <c r="Q70" s="136"/>
      <c r="R70" s="136"/>
      <c r="S70" s="64"/>
      <c r="T70" s="75" t="s">
        <v>149</v>
      </c>
      <c r="U70" s="64"/>
      <c r="V70" s="64"/>
      <c r="W70" s="64"/>
      <c r="X70" s="64"/>
    </row>
    <row r="71" spans="1:34" ht="18">
      <c r="A71" s="64"/>
      <c r="B71" s="64"/>
      <c r="C71" s="64"/>
      <c r="E71" s="64"/>
      <c r="F71" s="64"/>
      <c r="G71" s="139"/>
      <c r="H71" s="139"/>
      <c r="I71" s="139"/>
      <c r="J71" s="64"/>
      <c r="K71" s="64"/>
      <c r="L71" s="64"/>
      <c r="M71" s="64"/>
      <c r="N71" s="68"/>
      <c r="O71" s="68"/>
      <c r="P71" s="64"/>
      <c r="Q71" s="64"/>
      <c r="R71" s="64"/>
      <c r="S71" s="64"/>
      <c r="T71" s="64"/>
      <c r="U71" s="64"/>
      <c r="V71" s="64"/>
      <c r="W71" s="64"/>
      <c r="X71" s="64"/>
    </row>
    <row r="72" spans="1:34" ht="18">
      <c r="E72" s="64"/>
      <c r="F72" s="64"/>
      <c r="G72" s="64"/>
      <c r="H72" s="64"/>
      <c r="I72" s="64"/>
      <c r="J72" s="64"/>
      <c r="K72" s="64"/>
      <c r="L72" s="64"/>
      <c r="M72" s="64"/>
      <c r="N72" s="68"/>
      <c r="O72" s="68"/>
      <c r="P72" s="68"/>
      <c r="Q72" s="68"/>
      <c r="R72" s="139"/>
      <c r="S72" s="139"/>
      <c r="T72" s="139">
        <f>ROUND(C33/C25,2)</f>
        <v>95</v>
      </c>
      <c r="U72" s="64"/>
      <c r="V72" s="64"/>
      <c r="W72" s="64"/>
      <c r="X72" s="64"/>
      <c r="Z72" s="64"/>
      <c r="AA72" s="64"/>
      <c r="AB72" s="64"/>
      <c r="AC72" s="64"/>
      <c r="AD72" s="64"/>
      <c r="AE72" s="64"/>
      <c r="AF72" s="64"/>
      <c r="AG72" s="64"/>
      <c r="AH72" s="64"/>
    </row>
    <row r="73" spans="1:34" ht="18">
      <c r="E73" s="126" t="s">
        <v>155</v>
      </c>
      <c r="F73" s="126"/>
      <c r="G73" s="139" t="s">
        <v>156</v>
      </c>
      <c r="H73" s="139"/>
      <c r="I73" s="159">
        <f>ROUND(IF(I68&gt;=0.2,(I68+(8/9*I70)),((0.5*I68)+I70)),2)</f>
        <v>1.07</v>
      </c>
      <c r="J73" s="64"/>
      <c r="K73" s="64"/>
      <c r="L73" s="64"/>
      <c r="M73" s="64"/>
      <c r="N73" s="68"/>
      <c r="O73" s="68"/>
      <c r="P73" s="68"/>
      <c r="Q73" s="68"/>
      <c r="R73" s="139"/>
      <c r="S73" s="139"/>
      <c r="T73" s="139"/>
      <c r="U73" s="64"/>
      <c r="V73" s="64"/>
      <c r="W73" s="64"/>
      <c r="X73" s="64"/>
    </row>
    <row r="74" spans="1:34" ht="18">
      <c r="E74" s="126"/>
      <c r="F74" s="126"/>
      <c r="G74" s="139"/>
      <c r="H74" s="139"/>
      <c r="I74" s="159"/>
      <c r="J74" s="64"/>
      <c r="K74" s="64"/>
      <c r="L74" s="162" t="str">
        <f>IF(I73&lt;=1,"Safe","Unsafe")</f>
        <v>Unsafe</v>
      </c>
      <c r="M74" s="162"/>
      <c r="N74" s="68"/>
      <c r="O74" s="68"/>
      <c r="P74" s="68"/>
      <c r="Q74" s="68"/>
      <c r="R74" s="139"/>
      <c r="S74" s="139"/>
      <c r="T74" s="139">
        <f>ROUND(112/SQRT(H10),2)</f>
        <v>72.3</v>
      </c>
      <c r="U74" s="64"/>
      <c r="V74" s="64"/>
      <c r="W74" s="64"/>
      <c r="X74" s="64"/>
    </row>
    <row r="75" spans="1:34" ht="18">
      <c r="E75" s="64"/>
      <c r="F75" s="64"/>
      <c r="G75" s="64"/>
      <c r="H75" s="64"/>
      <c r="I75" s="64"/>
      <c r="J75" s="64"/>
      <c r="K75" s="64"/>
      <c r="L75" s="162"/>
      <c r="M75" s="162"/>
      <c r="N75" s="64"/>
      <c r="O75" s="64"/>
      <c r="P75" s="68"/>
      <c r="Q75" s="68"/>
      <c r="R75" s="139"/>
      <c r="S75" s="139"/>
      <c r="T75" s="139"/>
      <c r="U75" s="64"/>
      <c r="V75" s="64"/>
      <c r="W75" s="64"/>
      <c r="X75" s="64"/>
    </row>
    <row r="76" spans="1:34" ht="18">
      <c r="N76" s="64"/>
      <c r="O76" s="64"/>
      <c r="P76" s="68"/>
      <c r="Q76" s="68"/>
      <c r="R76" s="139"/>
      <c r="S76" s="139"/>
      <c r="T76" s="139">
        <f>ROUND(139/SQRT(H10),2)</f>
        <v>89.72</v>
      </c>
      <c r="U76" s="64"/>
      <c r="V76" s="64"/>
      <c r="W76" s="64"/>
      <c r="X76" s="64"/>
    </row>
    <row r="77" spans="1:34" ht="18">
      <c r="N77" s="64"/>
      <c r="O77" s="64"/>
      <c r="P77" s="68"/>
      <c r="Q77" s="68"/>
      <c r="R77" s="139"/>
      <c r="S77" s="139"/>
      <c r="T77" s="139"/>
      <c r="U77" s="64"/>
      <c r="V77" s="64"/>
      <c r="W77" s="64"/>
      <c r="X77" s="64"/>
    </row>
    <row r="78" spans="1:34" ht="18">
      <c r="J78" s="64"/>
      <c r="K78" s="64"/>
      <c r="L78" s="64"/>
      <c r="M78" s="64"/>
      <c r="N78" s="64"/>
      <c r="O78" s="64"/>
      <c r="P78" s="126" t="s">
        <v>150</v>
      </c>
      <c r="Q78" s="161"/>
      <c r="R78" s="139" t="s">
        <v>151</v>
      </c>
      <c r="S78" s="139"/>
      <c r="T78" s="71">
        <f>IF(T72&lt;T74,ROUND(0.6*H10*C33*C34,2),IF(AND(T74&lt;T72,T72&lt;T76),ROUND(0.6*H10*C33*C34*(T74/T72),2),IF(AND(T76&lt;T72,T72&lt;260),ROUND(C33*C34*(9500/(T72^2)),2),"Check h/tw")))</f>
        <v>64</v>
      </c>
      <c r="U78" s="74" t="s">
        <v>49</v>
      </c>
      <c r="V78" s="64"/>
      <c r="W78" s="64"/>
      <c r="X78" s="64"/>
    </row>
    <row r="79" spans="1:34" ht="18">
      <c r="J79" s="64"/>
      <c r="K79" s="64"/>
      <c r="L79" s="64"/>
      <c r="M79" s="64"/>
      <c r="N79" s="64"/>
      <c r="O79" s="64"/>
      <c r="P79" s="64"/>
      <c r="Q79" s="64"/>
      <c r="R79" s="154" t="s">
        <v>125</v>
      </c>
      <c r="S79" s="139"/>
      <c r="T79" s="71">
        <v>0.85</v>
      </c>
      <c r="U79" s="64"/>
      <c r="V79" s="64"/>
      <c r="W79" s="162" t="str">
        <f>IF(T80&lt;C19,"Unsafe","Safe")</f>
        <v>Safe</v>
      </c>
      <c r="X79" s="162"/>
    </row>
    <row r="80" spans="1:34" ht="18">
      <c r="J80" s="64"/>
      <c r="K80" s="64"/>
      <c r="L80" s="64"/>
      <c r="M80" s="64"/>
      <c r="N80" s="64"/>
      <c r="O80" s="64"/>
      <c r="P80" s="64"/>
      <c r="Q80" s="64"/>
      <c r="R80" s="163" t="s">
        <v>152</v>
      </c>
      <c r="S80" s="139"/>
      <c r="T80" s="80">
        <f>ROUND(T78*T79,2)</f>
        <v>54.4</v>
      </c>
      <c r="U80" s="74" t="s">
        <v>49</v>
      </c>
      <c r="V80" s="64"/>
      <c r="W80" s="162"/>
      <c r="X80" s="162"/>
    </row>
    <row r="81" spans="10:34" ht="18"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</row>
    <row r="82" spans="10:34" ht="18"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</row>
    <row r="83" spans="10:34" ht="18"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</row>
    <row r="84" spans="10:34" ht="18">
      <c r="J84" s="68"/>
      <c r="K84" s="68"/>
      <c r="L84" s="68"/>
      <c r="M84" s="68"/>
      <c r="N84" s="64"/>
      <c r="O84" s="64"/>
      <c r="P84" s="64"/>
      <c r="Q84" s="64"/>
      <c r="R84" s="64"/>
      <c r="S84" s="64"/>
      <c r="T84" s="64"/>
      <c r="U84" s="64"/>
      <c r="V84" s="64"/>
    </row>
    <row r="85" spans="10:34" ht="18"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</row>
    <row r="86" spans="10:34" ht="18"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</row>
    <row r="87" spans="10:34" ht="18">
      <c r="J87" s="64"/>
      <c r="K87" s="85"/>
      <c r="L87" s="85"/>
      <c r="M87" s="64"/>
      <c r="N87" s="64"/>
      <c r="O87" s="64"/>
      <c r="P87" s="64"/>
      <c r="Q87" s="64"/>
      <c r="R87" s="64"/>
      <c r="S87" s="64"/>
      <c r="T87" s="64"/>
      <c r="U87" s="64"/>
      <c r="V87" s="64"/>
      <c r="Z87" s="64"/>
      <c r="AA87" s="64"/>
      <c r="AB87" s="64"/>
      <c r="AC87" s="64"/>
      <c r="AD87" s="64"/>
      <c r="AE87" s="64"/>
      <c r="AF87" s="64"/>
      <c r="AG87" s="64"/>
      <c r="AH87" s="64"/>
    </row>
    <row r="88" spans="10:34" ht="18"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</row>
    <row r="89" spans="10:34" ht="18"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</row>
    <row r="90" spans="10:34" ht="18"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</row>
    <row r="91" spans="10:34" ht="18"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</row>
    <row r="92" spans="10:34" ht="18"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</row>
    <row r="93" spans="10:34" ht="18"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</row>
    <row r="94" spans="10:34" ht="18"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</row>
    <row r="95" spans="10:34" ht="18"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</row>
    <row r="96" spans="10:34" ht="18"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</row>
    <row r="97" spans="10:22" ht="18"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</row>
    <row r="98" spans="10:22" ht="18">
      <c r="J98" s="64"/>
      <c r="K98" s="64"/>
      <c r="L98" s="64"/>
      <c r="V98" s="64"/>
    </row>
    <row r="99" spans="10:22" ht="18">
      <c r="J99" s="64"/>
      <c r="K99" s="64"/>
      <c r="L99" s="64"/>
      <c r="V99" s="64"/>
    </row>
    <row r="100" spans="10:22" ht="18">
      <c r="J100" s="64"/>
      <c r="K100" s="64"/>
      <c r="L100" s="64"/>
      <c r="V100" s="64"/>
    </row>
    <row r="101" spans="10:22" ht="18">
      <c r="J101" s="64"/>
      <c r="K101" s="64"/>
      <c r="L101" s="64"/>
      <c r="V101" s="64"/>
    </row>
    <row r="102" spans="10:22" ht="18">
      <c r="J102" s="64"/>
      <c r="K102" s="64"/>
      <c r="L102" s="64"/>
      <c r="V102" s="64"/>
    </row>
    <row r="103" spans="10:22" ht="18">
      <c r="J103" s="64"/>
      <c r="K103" s="64"/>
      <c r="L103" s="64"/>
      <c r="V103" s="64"/>
    </row>
    <row r="104" spans="10:22" ht="18">
      <c r="J104" s="64"/>
      <c r="K104" s="64"/>
      <c r="L104" s="64"/>
      <c r="V104" s="64"/>
    </row>
    <row r="105" spans="10:22" ht="18">
      <c r="J105" s="64"/>
      <c r="K105" s="64"/>
      <c r="L105" s="64"/>
      <c r="V105" s="64"/>
    </row>
    <row r="106" spans="10:22" ht="18">
      <c r="J106" s="64"/>
      <c r="K106" s="64"/>
      <c r="L106" s="64"/>
      <c r="V106" s="64"/>
    </row>
    <row r="107" spans="10:22" ht="18">
      <c r="J107" s="64"/>
      <c r="K107" s="64"/>
      <c r="L107" s="64"/>
      <c r="V107" s="64"/>
    </row>
    <row r="108" spans="10:22" ht="18">
      <c r="J108" s="64"/>
      <c r="K108" s="64"/>
      <c r="L108" s="64"/>
      <c r="V108" s="64"/>
    </row>
    <row r="109" spans="10:22" ht="18">
      <c r="J109" s="64"/>
      <c r="K109" s="64"/>
      <c r="L109" s="64"/>
      <c r="V109" s="64"/>
    </row>
    <row r="110" spans="10:22" ht="18">
      <c r="J110" s="64"/>
      <c r="K110" s="64"/>
      <c r="L110" s="64"/>
      <c r="V110" s="64"/>
    </row>
    <row r="111" spans="10:22" ht="18">
      <c r="J111" s="64"/>
      <c r="K111" s="64"/>
      <c r="L111" s="64"/>
      <c r="V111" s="64"/>
    </row>
    <row r="112" spans="10:22" ht="18">
      <c r="J112" s="64"/>
      <c r="K112" s="64"/>
      <c r="L112" s="64"/>
      <c r="V112" s="64"/>
    </row>
    <row r="113" spans="10:22" ht="18">
      <c r="J113" s="64"/>
      <c r="K113" s="64"/>
      <c r="L113" s="64"/>
      <c r="V113" s="64"/>
    </row>
    <row r="114" spans="10:22" ht="18">
      <c r="J114" s="64"/>
      <c r="K114" s="64"/>
      <c r="L114" s="64"/>
      <c r="V114" s="64"/>
    </row>
    <row r="115" spans="10:22" ht="18">
      <c r="J115" s="64"/>
      <c r="K115" s="64"/>
      <c r="L115" s="64"/>
      <c r="V115" s="64"/>
    </row>
    <row r="116" spans="10:22" ht="18">
      <c r="J116" s="64"/>
      <c r="K116" s="64"/>
      <c r="L116" s="64"/>
      <c r="V116" s="64"/>
    </row>
    <row r="117" spans="10:22" ht="18">
      <c r="J117" s="64"/>
      <c r="K117" s="64"/>
      <c r="L117" s="64"/>
      <c r="V117" s="64"/>
    </row>
    <row r="118" spans="10:22" ht="18">
      <c r="J118" s="64"/>
      <c r="K118" s="64"/>
      <c r="L118" s="64"/>
      <c r="V118" s="64"/>
    </row>
    <row r="119" spans="10:22" ht="18">
      <c r="J119" s="64"/>
      <c r="K119" s="64"/>
      <c r="L119" s="64"/>
      <c r="V119" s="64"/>
    </row>
    <row r="120" spans="10:22" ht="18"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</row>
    <row r="121" spans="10:22" ht="18"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</row>
    <row r="122" spans="10:22" ht="18"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</row>
    <row r="123" spans="10:22" ht="18"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</row>
    <row r="124" spans="10:22" ht="18"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</row>
    <row r="125" spans="10:22" ht="18"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</row>
    <row r="126" spans="10:22" ht="18"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</row>
    <row r="127" spans="10:22" ht="18"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</row>
    <row r="128" spans="10:22" ht="18"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</row>
    <row r="129" spans="10:22" ht="18"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</row>
    <row r="130" spans="10:22" ht="18"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</row>
    <row r="131" spans="10:22" ht="18"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</row>
    <row r="132" spans="10:22" ht="18"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</row>
    <row r="133" spans="10:22" ht="18"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</row>
    <row r="134" spans="10:22" ht="18"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</row>
  </sheetData>
  <mergeCells count="148">
    <mergeCell ref="L74:M75"/>
    <mergeCell ref="E66:G66"/>
    <mergeCell ref="G68:H69"/>
    <mergeCell ref="I68:I69"/>
    <mergeCell ref="G70:H71"/>
    <mergeCell ref="I70:I71"/>
    <mergeCell ref="E73:F74"/>
    <mergeCell ref="G73:H74"/>
    <mergeCell ref="I73:I74"/>
    <mergeCell ref="R76:S77"/>
    <mergeCell ref="T76:T77"/>
    <mergeCell ref="P78:Q78"/>
    <mergeCell ref="R78:S78"/>
    <mergeCell ref="R79:S79"/>
    <mergeCell ref="W79:X80"/>
    <mergeCell ref="R80:S80"/>
    <mergeCell ref="R72:S73"/>
    <mergeCell ref="T72:T73"/>
    <mergeCell ref="R74:S75"/>
    <mergeCell ref="T74:T75"/>
    <mergeCell ref="P70:R70"/>
    <mergeCell ref="O37:P37"/>
    <mergeCell ref="Q37:R37"/>
    <mergeCell ref="D50:E50"/>
    <mergeCell ref="Q63:R63"/>
    <mergeCell ref="Q52:R52"/>
    <mergeCell ref="Q53:R53"/>
    <mergeCell ref="O54:P54"/>
    <mergeCell ref="Q54:R54"/>
    <mergeCell ref="Q55:R55"/>
    <mergeCell ref="O56:P56"/>
    <mergeCell ref="Q56:R56"/>
    <mergeCell ref="O48:P48"/>
    <mergeCell ref="Q48:R48"/>
    <mergeCell ref="O49:P49"/>
    <mergeCell ref="O50:P51"/>
    <mergeCell ref="Q50:R50"/>
    <mergeCell ref="Q51:R51"/>
    <mergeCell ref="G42:G43"/>
    <mergeCell ref="Q67:R67"/>
    <mergeCell ref="V67:W68"/>
    <mergeCell ref="Q68:R68"/>
    <mergeCell ref="B48:D48"/>
    <mergeCell ref="P31:Q32"/>
    <mergeCell ref="B58:C58"/>
    <mergeCell ref="D58:E58"/>
    <mergeCell ref="D59:E59"/>
    <mergeCell ref="I59:J60"/>
    <mergeCell ref="D60:E60"/>
    <mergeCell ref="D53:E53"/>
    <mergeCell ref="D54:E54"/>
    <mergeCell ref="B55:C55"/>
    <mergeCell ref="D55:E55"/>
    <mergeCell ref="B56:C56"/>
    <mergeCell ref="D56:E56"/>
    <mergeCell ref="O39:P39"/>
    <mergeCell ref="O63:P63"/>
    <mergeCell ref="Q41:R41"/>
    <mergeCell ref="O35:P35"/>
    <mergeCell ref="Q35:R35"/>
    <mergeCell ref="O36:P36"/>
    <mergeCell ref="Q36:R36"/>
    <mergeCell ref="T63:V64"/>
    <mergeCell ref="O64:P64"/>
    <mergeCell ref="Q64:R64"/>
    <mergeCell ref="Q66:R66"/>
    <mergeCell ref="P59:Q60"/>
    <mergeCell ref="S59:S60"/>
    <mergeCell ref="T59:T60"/>
    <mergeCell ref="U59:U60"/>
    <mergeCell ref="O62:P62"/>
    <mergeCell ref="Q62:R62"/>
    <mergeCell ref="U62:W62"/>
    <mergeCell ref="O21:P21"/>
    <mergeCell ref="O45:Q45"/>
    <mergeCell ref="U45:V45"/>
    <mergeCell ref="Q47:R47"/>
    <mergeCell ref="X16:Z16"/>
    <mergeCell ref="O17:P17"/>
    <mergeCell ref="S17:V17"/>
    <mergeCell ref="O19:P19"/>
    <mergeCell ref="O20:P20"/>
    <mergeCell ref="S20:V20"/>
    <mergeCell ref="O22:Q22"/>
    <mergeCell ref="R22:T22"/>
    <mergeCell ref="Q39:R39"/>
    <mergeCell ref="Q40:R40"/>
    <mergeCell ref="V40:W41"/>
    <mergeCell ref="Q24:R24"/>
    <mergeCell ref="Q25:R25"/>
    <mergeCell ref="Q26:R26"/>
    <mergeCell ref="Q28:R28"/>
    <mergeCell ref="O11:Q11"/>
    <mergeCell ref="O13:P13"/>
    <mergeCell ref="O14:P14"/>
    <mergeCell ref="O15:P15"/>
    <mergeCell ref="T15:U15"/>
    <mergeCell ref="O16:P16"/>
    <mergeCell ref="O2:Q2"/>
    <mergeCell ref="O4:P4"/>
    <mergeCell ref="O5:P5"/>
    <mergeCell ref="O6:P6"/>
    <mergeCell ref="O7:P7"/>
    <mergeCell ref="O8:P8"/>
    <mergeCell ref="B42:B43"/>
    <mergeCell ref="C42:D43"/>
    <mergeCell ref="A70:B70"/>
    <mergeCell ref="A30:C30"/>
    <mergeCell ref="B36:C37"/>
    <mergeCell ref="H42:I43"/>
    <mergeCell ref="D45:E46"/>
    <mergeCell ref="F45:G46"/>
    <mergeCell ref="G36:H37"/>
    <mergeCell ref="I36:I37"/>
    <mergeCell ref="B38:C38"/>
    <mergeCell ref="G38:H38"/>
    <mergeCell ref="B39:C39"/>
    <mergeCell ref="G39:H39"/>
    <mergeCell ref="D36:D37"/>
    <mergeCell ref="D51:E51"/>
    <mergeCell ref="D52:E52"/>
    <mergeCell ref="H8:H9"/>
    <mergeCell ref="C9:D9"/>
    <mergeCell ref="C1:G1"/>
    <mergeCell ref="C2:G2"/>
    <mergeCell ref="C3:G3"/>
    <mergeCell ref="C4:G4"/>
    <mergeCell ref="C5:G5"/>
    <mergeCell ref="C6:G6"/>
    <mergeCell ref="A10:B11"/>
    <mergeCell ref="C10:C11"/>
    <mergeCell ref="F10:G10"/>
    <mergeCell ref="F11:G11"/>
    <mergeCell ref="A13:C13"/>
    <mergeCell ref="A15:B15"/>
    <mergeCell ref="C7:G7"/>
    <mergeCell ref="A8:B9"/>
    <mergeCell ref="C8:D8"/>
    <mergeCell ref="G8:G9"/>
    <mergeCell ref="A25:B25"/>
    <mergeCell ref="A26:B26"/>
    <mergeCell ref="A27:B27"/>
    <mergeCell ref="A16:B16"/>
    <mergeCell ref="A17:B17"/>
    <mergeCell ref="A18:B18"/>
    <mergeCell ref="A19:B19"/>
    <mergeCell ref="A22:C22"/>
    <mergeCell ref="A24:B24"/>
  </mergeCells>
  <dataValidations disablePrompts="1" count="2">
    <dataValidation type="list" allowBlank="1" showInputMessage="1" showErrorMessage="1" sqref="H8:H9" xr:uid="{D838E264-AE74-49D6-927A-155ECDF87E0B}">
      <formula1>$K$3:$K$5</formula1>
    </dataValidation>
    <dataValidation type="list" allowBlank="1" showInputMessage="1" showErrorMessage="1" sqref="Q14" xr:uid="{5CA2E866-D991-4CC0-93C4-A97F644298D3}">
      <formula1>$K$8:$K$9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utoCAD.Drawing.17" shapeId="4097" r:id="rId3">
          <objectPr defaultSize="0" autoPict="0" r:id="rId4">
            <anchor moveWithCells="1" sizeWithCells="1">
              <from>
                <xdr:col>4</xdr:col>
                <xdr:colOff>121920</xdr:colOff>
                <xdr:row>21</xdr:row>
                <xdr:rowOff>22860</xdr:rowOff>
              </from>
              <to>
                <xdr:col>8</xdr:col>
                <xdr:colOff>518160</xdr:colOff>
                <xdr:row>31</xdr:row>
                <xdr:rowOff>30480</xdr:rowOff>
              </to>
            </anchor>
          </objectPr>
        </oleObject>
      </mc:Choice>
      <mc:Fallback>
        <oleObject progId="AutoCAD.Drawing.17" shapeId="4097" r:id="rId3"/>
      </mc:Fallback>
    </mc:AlternateContent>
    <mc:AlternateContent xmlns:mc="http://schemas.openxmlformats.org/markup-compatibility/2006">
      <mc:Choice Requires="x14">
        <oleObject progId="AutoCAD.Drawing.17" shapeId="4098" r:id="rId5">
          <objectPr defaultSize="0" autoPict="0" r:id="rId6">
            <anchor moveWithCells="1" sizeWithCells="1">
              <from>
                <xdr:col>20</xdr:col>
                <xdr:colOff>60960</xdr:colOff>
                <xdr:row>45</xdr:row>
                <xdr:rowOff>60960</xdr:rowOff>
              </from>
              <to>
                <xdr:col>23</xdr:col>
                <xdr:colOff>228600</xdr:colOff>
                <xdr:row>55</xdr:row>
                <xdr:rowOff>60960</xdr:rowOff>
              </to>
            </anchor>
          </objectPr>
        </oleObject>
      </mc:Choice>
      <mc:Fallback>
        <oleObject progId="AutoCAD.Drawing.17" shapeId="4098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67A1-9187-46CF-806D-F968AA43553F}">
  <dimension ref="A1:AO134"/>
  <sheetViews>
    <sheetView topLeftCell="A44" zoomScale="70" zoomScaleNormal="70" workbookViewId="0">
      <selection activeCell="Q59" sqref="Q59"/>
    </sheetView>
  </sheetViews>
  <sheetFormatPr defaultColWidth="8.88671875" defaultRowHeight="14.4"/>
  <cols>
    <col min="1" max="1" width="8.88671875" style="66"/>
    <col min="2" max="2" width="8.77734375" style="66" bestFit="1" customWidth="1"/>
    <col min="3" max="3" width="15.6640625" style="66" customWidth="1"/>
    <col min="4" max="6" width="9" style="66" bestFit="1" customWidth="1"/>
    <col min="7" max="7" width="14.33203125" style="66" bestFit="1" customWidth="1"/>
    <col min="8" max="8" width="9" style="66" bestFit="1" customWidth="1"/>
    <col min="9" max="9" width="11.6640625" style="66" customWidth="1"/>
    <col min="10" max="10" width="8.88671875" style="66"/>
    <col min="11" max="11" width="9" style="66" bestFit="1" customWidth="1"/>
    <col min="12" max="12" width="10.44140625" style="66" bestFit="1" customWidth="1"/>
    <col min="13" max="16" width="8.88671875" style="66"/>
    <col min="17" max="17" width="10.6640625" style="66" bestFit="1" customWidth="1"/>
    <col min="18" max="30" width="8.88671875" style="66"/>
    <col min="31" max="31" width="8.88671875" style="66" customWidth="1"/>
    <col min="32" max="32" width="20.88671875" style="66" customWidth="1"/>
    <col min="33" max="33" width="17" style="66" customWidth="1"/>
    <col min="34" max="34" width="13.21875" style="66" customWidth="1"/>
    <col min="35" max="35" width="10.5546875" style="66" customWidth="1"/>
    <col min="36" max="36" width="13.88671875" style="66" customWidth="1"/>
    <col min="37" max="37" width="13.109375" style="66" customWidth="1"/>
    <col min="38" max="38" width="11.109375" style="66" customWidth="1"/>
    <col min="39" max="16384" width="8.88671875" style="66"/>
  </cols>
  <sheetData>
    <row r="1" spans="1:22" ht="18">
      <c r="A1" s="64"/>
      <c r="B1" s="64"/>
      <c r="C1" s="126" t="s">
        <v>164</v>
      </c>
      <c r="D1" s="126"/>
      <c r="E1" s="126"/>
      <c r="F1" s="126"/>
      <c r="G1" s="126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8">
      <c r="A2" s="64"/>
      <c r="B2" s="64"/>
      <c r="C2" s="126" t="s">
        <v>30</v>
      </c>
      <c r="D2" s="126"/>
      <c r="E2" s="126"/>
      <c r="F2" s="126"/>
      <c r="G2" s="126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1:22" ht="18">
      <c r="A3" s="64"/>
      <c r="B3" s="64"/>
      <c r="C3" s="126" t="s">
        <v>31</v>
      </c>
      <c r="D3" s="126"/>
      <c r="E3" s="126"/>
      <c r="F3" s="126"/>
      <c r="G3" s="126"/>
      <c r="H3" s="64"/>
      <c r="I3" s="64"/>
      <c r="J3" s="64"/>
      <c r="K3" s="64">
        <v>37</v>
      </c>
      <c r="L3" s="64"/>
      <c r="M3" s="64"/>
      <c r="N3" s="64"/>
      <c r="O3" s="136" t="s">
        <v>75</v>
      </c>
      <c r="P3" s="130"/>
      <c r="Q3" s="130"/>
      <c r="R3" s="64"/>
      <c r="S3" s="64"/>
      <c r="T3" s="64"/>
      <c r="U3" s="64"/>
      <c r="V3" s="64"/>
    </row>
    <row r="4" spans="1:22" ht="18">
      <c r="A4" s="64"/>
      <c r="B4" s="64"/>
      <c r="C4" s="126" t="s">
        <v>165</v>
      </c>
      <c r="D4" s="126"/>
      <c r="E4" s="126"/>
      <c r="F4" s="126"/>
      <c r="G4" s="126"/>
      <c r="H4" s="64"/>
      <c r="I4" s="64"/>
      <c r="J4" s="64"/>
      <c r="K4" s="64">
        <v>44</v>
      </c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</row>
    <row r="5" spans="1:22" ht="20.399999999999999">
      <c r="A5" s="64"/>
      <c r="B5" s="64"/>
      <c r="C5" s="126" t="s">
        <v>33</v>
      </c>
      <c r="D5" s="126"/>
      <c r="E5" s="126"/>
      <c r="F5" s="126"/>
      <c r="G5" s="126"/>
      <c r="H5" s="64"/>
      <c r="I5" s="64"/>
      <c r="J5" s="64"/>
      <c r="K5" s="64">
        <v>52</v>
      </c>
      <c r="L5" s="64"/>
      <c r="M5" s="64"/>
      <c r="N5" s="64"/>
      <c r="O5" s="139" t="s">
        <v>76</v>
      </c>
      <c r="P5" s="139"/>
      <c r="Q5" s="70">
        <f>(C24*C25)+(2*(C26*C27))</f>
        <v>168</v>
      </c>
      <c r="R5" s="81" t="s">
        <v>77</v>
      </c>
      <c r="S5" s="64"/>
      <c r="T5" s="64"/>
      <c r="U5" s="64"/>
      <c r="V5" s="64"/>
    </row>
    <row r="6" spans="1:22" ht="20.399999999999999">
      <c r="A6" s="64"/>
      <c r="B6" s="64"/>
      <c r="C6" s="126" t="s">
        <v>34</v>
      </c>
      <c r="D6" s="126"/>
      <c r="E6" s="126"/>
      <c r="F6" s="126"/>
      <c r="G6" s="126"/>
      <c r="H6" s="64"/>
      <c r="I6" s="64"/>
      <c r="J6" s="64"/>
      <c r="K6" s="64"/>
      <c r="L6" s="64"/>
      <c r="M6" s="64"/>
      <c r="N6" s="64"/>
      <c r="O6" s="140" t="s">
        <v>78</v>
      </c>
      <c r="P6" s="139"/>
      <c r="Q6" s="70">
        <f>ROUND(((C25*(C33)^3)/12)+2*(((C26*(C27)^3)/12)+(C26*C27*((C33/2)+(C27/2))^2)),2)</f>
        <v>112667.73</v>
      </c>
      <c r="R6" s="81" t="s">
        <v>79</v>
      </c>
      <c r="S6" s="64"/>
      <c r="T6" s="64"/>
      <c r="U6" s="64"/>
      <c r="V6" s="64"/>
    </row>
    <row r="7" spans="1:22" ht="21" thickBot="1">
      <c r="A7" s="67"/>
      <c r="B7" s="67"/>
      <c r="C7" s="131"/>
      <c r="D7" s="132"/>
      <c r="E7" s="132"/>
      <c r="F7" s="132"/>
      <c r="G7" s="132"/>
      <c r="H7" s="67"/>
      <c r="I7" s="67"/>
      <c r="J7" s="64"/>
      <c r="K7" s="64"/>
      <c r="L7" s="64"/>
      <c r="M7" s="64"/>
      <c r="N7" s="64"/>
      <c r="O7" s="141" t="s">
        <v>80</v>
      </c>
      <c r="P7" s="141"/>
      <c r="Q7" s="70">
        <f>ROUND(((C33*(C25)^3)/12)+2*((C27*(C26)^3)/12),2)</f>
        <v>9002.39</v>
      </c>
      <c r="R7" s="81" t="s">
        <v>79</v>
      </c>
      <c r="S7" s="64"/>
      <c r="T7" s="64"/>
      <c r="U7" s="64"/>
      <c r="V7" s="64"/>
    </row>
    <row r="8" spans="1:22" ht="21" thickTop="1">
      <c r="A8" s="133" t="s">
        <v>35</v>
      </c>
      <c r="B8" s="134"/>
      <c r="C8" s="125" t="s">
        <v>36</v>
      </c>
      <c r="D8" s="125"/>
      <c r="E8" s="68"/>
      <c r="F8" s="68"/>
      <c r="G8" s="136" t="s">
        <v>37</v>
      </c>
      <c r="H8" s="123">
        <v>52</v>
      </c>
      <c r="I8" s="64"/>
      <c r="J8" s="64"/>
      <c r="K8" s="64" t="s">
        <v>38</v>
      </c>
      <c r="L8" s="64"/>
      <c r="M8" s="64"/>
      <c r="N8" s="64"/>
      <c r="O8" s="141" t="s">
        <v>81</v>
      </c>
      <c r="P8" s="141"/>
      <c r="Q8" s="70">
        <f>ROUND(Q6/(C24/2),2)</f>
        <v>3755.59</v>
      </c>
      <c r="R8" s="81" t="s">
        <v>82</v>
      </c>
      <c r="S8" s="64"/>
      <c r="T8" s="64"/>
      <c r="U8" s="64"/>
      <c r="V8" s="64"/>
    </row>
    <row r="9" spans="1:22" ht="20.399999999999999">
      <c r="A9" s="135"/>
      <c r="B9" s="135"/>
      <c r="C9" s="125"/>
      <c r="D9" s="125"/>
      <c r="E9" s="68"/>
      <c r="F9" s="68"/>
      <c r="G9" s="126"/>
      <c r="H9" s="124"/>
      <c r="I9" s="64"/>
      <c r="J9" s="64"/>
      <c r="K9" s="64" t="s">
        <v>39</v>
      </c>
      <c r="L9" s="64"/>
      <c r="M9" s="64"/>
      <c r="N9" s="64"/>
      <c r="O9" s="141" t="s">
        <v>83</v>
      </c>
      <c r="P9" s="141"/>
      <c r="Q9" s="70">
        <f>ROUND(Q7/(C26/2),2)</f>
        <v>600.16</v>
      </c>
      <c r="R9" s="81" t="s">
        <v>82</v>
      </c>
      <c r="S9" s="64"/>
      <c r="T9" s="64"/>
      <c r="U9" s="64"/>
      <c r="V9" s="64"/>
    </row>
    <row r="10" spans="1:22" ht="20.399999999999999">
      <c r="A10" s="127" t="s">
        <v>40</v>
      </c>
      <c r="B10" s="128"/>
      <c r="C10" s="125" t="s">
        <v>166</v>
      </c>
      <c r="D10" s="68"/>
      <c r="E10" s="64"/>
      <c r="F10" s="129" t="s">
        <v>41</v>
      </c>
      <c r="G10" s="129"/>
      <c r="H10" s="70">
        <f>IF(H8=37,2.4,IF(H8=44,2.8,3.6))</f>
        <v>3.6</v>
      </c>
      <c r="I10" s="71" t="s">
        <v>42</v>
      </c>
      <c r="J10" s="64"/>
      <c r="K10" s="64"/>
      <c r="L10" s="64"/>
      <c r="M10" s="64"/>
      <c r="N10" s="64"/>
      <c r="O10" s="82"/>
      <c r="P10" s="82"/>
      <c r="Q10" s="64"/>
      <c r="R10" s="64"/>
      <c r="S10" s="64"/>
      <c r="T10" s="64"/>
      <c r="U10" s="64"/>
      <c r="V10" s="64"/>
    </row>
    <row r="11" spans="1:22" ht="20.399999999999999">
      <c r="A11" s="128"/>
      <c r="B11" s="128"/>
      <c r="C11" s="125"/>
      <c r="D11" s="68"/>
      <c r="E11" s="64"/>
      <c r="F11" s="129" t="s">
        <v>43</v>
      </c>
      <c r="G11" s="129"/>
      <c r="H11" s="70">
        <f>IF(H8=37,3.7,IF(H8=44,4.4,5.2))</f>
        <v>5.2</v>
      </c>
      <c r="I11" s="71" t="s">
        <v>42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</row>
    <row r="12" spans="1:22" ht="18">
      <c r="A12" s="64"/>
      <c r="B12" s="64"/>
      <c r="C12" s="72" t="s">
        <v>167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136" t="s">
        <v>84</v>
      </c>
      <c r="P12" s="130"/>
      <c r="Q12" s="130"/>
      <c r="R12" s="64"/>
      <c r="S12" s="64"/>
      <c r="T12" s="64"/>
      <c r="U12" s="64"/>
      <c r="V12" s="64"/>
    </row>
    <row r="13" spans="1:22" ht="18">
      <c r="A13" s="127" t="s">
        <v>45</v>
      </c>
      <c r="B13" s="128"/>
      <c r="C13" s="128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8"/>
      <c r="P13" s="68"/>
      <c r="Q13" s="68"/>
      <c r="R13" s="68"/>
      <c r="S13" s="64"/>
      <c r="T13" s="64"/>
      <c r="U13" s="64"/>
      <c r="V13" s="64"/>
    </row>
    <row r="14" spans="1:22" ht="18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137" t="s">
        <v>171</v>
      </c>
      <c r="P14" s="138"/>
      <c r="Q14" s="73">
        <v>2430</v>
      </c>
      <c r="R14" s="71" t="s">
        <v>53</v>
      </c>
      <c r="S14" s="64"/>
      <c r="T14" s="64"/>
      <c r="U14" s="64"/>
      <c r="V14" s="64"/>
    </row>
    <row r="15" spans="1:22" ht="20.399999999999999" hidden="1">
      <c r="A15" s="139" t="s">
        <v>168</v>
      </c>
      <c r="B15" s="139"/>
      <c r="C15" s="73">
        <v>0</v>
      </c>
      <c r="D15" s="71" t="s">
        <v>47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137" t="s">
        <v>86</v>
      </c>
      <c r="P15" s="138"/>
      <c r="Q15" s="79" t="s">
        <v>39</v>
      </c>
      <c r="R15" s="64"/>
      <c r="S15" s="64"/>
      <c r="T15" s="64"/>
      <c r="U15" s="64"/>
      <c r="V15" s="64"/>
    </row>
    <row r="16" spans="1:22" ht="20.399999999999999" hidden="1">
      <c r="A16" s="139" t="s">
        <v>169</v>
      </c>
      <c r="B16" s="139"/>
      <c r="C16" s="73">
        <v>0</v>
      </c>
      <c r="D16" s="71" t="s">
        <v>47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137" t="s">
        <v>87</v>
      </c>
      <c r="P16" s="138"/>
      <c r="Q16" s="77">
        <v>10</v>
      </c>
      <c r="R16" s="64"/>
      <c r="S16" s="68"/>
      <c r="T16" s="126" t="s">
        <v>88</v>
      </c>
      <c r="U16" s="126"/>
      <c r="V16" s="68"/>
    </row>
    <row r="17" spans="1:24" ht="20.399999999999999">
      <c r="A17" s="139" t="s">
        <v>170</v>
      </c>
      <c r="B17" s="139"/>
      <c r="C17" s="73">
        <v>58.797910000000002</v>
      </c>
      <c r="D17" s="71" t="s">
        <v>47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174" t="s">
        <v>89</v>
      </c>
      <c r="P17" s="175"/>
      <c r="Q17" s="73" t="s">
        <v>172</v>
      </c>
      <c r="R17" s="71" t="s">
        <v>90</v>
      </c>
      <c r="S17" s="64"/>
      <c r="T17" s="126" t="s">
        <v>91</v>
      </c>
      <c r="U17" s="126"/>
      <c r="V17" s="64"/>
    </row>
    <row r="18" spans="1:24" ht="18">
      <c r="A18" s="139" t="s">
        <v>48</v>
      </c>
      <c r="B18" s="139"/>
      <c r="C18" s="73">
        <v>26.7</v>
      </c>
      <c r="D18" s="71" t="s">
        <v>49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137" t="s">
        <v>92</v>
      </c>
      <c r="P18" s="138"/>
      <c r="Q18" s="73" t="s">
        <v>172</v>
      </c>
      <c r="R18" s="71" t="s">
        <v>53</v>
      </c>
      <c r="S18" s="64"/>
      <c r="T18" s="126" t="s">
        <v>91</v>
      </c>
      <c r="U18" s="126"/>
      <c r="V18" s="64"/>
    </row>
    <row r="19" spans="1:24" ht="18">
      <c r="A19" s="139" t="s">
        <v>50</v>
      </c>
      <c r="B19" s="139"/>
      <c r="C19" s="73">
        <v>0.67</v>
      </c>
      <c r="D19" s="71" t="s">
        <v>49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137" t="s">
        <v>93</v>
      </c>
      <c r="P19" s="138"/>
      <c r="Q19" s="83" t="s">
        <v>173</v>
      </c>
      <c r="R19" s="64"/>
      <c r="S19" s="64"/>
      <c r="T19" s="64"/>
      <c r="U19" s="64"/>
      <c r="V19" s="64"/>
    </row>
    <row r="20" spans="1:24" ht="18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137" t="s">
        <v>94</v>
      </c>
      <c r="P20" s="138"/>
      <c r="Q20" s="73">
        <v>1.8</v>
      </c>
      <c r="R20" s="64"/>
      <c r="S20" s="126" t="s">
        <v>95</v>
      </c>
      <c r="T20" s="126"/>
      <c r="U20" s="126"/>
      <c r="V20" s="126"/>
    </row>
    <row r="21" spans="1:24" ht="18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</row>
    <row r="22" spans="1:24" ht="20.399999999999999">
      <c r="A22" s="127" t="s">
        <v>51</v>
      </c>
      <c r="B22" s="128"/>
      <c r="C22" s="128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137" t="s">
        <v>96</v>
      </c>
      <c r="P22" s="138"/>
      <c r="Q22" s="70">
        <f>ROUND(Q20*Q14,2)</f>
        <v>4374</v>
      </c>
      <c r="R22" s="71" t="s">
        <v>53</v>
      </c>
      <c r="S22" s="64"/>
      <c r="T22" s="64"/>
      <c r="U22" s="64"/>
      <c r="V22" s="64"/>
    </row>
    <row r="23" spans="1:24" ht="18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137" t="s">
        <v>97</v>
      </c>
      <c r="P23" s="138"/>
      <c r="Q23" s="73">
        <v>540</v>
      </c>
      <c r="R23" s="71" t="s">
        <v>53</v>
      </c>
      <c r="S23" s="158" t="s">
        <v>98</v>
      </c>
      <c r="T23" s="126"/>
      <c r="U23" s="126"/>
      <c r="V23" s="126"/>
    </row>
    <row r="24" spans="1:24" ht="18">
      <c r="A24" s="139" t="s">
        <v>52</v>
      </c>
      <c r="B24" s="139"/>
      <c r="C24" s="73">
        <v>60</v>
      </c>
      <c r="D24" s="71" t="s">
        <v>53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</row>
    <row r="25" spans="1:24" ht="20.399999999999999">
      <c r="A25" s="137" t="s">
        <v>54</v>
      </c>
      <c r="B25" s="138"/>
      <c r="C25" s="73">
        <v>0.8</v>
      </c>
      <c r="D25" s="71" t="s">
        <v>53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</row>
    <row r="26" spans="1:24" ht="20.399999999999999">
      <c r="A26" s="137" t="s">
        <v>55</v>
      </c>
      <c r="B26" s="138"/>
      <c r="C26" s="73">
        <v>30</v>
      </c>
      <c r="D26" s="71" t="s">
        <v>53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64" t="s">
        <v>129</v>
      </c>
      <c r="P26" s="164"/>
      <c r="Q26" s="164"/>
      <c r="R26" s="165" t="s">
        <v>130</v>
      </c>
      <c r="S26" s="165"/>
      <c r="T26" s="165"/>
      <c r="U26" s="88"/>
      <c r="V26" s="88"/>
      <c r="W26" s="88"/>
      <c r="X26" s="64"/>
    </row>
    <row r="27" spans="1:24" ht="20.399999999999999">
      <c r="A27" s="137" t="s">
        <v>56</v>
      </c>
      <c r="B27" s="138"/>
      <c r="C27" s="73">
        <v>2</v>
      </c>
      <c r="D27" s="71" t="s">
        <v>53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88"/>
      <c r="P27" s="88"/>
      <c r="Q27" s="88"/>
      <c r="R27" s="88"/>
      <c r="S27" s="88"/>
      <c r="T27" s="88"/>
      <c r="U27" s="88"/>
      <c r="V27" s="88"/>
      <c r="W27" s="88"/>
      <c r="X27" s="64"/>
    </row>
    <row r="28" spans="1:24" ht="1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88"/>
      <c r="P28" s="88"/>
      <c r="Q28" s="156" t="s">
        <v>132</v>
      </c>
      <c r="R28" s="156"/>
      <c r="S28" s="89">
        <f>ROUND(IF(H42="compact",(G62-(((G62-ROUND(H10*Q8,2)))*((MAX(D36,I36)-I38)/(I39-I38))))*0.01,"-"),2)</f>
        <v>1237.42</v>
      </c>
      <c r="T28" s="88" t="s">
        <v>47</v>
      </c>
      <c r="U28" s="90" t="s">
        <v>133</v>
      </c>
      <c r="V28" s="89"/>
      <c r="W28" s="88"/>
      <c r="X28" s="64"/>
    </row>
    <row r="29" spans="1:24" ht="18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88"/>
      <c r="P29" s="88"/>
      <c r="Q29" s="156" t="s">
        <v>134</v>
      </c>
      <c r="R29" s="156"/>
      <c r="S29" s="89">
        <f>IF(ROUND((G62-((G62-(ROUND(F58*Q8*0.01,2)))*((D36-D38)/(D39-D38)))),2)&lt;=G62,ROUND((G62-((G62-(ROUND(F58*Q8*0.01,2)))*((D36-D38)/(D39-D38)))),2),G62)</f>
        <v>147.12</v>
      </c>
      <c r="T29" s="88" t="s">
        <v>47</v>
      </c>
      <c r="U29" s="90" t="s">
        <v>135</v>
      </c>
      <c r="V29" s="89"/>
      <c r="W29" s="88"/>
      <c r="X29" s="64"/>
    </row>
    <row r="30" spans="1:24" ht="18">
      <c r="A30" s="127" t="s">
        <v>57</v>
      </c>
      <c r="B30" s="128"/>
      <c r="C30" s="128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88"/>
      <c r="P30" s="88"/>
      <c r="Q30" s="156" t="s">
        <v>137</v>
      </c>
      <c r="R30" s="156"/>
      <c r="S30" s="89">
        <f>MIN(S28,S29)</f>
        <v>147.12</v>
      </c>
      <c r="T30" s="88" t="s">
        <v>47</v>
      </c>
      <c r="U30" s="88"/>
      <c r="V30" s="88"/>
      <c r="W30" s="88"/>
      <c r="X30" s="64"/>
    </row>
    <row r="31" spans="1:24" ht="18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88"/>
      <c r="P31" s="88"/>
      <c r="Q31" s="88"/>
      <c r="R31" s="88"/>
      <c r="S31" s="88"/>
      <c r="T31" s="88"/>
      <c r="U31" s="88"/>
      <c r="V31" s="88"/>
      <c r="W31" s="88"/>
      <c r="X31" s="64"/>
    </row>
    <row r="32" spans="1:24" ht="20.399999999999999">
      <c r="A32" s="64"/>
      <c r="B32" s="75" t="s">
        <v>58</v>
      </c>
      <c r="C32" s="64"/>
      <c r="D32" s="64"/>
      <c r="E32" s="64"/>
      <c r="F32" s="68"/>
      <c r="G32" s="75" t="s">
        <v>59</v>
      </c>
      <c r="H32" s="75"/>
      <c r="I32" s="64"/>
      <c r="J32" s="64"/>
      <c r="K32" s="64"/>
      <c r="L32" s="64"/>
      <c r="M32" s="64"/>
      <c r="N32" s="64"/>
      <c r="O32" s="88"/>
      <c r="P32" s="88"/>
      <c r="Q32" s="156" t="s">
        <v>140</v>
      </c>
      <c r="R32" s="156"/>
      <c r="S32" s="89">
        <f>ROUND(F51+((F59-F51)*((G62-S30)/(G62-ROUND(F58*Q8*0.01,2)))),2)</f>
        <v>346.93</v>
      </c>
      <c r="T32" s="88" t="s">
        <v>53</v>
      </c>
      <c r="U32" s="88"/>
      <c r="V32" s="91"/>
      <c r="W32" s="91"/>
      <c r="X32" s="64"/>
    </row>
    <row r="33" spans="1:24" ht="20.399999999999999">
      <c r="A33" s="64"/>
      <c r="B33" s="71" t="s">
        <v>60</v>
      </c>
      <c r="C33" s="70">
        <f>C24-(2*C27)</f>
        <v>56</v>
      </c>
      <c r="D33" s="71" t="s">
        <v>53</v>
      </c>
      <c r="E33" s="64"/>
      <c r="F33" s="64"/>
      <c r="G33" s="71" t="s">
        <v>61</v>
      </c>
      <c r="H33" s="70">
        <f>(C26/2)</f>
        <v>15</v>
      </c>
      <c r="I33" s="71" t="s">
        <v>53</v>
      </c>
      <c r="J33" s="64"/>
      <c r="K33" s="64"/>
      <c r="L33" s="64"/>
      <c r="M33" s="64"/>
      <c r="N33" s="64"/>
      <c r="O33" s="88"/>
      <c r="P33" s="88"/>
      <c r="Q33" s="88"/>
      <c r="R33" s="88"/>
      <c r="S33" s="88"/>
      <c r="T33" s="88"/>
      <c r="U33" s="88"/>
      <c r="V33" s="88"/>
      <c r="W33" s="88"/>
      <c r="X33" s="64"/>
    </row>
    <row r="34" spans="1:24" ht="20.399999999999999">
      <c r="A34" s="64"/>
      <c r="B34" s="71" t="s">
        <v>54</v>
      </c>
      <c r="C34" s="70">
        <f>C25</f>
        <v>0.8</v>
      </c>
      <c r="D34" s="71" t="s">
        <v>53</v>
      </c>
      <c r="E34" s="64"/>
      <c r="F34" s="64"/>
      <c r="G34" s="71" t="s">
        <v>56</v>
      </c>
      <c r="H34" s="70">
        <f>C27</f>
        <v>2</v>
      </c>
      <c r="I34" s="71" t="s">
        <v>53</v>
      </c>
      <c r="J34" s="64"/>
      <c r="K34" s="64" t="s">
        <v>62</v>
      </c>
      <c r="L34" s="64">
        <f>ROUND(0.5*(C18/(C33*C34*H10)+1),2)</f>
        <v>0.57999999999999996</v>
      </c>
      <c r="M34" s="64"/>
      <c r="N34" s="64"/>
      <c r="O34" s="88"/>
      <c r="P34" s="88"/>
      <c r="Q34" s="88"/>
      <c r="R34" s="88"/>
      <c r="S34" s="88"/>
      <c r="T34" s="88"/>
      <c r="U34" s="88"/>
      <c r="V34" s="88"/>
      <c r="W34" s="88"/>
      <c r="X34" s="64"/>
    </row>
    <row r="35" spans="1:24" ht="18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88"/>
      <c r="P35" s="166" t="str">
        <f>IF(Q23&lt;=S32,"Case ( a )",IF(AND(S32&lt;Q23,Q23&lt;=F59),"case ( b )","Case ( C )"))</f>
        <v>case ( b )</v>
      </c>
      <c r="Q35" s="166"/>
      <c r="R35" s="88"/>
      <c r="S35" s="88"/>
      <c r="T35" s="88"/>
      <c r="U35" s="88"/>
      <c r="V35" s="88"/>
      <c r="W35" s="88"/>
      <c r="X35" s="64"/>
    </row>
    <row r="36" spans="1:24" ht="18">
      <c r="A36" s="64"/>
      <c r="B36" s="146" t="s">
        <v>63</v>
      </c>
      <c r="C36" s="147"/>
      <c r="D36" s="150">
        <f>ROUND(C33/C34,2)</f>
        <v>70</v>
      </c>
      <c r="E36" s="64"/>
      <c r="F36" s="64"/>
      <c r="G36" s="146" t="s">
        <v>63</v>
      </c>
      <c r="H36" s="147"/>
      <c r="I36" s="150">
        <f>ROUND(H33/H34,2)</f>
        <v>7.5</v>
      </c>
      <c r="J36" s="64"/>
      <c r="K36" s="64"/>
      <c r="L36" s="99"/>
      <c r="M36" s="64"/>
      <c r="N36" s="64"/>
      <c r="O36" s="88"/>
      <c r="P36" s="166"/>
      <c r="Q36" s="166"/>
      <c r="R36" s="88"/>
      <c r="S36" s="88"/>
      <c r="T36" s="88"/>
      <c r="U36" s="88"/>
      <c r="V36" s="88"/>
      <c r="W36" s="88"/>
      <c r="X36" s="64"/>
    </row>
    <row r="37" spans="1:24" ht="18">
      <c r="A37" s="78" t="s">
        <v>64</v>
      </c>
      <c r="B37" s="148"/>
      <c r="C37" s="149"/>
      <c r="D37" s="151"/>
      <c r="E37" s="64"/>
      <c r="F37" s="65" t="s">
        <v>65</v>
      </c>
      <c r="G37" s="148"/>
      <c r="H37" s="149"/>
      <c r="I37" s="151"/>
      <c r="J37" s="64"/>
      <c r="K37" s="64"/>
      <c r="L37" s="64"/>
      <c r="M37" s="64"/>
      <c r="N37" s="64"/>
      <c r="O37" s="88"/>
      <c r="P37" s="88"/>
      <c r="Q37" s="88"/>
      <c r="R37" s="88"/>
      <c r="S37" s="88"/>
      <c r="T37" s="88"/>
      <c r="U37" s="88"/>
      <c r="V37" s="88"/>
      <c r="W37" s="88"/>
      <c r="X37" s="64"/>
    </row>
    <row r="38" spans="1:24" ht="18">
      <c r="A38" s="78" t="s">
        <v>66</v>
      </c>
      <c r="B38" s="152" t="s">
        <v>67</v>
      </c>
      <c r="C38" s="153"/>
      <c r="D38" s="70">
        <f>ROUND(127/SQRT(H10),2)</f>
        <v>66.930000000000007</v>
      </c>
      <c r="E38" s="64"/>
      <c r="F38" s="65" t="s">
        <v>68</v>
      </c>
      <c r="G38" s="152" t="s">
        <v>69</v>
      </c>
      <c r="H38" s="153"/>
      <c r="I38" s="70">
        <f>ROUND(15.3/SQRT(H10),2)</f>
        <v>8.06</v>
      </c>
      <c r="J38" s="64"/>
      <c r="K38" s="64"/>
      <c r="L38" s="64"/>
      <c r="M38" s="64"/>
      <c r="N38" s="64"/>
      <c r="O38" s="88"/>
      <c r="P38" s="88"/>
      <c r="Q38" s="88"/>
      <c r="R38" s="88"/>
      <c r="S38" s="88"/>
      <c r="T38" s="88"/>
      <c r="U38" s="88"/>
      <c r="V38" s="88"/>
      <c r="W38" s="88"/>
      <c r="X38" s="64"/>
    </row>
    <row r="39" spans="1:24" ht="20.399999999999999">
      <c r="A39" s="65" t="s">
        <v>70</v>
      </c>
      <c r="B39" s="154" t="s">
        <v>71</v>
      </c>
      <c r="C39" s="139"/>
      <c r="D39" s="70">
        <f>ROUND(222/SQRT(H10),2)</f>
        <v>117</v>
      </c>
      <c r="E39" s="64"/>
      <c r="F39" s="65" t="s">
        <v>72</v>
      </c>
      <c r="G39" s="154" t="s">
        <v>71</v>
      </c>
      <c r="H39" s="139"/>
      <c r="I39" s="70">
        <f>ROUND(28/SQRT(H10),2)</f>
        <v>14.76</v>
      </c>
      <c r="J39" s="64"/>
      <c r="K39" s="64"/>
      <c r="L39" s="64"/>
      <c r="M39" s="64"/>
      <c r="N39" s="64"/>
      <c r="O39" s="168" t="s">
        <v>116</v>
      </c>
      <c r="P39" s="168"/>
      <c r="Q39" s="156" t="s">
        <v>117</v>
      </c>
      <c r="R39" s="156"/>
      <c r="S39" s="88">
        <v>0.6</v>
      </c>
      <c r="T39" s="88"/>
      <c r="U39" s="88"/>
      <c r="V39" s="88"/>
      <c r="W39" s="88"/>
      <c r="X39" s="64"/>
    </row>
    <row r="40" spans="1:24" ht="1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168" t="s">
        <v>119</v>
      </c>
      <c r="P40" s="168"/>
      <c r="Q40" s="156" t="s">
        <v>120</v>
      </c>
      <c r="R40" s="156"/>
      <c r="S40" s="89">
        <f>IF(P35="Case ( b )",ROUND(F58*Q8*0.01,2),"-")</f>
        <v>81.12</v>
      </c>
      <c r="T40" s="88"/>
      <c r="U40" s="88"/>
      <c r="V40" s="88"/>
      <c r="W40" s="88"/>
      <c r="X40" s="64"/>
    </row>
    <row r="41" spans="1:24" ht="1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168" t="s">
        <v>122</v>
      </c>
      <c r="P41" s="168"/>
      <c r="Q41" s="156" t="s">
        <v>123</v>
      </c>
      <c r="R41" s="156"/>
      <c r="S41" s="89" t="str">
        <f>IF(P35="Case ( C )",ROUND(Q8*SQRT((((1380*F56)/(C24*Q23))^2)+((20700/((Q23/F55)^2))^2))*0.01,2),"-")</f>
        <v>-</v>
      </c>
      <c r="T41" s="88"/>
      <c r="U41" s="88"/>
      <c r="V41" s="88"/>
      <c r="W41" s="88"/>
      <c r="X41" s="64"/>
    </row>
    <row r="42" spans="1:24" ht="18">
      <c r="A42" s="64"/>
      <c r="B42" s="139" t="s">
        <v>73</v>
      </c>
      <c r="C42" s="142" t="str">
        <f>IF(D36&lt;=D38,"compact",IF(D36&lt;=D39,"non compact","slender"))</f>
        <v>non compact</v>
      </c>
      <c r="D42" s="143"/>
      <c r="E42" s="64"/>
      <c r="F42" s="64"/>
      <c r="G42" s="139" t="s">
        <v>73</v>
      </c>
      <c r="H42" s="139" t="str">
        <f>IF((I36)&lt;=I38,"compact",IF(AND(I38&lt;I36,I36&lt;I39),"non compact","slender"))</f>
        <v>compact</v>
      </c>
      <c r="I42" s="139"/>
      <c r="J42" s="64"/>
      <c r="K42" s="64"/>
      <c r="L42" s="64"/>
      <c r="M42" s="64"/>
      <c r="N42" s="64"/>
      <c r="O42" s="88"/>
      <c r="P42" s="88"/>
      <c r="Q42" s="88"/>
      <c r="R42" s="88"/>
      <c r="S42" s="88"/>
      <c r="T42" s="88"/>
      <c r="U42" s="88"/>
      <c r="V42" s="88"/>
      <c r="W42" s="88"/>
      <c r="X42" s="64"/>
    </row>
    <row r="43" spans="1:24" ht="18">
      <c r="A43" s="64"/>
      <c r="B43" s="139"/>
      <c r="C43" s="144"/>
      <c r="D43" s="145"/>
      <c r="E43" s="64"/>
      <c r="F43" s="64"/>
      <c r="G43" s="139"/>
      <c r="H43" s="139"/>
      <c r="I43" s="139"/>
      <c r="J43" s="64"/>
      <c r="K43" s="64"/>
      <c r="L43" s="64"/>
      <c r="M43" s="64"/>
      <c r="N43" s="64"/>
      <c r="O43" s="168" t="s">
        <v>135</v>
      </c>
      <c r="P43" s="168"/>
      <c r="Q43" s="156" t="s">
        <v>124</v>
      </c>
      <c r="R43" s="156"/>
      <c r="S43" s="89">
        <f>IF(IF(P35="Case ( a )",S30,IF(P35="Case ( b )",ROUND((G62-((G62-S40)*((Q23-F51)/(F59-F51))))*S39,2),ROUND(F67*S39,2)))&lt;=G62,IF(P35="Case ( a )",S30,IF(P35="Case ( b )",ROUND((G62-((G62-S40)*((Q23-F51)/(F59-F51))))*S39,2),ROUND(F67*S39,2))),G62)</f>
        <v>75.23</v>
      </c>
      <c r="T43" s="88" t="s">
        <v>47</v>
      </c>
      <c r="U43" s="88"/>
      <c r="V43" s="88"/>
      <c r="W43" s="88"/>
      <c r="X43" s="64"/>
    </row>
    <row r="44" spans="1:24" ht="18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88"/>
      <c r="P44" s="88"/>
      <c r="Q44" s="169" t="s">
        <v>125</v>
      </c>
      <c r="R44" s="156"/>
      <c r="S44" s="88">
        <v>0.85</v>
      </c>
      <c r="T44" s="88"/>
      <c r="U44" s="88"/>
      <c r="V44" s="168" t="str">
        <f>IF(S45&gt;MAX(C15,C16,C17),"Safe","Unsafe")</f>
        <v>Safe</v>
      </c>
      <c r="W44" s="168"/>
      <c r="X44" s="64"/>
    </row>
    <row r="45" spans="1:24" ht="18">
      <c r="A45" s="64"/>
      <c r="B45" s="64"/>
      <c r="C45" s="64"/>
      <c r="D45" s="139" t="s">
        <v>74</v>
      </c>
      <c r="E45" s="139"/>
      <c r="F45" s="159" t="str">
        <f>IF(AND(C42="compact",H42="compact"),"compact",IF(OR(C42="non compact",H42="non compact"),"non compact",IF(OR(C42="slender",H42="slender"),"slender","check")))</f>
        <v>non compact</v>
      </c>
      <c r="G45" s="159"/>
      <c r="H45" s="64"/>
      <c r="I45" s="64"/>
      <c r="J45" s="64"/>
      <c r="K45" s="64"/>
      <c r="L45" s="64"/>
      <c r="M45" s="64"/>
      <c r="N45" s="64"/>
      <c r="O45" s="88"/>
      <c r="P45" s="88"/>
      <c r="Q45" s="170" t="s">
        <v>126</v>
      </c>
      <c r="R45" s="156"/>
      <c r="S45" s="87">
        <f>ROUND(S43*S44,2)</f>
        <v>63.95</v>
      </c>
      <c r="T45" s="88" t="s">
        <v>47</v>
      </c>
      <c r="U45" s="88"/>
      <c r="V45" s="168"/>
      <c r="W45" s="168"/>
      <c r="X45" s="64"/>
    </row>
    <row r="46" spans="1:24" ht="18">
      <c r="A46" s="64"/>
      <c r="B46" s="64"/>
      <c r="C46" s="64"/>
      <c r="D46" s="139"/>
      <c r="E46" s="139"/>
      <c r="F46" s="159"/>
      <c r="G46" s="159"/>
      <c r="H46" s="64"/>
      <c r="I46" s="64"/>
      <c r="J46" s="64"/>
      <c r="K46" s="64"/>
      <c r="L46" s="64"/>
      <c r="M46" s="64"/>
      <c r="N46" s="64"/>
      <c r="O46" s="88"/>
      <c r="P46" s="88"/>
      <c r="Q46" s="88"/>
      <c r="R46" s="88"/>
      <c r="S46" s="88"/>
      <c r="T46" s="88"/>
      <c r="U46" s="88"/>
      <c r="V46" s="88"/>
      <c r="W46" s="88"/>
      <c r="X46" s="64"/>
    </row>
    <row r="47" spans="1:24" ht="18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88"/>
      <c r="P47" s="88"/>
      <c r="Q47" s="88"/>
      <c r="R47" s="88"/>
      <c r="S47" s="88"/>
      <c r="T47" s="88"/>
      <c r="U47" s="88"/>
      <c r="V47" s="88"/>
      <c r="W47" s="88"/>
      <c r="X47" s="64"/>
    </row>
    <row r="48" spans="1:24" ht="18">
      <c r="A48" s="64"/>
      <c r="B48" s="136" t="s">
        <v>99</v>
      </c>
      <c r="C48" s="130"/>
      <c r="D48" s="130"/>
      <c r="E48" s="75" t="s">
        <v>100</v>
      </c>
      <c r="F48" s="64"/>
      <c r="G48" s="64"/>
      <c r="H48" s="126" t="s">
        <v>101</v>
      </c>
      <c r="I48" s="126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2:22" ht="18"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136" t="s">
        <v>127</v>
      </c>
      <c r="N49" s="130"/>
      <c r="O49" s="130"/>
      <c r="P49" s="64"/>
      <c r="Q49" s="75" t="s">
        <v>128</v>
      </c>
      <c r="R49" s="64"/>
      <c r="S49" s="64"/>
      <c r="T49" s="64"/>
      <c r="U49" s="64"/>
      <c r="V49" s="64"/>
    </row>
    <row r="50" spans="2:22" ht="20.399999999999999">
      <c r="B50" s="64"/>
      <c r="C50" s="64"/>
      <c r="D50" s="139" t="s">
        <v>102</v>
      </c>
      <c r="E50" s="139"/>
      <c r="F50" s="70">
        <f>ROUND(((Q7/Q5)^0.5),2)</f>
        <v>7.32</v>
      </c>
      <c r="G50" s="71" t="s">
        <v>53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</row>
    <row r="51" spans="2:22" ht="20.399999999999999">
      <c r="B51" s="126" t="s">
        <v>103</v>
      </c>
      <c r="C51" s="126"/>
      <c r="D51" s="139" t="s">
        <v>104</v>
      </c>
      <c r="E51" s="139"/>
      <c r="F51" s="70">
        <f>ROUND((80*F50)/SQRT(H10),2)</f>
        <v>308.64</v>
      </c>
      <c r="G51" s="71" t="s">
        <v>53</v>
      </c>
      <c r="H51" s="64"/>
      <c r="I51" s="64"/>
      <c r="J51" s="64"/>
      <c r="K51" s="64"/>
      <c r="L51" s="64"/>
      <c r="M51" s="64"/>
      <c r="N51" s="64"/>
      <c r="O51" s="139" t="s">
        <v>131</v>
      </c>
      <c r="P51" s="139"/>
      <c r="Q51" s="70">
        <f>ROUND(SQRT(Q6/Q5),2)</f>
        <v>25.9</v>
      </c>
      <c r="R51" s="71" t="s">
        <v>53</v>
      </c>
      <c r="S51" s="64"/>
      <c r="T51" s="64"/>
      <c r="U51" s="64"/>
      <c r="V51" s="64"/>
    </row>
    <row r="52" spans="2:22" ht="20.399999999999999">
      <c r="B52" s="130"/>
      <c r="C52" s="130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139" t="s">
        <v>102</v>
      </c>
      <c r="P52" s="139"/>
      <c r="Q52" s="70">
        <f>ROUND(SQRT(Q7/Q5),2)</f>
        <v>7.32</v>
      </c>
      <c r="R52" s="71" t="s">
        <v>53</v>
      </c>
      <c r="S52" s="64"/>
      <c r="T52" s="64"/>
      <c r="U52" s="64"/>
      <c r="V52" s="64"/>
    </row>
    <row r="53" spans="2:22" ht="19.8">
      <c r="B53" s="126" t="s">
        <v>105</v>
      </c>
      <c r="C53" s="126"/>
      <c r="D53" s="139" t="s">
        <v>106</v>
      </c>
      <c r="E53" s="139"/>
      <c r="F53" s="70">
        <f>ROUND(((C33/6)*C25)+(C26*C27),2)</f>
        <v>67.47</v>
      </c>
      <c r="G53" s="71" t="s">
        <v>107</v>
      </c>
      <c r="H53" s="64"/>
      <c r="I53" s="64"/>
      <c r="J53" s="64"/>
      <c r="K53" s="64"/>
      <c r="L53" s="64"/>
      <c r="M53" s="64"/>
      <c r="N53" s="64"/>
      <c r="O53" s="154" t="s">
        <v>136</v>
      </c>
      <c r="P53" s="139"/>
      <c r="Q53" s="70">
        <f>ROUND(Q22/Q51,2)</f>
        <v>168.88</v>
      </c>
      <c r="R53" s="64"/>
      <c r="S53" s="64"/>
      <c r="T53" s="64"/>
      <c r="U53" s="64"/>
      <c r="V53" s="64"/>
    </row>
    <row r="54" spans="2:22" ht="20.399999999999999">
      <c r="B54" s="126"/>
      <c r="C54" s="126"/>
      <c r="D54" s="141" t="s">
        <v>80</v>
      </c>
      <c r="E54" s="141"/>
      <c r="F54" s="70">
        <f>ROUND((((C33/6)*(C25^3))/12)+((C27*(C26^3))/12),2)</f>
        <v>4500.3999999999996</v>
      </c>
      <c r="G54" s="84" t="s">
        <v>79</v>
      </c>
      <c r="H54" s="64"/>
      <c r="I54" s="64"/>
      <c r="J54" s="64"/>
      <c r="K54" s="64"/>
      <c r="L54" s="64"/>
      <c r="M54" s="64"/>
      <c r="N54" s="64"/>
      <c r="O54" s="154" t="s">
        <v>138</v>
      </c>
      <c r="P54" s="139"/>
      <c r="Q54" s="70">
        <f>ROUND(Q23/Q52,2)</f>
        <v>73.77</v>
      </c>
      <c r="R54" s="64"/>
      <c r="S54" s="64"/>
      <c r="T54" s="64"/>
      <c r="U54" s="64"/>
      <c r="V54" s="64"/>
    </row>
    <row r="55" spans="2:22" ht="20.399999999999999">
      <c r="B55" s="64"/>
      <c r="C55" s="64"/>
      <c r="D55" s="139" t="s">
        <v>108</v>
      </c>
      <c r="E55" s="139"/>
      <c r="F55" s="70">
        <f>ROUND(SQRT(F54/F53),2)</f>
        <v>8.17</v>
      </c>
      <c r="G55" s="71" t="s">
        <v>53</v>
      </c>
      <c r="H55" s="64"/>
      <c r="I55" s="64"/>
      <c r="J55" s="64"/>
      <c r="K55" s="64"/>
      <c r="L55" s="64"/>
      <c r="M55" s="64"/>
      <c r="N55" s="64"/>
      <c r="O55" s="154" t="s">
        <v>139</v>
      </c>
      <c r="P55" s="139"/>
      <c r="Q55" s="70">
        <f>MAX(Q53,Q54)</f>
        <v>168.88</v>
      </c>
      <c r="R55" s="64"/>
      <c r="S55" s="64"/>
      <c r="T55" s="64"/>
      <c r="U55" s="64"/>
      <c r="V55" s="64"/>
    </row>
    <row r="56" spans="2:22" ht="19.8">
      <c r="B56" s="64"/>
      <c r="C56" s="64"/>
      <c r="D56" s="139" t="s">
        <v>109</v>
      </c>
      <c r="E56" s="139"/>
      <c r="F56" s="70">
        <f>ROUND(C26*C27,2)</f>
        <v>60</v>
      </c>
      <c r="G56" s="71" t="s">
        <v>107</v>
      </c>
      <c r="H56" s="64"/>
      <c r="I56" s="64"/>
      <c r="J56" s="64"/>
      <c r="K56" s="64"/>
      <c r="L56" s="64"/>
      <c r="M56" s="126" t="s">
        <v>141</v>
      </c>
      <c r="N56" s="161"/>
      <c r="O56" s="154" t="s">
        <v>142</v>
      </c>
      <c r="P56" s="139"/>
      <c r="Q56" s="70">
        <f>ROUND((Q55/3.14)*SQRT(H10/2100),2)</f>
        <v>2.23</v>
      </c>
      <c r="R56" s="64"/>
      <c r="S56" s="64"/>
      <c r="T56" s="64"/>
      <c r="U56" s="64"/>
      <c r="V56" s="64"/>
    </row>
    <row r="57" spans="2:22" ht="20.399999999999999">
      <c r="B57" s="126" t="s">
        <v>110</v>
      </c>
      <c r="C57" s="126"/>
      <c r="D57" s="139" t="s">
        <v>111</v>
      </c>
      <c r="E57" s="139"/>
      <c r="F57" s="70">
        <f>ROUND(((0.104*F55*C24)/F56)^2,2)</f>
        <v>0.72</v>
      </c>
      <c r="G57" s="64"/>
      <c r="H57" s="64"/>
      <c r="I57" s="64"/>
      <c r="J57" s="64"/>
      <c r="K57" s="64"/>
      <c r="L57" s="64"/>
      <c r="M57" s="126" t="s">
        <v>143</v>
      </c>
      <c r="N57" s="167"/>
      <c r="O57" s="139" t="s">
        <v>144</v>
      </c>
      <c r="P57" s="139"/>
      <c r="Q57" s="70">
        <f>IF(Q56&lt;=1.5,ROUND(H10*(1-(0.384*(Q56^2))),2),ROUND(0.684*(H10/(Q56^2)),2))</f>
        <v>0.5</v>
      </c>
      <c r="R57" s="64"/>
      <c r="S57" s="64"/>
      <c r="T57" s="64"/>
      <c r="U57" s="64"/>
      <c r="V57" s="64"/>
    </row>
    <row r="58" spans="2:22" ht="20.399999999999999">
      <c r="B58" s="64"/>
      <c r="C58" s="64"/>
      <c r="D58" s="139" t="s">
        <v>112</v>
      </c>
      <c r="E58" s="139"/>
      <c r="F58" s="70">
        <f>0.6*H10</f>
        <v>2.16</v>
      </c>
      <c r="G58" s="71" t="s">
        <v>42</v>
      </c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</row>
    <row r="59" spans="2:22" ht="20.399999999999999">
      <c r="B59" s="126" t="s">
        <v>113</v>
      </c>
      <c r="C59" s="126"/>
      <c r="D59" s="155" t="s">
        <v>114</v>
      </c>
      <c r="E59" s="155"/>
      <c r="F59" s="79">
        <f>ROUND(((1380*F56)/(C24*F58))*SQRT(0.5*(1+SQRT(1+(2*F57*F58)^2))),2)</f>
        <v>933.22</v>
      </c>
      <c r="G59" s="71" t="s">
        <v>53</v>
      </c>
      <c r="H59" s="64"/>
      <c r="I59" s="64"/>
      <c r="J59" s="64"/>
      <c r="K59" s="64"/>
      <c r="L59" s="64"/>
      <c r="M59" s="126" t="s">
        <v>145</v>
      </c>
      <c r="N59" s="161"/>
      <c r="O59" s="139" t="s">
        <v>146</v>
      </c>
      <c r="P59" s="139"/>
      <c r="Q59" s="77">
        <f>ROUND(Q57*Q5,2)</f>
        <v>84</v>
      </c>
      <c r="R59" s="71" t="s">
        <v>49</v>
      </c>
      <c r="S59" s="64"/>
      <c r="T59" s="64"/>
      <c r="U59" s="64"/>
      <c r="V59" s="64"/>
    </row>
    <row r="60" spans="2:22" ht="18"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8"/>
      <c r="O60" s="154" t="s">
        <v>125</v>
      </c>
      <c r="P60" s="139"/>
      <c r="Q60" s="71">
        <v>0.8</v>
      </c>
      <c r="R60" s="64"/>
      <c r="S60" s="64"/>
      <c r="T60" s="162" t="str">
        <f>IF(Q61&lt;C18,"Unsafe","Safe")</f>
        <v>Safe</v>
      </c>
      <c r="U60" s="162"/>
      <c r="V60" s="64"/>
    </row>
    <row r="61" spans="2:22" ht="18"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8"/>
      <c r="O61" s="163" t="s">
        <v>147</v>
      </c>
      <c r="P61" s="139"/>
      <c r="Q61" s="80">
        <f>ROUND(Q59*Q60,2)</f>
        <v>67.2</v>
      </c>
      <c r="R61" s="71" t="s">
        <v>49</v>
      </c>
      <c r="S61" s="64"/>
      <c r="T61" s="162"/>
      <c r="U61" s="162"/>
      <c r="V61" s="64"/>
    </row>
    <row r="62" spans="2:22" ht="18">
      <c r="B62" s="64"/>
      <c r="C62" s="124" t="str">
        <f>IF(Q23&lt;=F51,"Case (a)",IF(AND(F51&lt;Q23,Q23&lt;=F59),"Case (b)","Case (c) "))</f>
        <v>Case (b)</v>
      </c>
      <c r="D62" s="124"/>
      <c r="E62" s="64"/>
      <c r="F62" s="139" t="s">
        <v>115</v>
      </c>
      <c r="G62" s="160">
        <f>ROUND(1.12*H10*Q8*0.01,2)</f>
        <v>151.43</v>
      </c>
      <c r="H62" s="139" t="s">
        <v>47</v>
      </c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</row>
    <row r="63" spans="2:22" ht="18">
      <c r="B63" s="64"/>
      <c r="C63" s="124"/>
      <c r="D63" s="124"/>
      <c r="E63" s="64"/>
      <c r="F63" s="139"/>
      <c r="G63" s="160"/>
      <c r="H63" s="139"/>
      <c r="I63" s="64"/>
      <c r="J63" s="64"/>
      <c r="K63" s="64"/>
      <c r="L63" s="64"/>
      <c r="M63" s="136" t="s">
        <v>148</v>
      </c>
      <c r="N63" s="136"/>
      <c r="O63" s="136"/>
      <c r="P63" s="64"/>
      <c r="Q63" s="75" t="s">
        <v>149</v>
      </c>
      <c r="R63" s="64"/>
      <c r="S63" s="64"/>
      <c r="T63" s="64"/>
      <c r="U63" s="64"/>
      <c r="V63" s="64"/>
    </row>
    <row r="64" spans="2:22" ht="19.8" customHeight="1">
      <c r="B64" s="64"/>
      <c r="C64" s="64"/>
      <c r="D64" s="68"/>
      <c r="E64" s="68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</row>
    <row r="65" spans="1:22" ht="18" customHeight="1">
      <c r="B65" s="126" t="s">
        <v>116</v>
      </c>
      <c r="C65" s="161"/>
      <c r="D65" s="139" t="s">
        <v>117</v>
      </c>
      <c r="E65" s="139"/>
      <c r="F65" s="71">
        <f>ROUND((1.75+1.05*((MIN(C15:C19))/(MAX(C15:C19)))+0.3*(((MIN(C15:C19))/(MAX(C15:C19)))^2)),2)</f>
        <v>1.75</v>
      </c>
      <c r="G65" s="86"/>
      <c r="H65" s="126" t="s">
        <v>118</v>
      </c>
      <c r="I65" s="126"/>
      <c r="J65" s="126"/>
      <c r="K65" s="64"/>
      <c r="L65" s="64"/>
      <c r="M65" s="68"/>
      <c r="N65" s="68"/>
      <c r="O65" s="139"/>
      <c r="P65" s="139"/>
      <c r="Q65" s="139">
        <f>ROUND(C33/C25,2)</f>
        <v>70</v>
      </c>
      <c r="R65" s="64"/>
      <c r="S65" s="64"/>
      <c r="T65" s="64"/>
      <c r="U65" s="64"/>
      <c r="V65" s="64"/>
    </row>
    <row r="66" spans="1:22" ht="27" customHeight="1">
      <c r="B66" s="126" t="s">
        <v>119</v>
      </c>
      <c r="C66" s="126"/>
      <c r="D66" s="139" t="s">
        <v>120</v>
      </c>
      <c r="E66" s="139"/>
      <c r="F66" s="70">
        <f>IF(C62="Case (b)",ROUND(F58*Q8*0.01,2),"-")</f>
        <v>81.12</v>
      </c>
      <c r="G66" s="158" t="s">
        <v>121</v>
      </c>
      <c r="H66" s="126"/>
      <c r="I66" s="126"/>
      <c r="J66" s="64"/>
      <c r="K66" s="64"/>
      <c r="L66" s="64"/>
      <c r="M66" s="68"/>
      <c r="N66" s="68"/>
      <c r="O66" s="139"/>
      <c r="P66" s="139"/>
      <c r="Q66" s="139"/>
      <c r="R66" s="64"/>
      <c r="S66" s="64"/>
      <c r="T66" s="64"/>
      <c r="U66" s="64"/>
      <c r="V66" s="64"/>
    </row>
    <row r="67" spans="1:22" ht="18">
      <c r="B67" s="126" t="s">
        <v>122</v>
      </c>
      <c r="C67" s="161"/>
      <c r="D67" s="139" t="s">
        <v>123</v>
      </c>
      <c r="E67" s="139"/>
      <c r="F67" s="70" t="str">
        <f>IF(C62="Case (c) ",ROUND(Q8*SQRT((((1380*F56)/(C24*Q23))^2)+((20700/((Q23/F55)^2))^2))*0.01,2),"-")</f>
        <v>-</v>
      </c>
      <c r="G67" s="158"/>
      <c r="H67" s="126"/>
      <c r="I67" s="126"/>
      <c r="J67" s="64"/>
      <c r="K67" s="64"/>
      <c r="L67" s="64"/>
      <c r="M67" s="68"/>
      <c r="N67" s="68"/>
      <c r="O67" s="139"/>
      <c r="P67" s="139"/>
      <c r="Q67" s="139">
        <f>ROUND(112/SQRT(H10),2)</f>
        <v>59.03</v>
      </c>
      <c r="R67" s="64"/>
      <c r="S67" s="64"/>
      <c r="T67" s="64"/>
      <c r="U67" s="64"/>
      <c r="V67" s="64"/>
    </row>
    <row r="68" spans="1:22" ht="18"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8"/>
      <c r="N68" s="68"/>
      <c r="O68" s="139"/>
      <c r="P68" s="139"/>
      <c r="Q68" s="139"/>
      <c r="R68" s="64"/>
      <c r="S68" s="64"/>
      <c r="T68" s="64"/>
      <c r="U68" s="64"/>
      <c r="V68" s="64"/>
    </row>
    <row r="69" spans="1:22" ht="18">
      <c r="B69" s="64"/>
      <c r="C69" s="64"/>
      <c r="D69" s="139" t="s">
        <v>124</v>
      </c>
      <c r="E69" s="139"/>
      <c r="F69" s="70">
        <f>IF(IF(C62="Case (a)",G62,IF(C62="Case (b)",ROUND((G62-((G62-F66)*((Q23-F51)/(F59-F51))))*F65,2),F67*F65))&lt;=G62,IF(C62="Case (a)",G62,IF(C62="Case (b)",ROUND((G62-((G62-F66)*((Q23-F51)/(F59-F51))))*F65,2),F67*F65)),G62)</f>
        <v>151.43</v>
      </c>
      <c r="G69" s="71" t="s">
        <v>47</v>
      </c>
      <c r="H69" s="64"/>
      <c r="I69" s="64"/>
      <c r="J69" s="64"/>
      <c r="K69" s="64"/>
      <c r="L69" s="64"/>
      <c r="M69" s="68"/>
      <c r="N69" s="68"/>
      <c r="O69" s="139"/>
      <c r="P69" s="139"/>
      <c r="Q69" s="139">
        <f>ROUND(139/SQRT(H10),2)</f>
        <v>73.260000000000005</v>
      </c>
      <c r="R69" s="64"/>
      <c r="S69" s="64"/>
      <c r="T69" s="64"/>
      <c r="U69" s="64"/>
      <c r="V69" s="64"/>
    </row>
    <row r="70" spans="1:22" ht="18">
      <c r="B70" s="64"/>
      <c r="C70" s="64"/>
      <c r="D70" s="154" t="s">
        <v>125</v>
      </c>
      <c r="E70" s="139"/>
      <c r="F70" s="71">
        <v>0.85</v>
      </c>
      <c r="G70" s="64"/>
      <c r="H70" s="64"/>
      <c r="I70" s="162" t="str">
        <f>IF(F71&gt;=MAX(C15,C17,C16),"Safe","Unsafe")</f>
        <v>Safe</v>
      </c>
      <c r="J70" s="162"/>
      <c r="K70" s="64"/>
      <c r="L70" s="64"/>
      <c r="M70" s="68"/>
      <c r="N70" s="68"/>
      <c r="O70" s="139"/>
      <c r="P70" s="139"/>
      <c r="Q70" s="139"/>
      <c r="R70" s="64"/>
      <c r="S70" s="64"/>
      <c r="T70" s="64"/>
      <c r="U70" s="64"/>
      <c r="V70" s="64"/>
    </row>
    <row r="71" spans="1:22" ht="18">
      <c r="B71" s="64"/>
      <c r="C71" s="64"/>
      <c r="D71" s="163" t="s">
        <v>126</v>
      </c>
      <c r="E71" s="139"/>
      <c r="F71" s="87">
        <f>ROUND(F70*F69,2)</f>
        <v>128.72</v>
      </c>
      <c r="G71" s="71" t="s">
        <v>47</v>
      </c>
      <c r="H71" s="64"/>
      <c r="I71" s="162"/>
      <c r="J71" s="162"/>
      <c r="K71" s="64"/>
      <c r="L71" s="64"/>
      <c r="M71" s="126" t="s">
        <v>150</v>
      </c>
      <c r="N71" s="161"/>
      <c r="O71" s="139" t="s">
        <v>151</v>
      </c>
      <c r="P71" s="139"/>
      <c r="Q71" s="71">
        <f>IF(Q65&lt;Q67,ROUND(0.6*H10*C33*C34,2),IF(AND(Q67&lt;Q65,Q65&lt;Q69),ROUND(0.6*H10*C33*C34*(Q67/Q65),2),IF(AND(Q69&lt;Q65,Q65&lt;260),ROUND(C33*C34*(9500/(Q65^2)),2),"Check h/tw")))</f>
        <v>81.599999999999994</v>
      </c>
      <c r="R71" s="74" t="s">
        <v>49</v>
      </c>
      <c r="S71" s="64"/>
      <c r="T71" s="64"/>
      <c r="U71" s="64"/>
      <c r="V71" s="64"/>
    </row>
    <row r="72" spans="1:22" ht="18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154" t="s">
        <v>125</v>
      </c>
      <c r="P72" s="139"/>
      <c r="Q72" s="71">
        <v>0.85</v>
      </c>
      <c r="R72" s="64"/>
      <c r="S72" s="64"/>
      <c r="T72" s="162" t="str">
        <f>IF(Q73&lt;C19,"Unsafe","Safe")</f>
        <v>Safe</v>
      </c>
      <c r="U72" s="162"/>
      <c r="V72" s="64"/>
    </row>
    <row r="73" spans="1:22" ht="18">
      <c r="B73" s="136" t="s">
        <v>153</v>
      </c>
      <c r="C73" s="136"/>
      <c r="D73" s="136"/>
      <c r="E73" s="75" t="s">
        <v>154</v>
      </c>
      <c r="F73" s="64"/>
      <c r="G73" s="64"/>
      <c r="H73" s="64"/>
      <c r="I73" s="64"/>
      <c r="J73" s="64"/>
      <c r="K73" s="64"/>
      <c r="L73" s="64"/>
      <c r="M73" s="64"/>
      <c r="N73" s="64"/>
      <c r="O73" s="163" t="s">
        <v>152</v>
      </c>
      <c r="P73" s="139"/>
      <c r="Q73" s="80">
        <f>ROUND(Q71*Q72,2)</f>
        <v>69.36</v>
      </c>
      <c r="R73" s="74" t="s">
        <v>49</v>
      </c>
      <c r="S73" s="64"/>
      <c r="T73" s="162"/>
      <c r="U73" s="162"/>
      <c r="V73" s="64"/>
    </row>
    <row r="74" spans="1:22" ht="18"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</row>
    <row r="75" spans="1:22" ht="18">
      <c r="B75" s="64"/>
      <c r="C75" s="64"/>
      <c r="D75" s="139"/>
      <c r="E75" s="139"/>
      <c r="F75" s="139">
        <f>C18/Q61</f>
        <v>0.39732142857142855</v>
      </c>
      <c r="G75" s="64"/>
      <c r="H75" s="64"/>
      <c r="I75" s="64"/>
      <c r="J75" s="64"/>
      <c r="K75" s="64"/>
      <c r="L75" s="64"/>
      <c r="V75" s="64"/>
    </row>
    <row r="76" spans="1:22" ht="18">
      <c r="B76" s="64"/>
      <c r="C76" s="64"/>
      <c r="D76" s="139"/>
      <c r="E76" s="139"/>
      <c r="F76" s="139"/>
      <c r="G76" s="64"/>
      <c r="H76" s="64"/>
      <c r="I76" s="64"/>
      <c r="J76" s="64"/>
      <c r="K76" s="64"/>
      <c r="L76" s="64"/>
      <c r="V76" s="64"/>
    </row>
    <row r="77" spans="1:22" ht="18">
      <c r="B77" s="64"/>
      <c r="C77" s="64"/>
      <c r="D77" s="139"/>
      <c r="E77" s="139"/>
      <c r="F77" s="139">
        <f>ROUND(MAX(C15:C17)/IF(F45="non compact",F71,S45),2)</f>
        <v>0.46</v>
      </c>
      <c r="G77" s="64"/>
      <c r="H77" s="64"/>
      <c r="I77" s="64"/>
      <c r="J77" s="64"/>
      <c r="K77" s="64"/>
      <c r="L77" s="64"/>
      <c r="V77" s="64"/>
    </row>
    <row r="78" spans="1:22" ht="18">
      <c r="B78" s="64"/>
      <c r="C78" s="64"/>
      <c r="D78" s="139"/>
      <c r="E78" s="139"/>
      <c r="F78" s="139"/>
      <c r="G78" s="64"/>
      <c r="H78" s="64"/>
      <c r="I78" s="64"/>
      <c r="J78" s="64"/>
      <c r="K78" s="64"/>
      <c r="L78" s="64"/>
      <c r="V78" s="64"/>
    </row>
    <row r="79" spans="1:22" ht="18"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V79" s="64"/>
    </row>
    <row r="80" spans="1:22" ht="18">
      <c r="B80" s="126" t="s">
        <v>155</v>
      </c>
      <c r="C80" s="126"/>
      <c r="D80" s="139" t="s">
        <v>156</v>
      </c>
      <c r="E80" s="139"/>
      <c r="F80" s="159">
        <f>ROUND(IF(F75&gt;=0.2,(F75+(8/9*F77)),((0.5*F75)+F77)),2)</f>
        <v>0.81</v>
      </c>
      <c r="G80" s="64"/>
      <c r="H80" s="64"/>
      <c r="I80" s="64"/>
      <c r="J80" s="64"/>
      <c r="K80" s="64"/>
      <c r="L80" s="64"/>
      <c r="V80" s="64"/>
    </row>
    <row r="81" spans="2:41" ht="18">
      <c r="B81" s="126"/>
      <c r="C81" s="126"/>
      <c r="D81" s="139"/>
      <c r="E81" s="139"/>
      <c r="F81" s="159"/>
      <c r="G81" s="64"/>
      <c r="H81" s="64"/>
      <c r="I81" s="162" t="str">
        <f>IF(F80&lt;=1,"Safe","Unsafe")</f>
        <v>Safe</v>
      </c>
      <c r="J81" s="162"/>
      <c r="K81" s="64"/>
      <c r="L81" s="64"/>
      <c r="V81" s="64"/>
    </row>
    <row r="82" spans="2:41" ht="18">
      <c r="B82" s="64"/>
      <c r="C82" s="64"/>
      <c r="D82" s="64"/>
      <c r="E82" s="64"/>
      <c r="F82" s="64"/>
      <c r="G82" s="64"/>
      <c r="H82" s="64"/>
      <c r="I82" s="162"/>
      <c r="J82" s="162"/>
      <c r="K82" s="64"/>
      <c r="L82" s="64"/>
      <c r="V82" s="64"/>
    </row>
    <row r="83" spans="2:41" ht="18">
      <c r="K83" s="64"/>
      <c r="L83" s="64"/>
      <c r="V83" s="64"/>
    </row>
    <row r="84" spans="2:41" ht="18">
      <c r="B84" s="64"/>
      <c r="C84" s="64"/>
      <c r="D84" s="64"/>
      <c r="E84" s="64"/>
      <c r="F84" s="64"/>
      <c r="G84" s="64"/>
      <c r="H84" s="64"/>
      <c r="I84" s="64"/>
      <c r="J84" s="64"/>
      <c r="K84" s="68"/>
      <c r="L84" s="68"/>
      <c r="V84" s="64"/>
    </row>
    <row r="85" spans="2:41" ht="18">
      <c r="J85" s="64"/>
      <c r="K85" s="64"/>
      <c r="L85" s="64"/>
      <c r="V85" s="64"/>
    </row>
    <row r="86" spans="2:41" ht="18">
      <c r="J86" s="64"/>
      <c r="K86" s="64"/>
      <c r="L86" s="64"/>
      <c r="V86" s="64"/>
    </row>
    <row r="87" spans="2:41" ht="18">
      <c r="J87" s="64"/>
      <c r="K87" s="85"/>
      <c r="L87" s="85"/>
      <c r="M87" s="64"/>
      <c r="N87" s="64"/>
      <c r="O87" s="64"/>
      <c r="P87" s="64"/>
      <c r="Q87" s="64"/>
      <c r="R87" s="64"/>
      <c r="S87" s="64"/>
      <c r="T87" s="64"/>
      <c r="U87" s="64"/>
      <c r="V87" s="64"/>
    </row>
    <row r="88" spans="2:41" ht="18"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</row>
    <row r="89" spans="2:41" ht="18"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</row>
    <row r="90" spans="2:41" ht="18"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AG90" s="64"/>
      <c r="AH90" s="64"/>
      <c r="AI90" s="64"/>
      <c r="AJ90" s="64"/>
      <c r="AK90" s="64"/>
      <c r="AL90" s="64"/>
      <c r="AM90" s="64"/>
      <c r="AN90" s="64"/>
      <c r="AO90" s="64"/>
    </row>
    <row r="91" spans="2:41" ht="18"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</row>
    <row r="92" spans="2:41" ht="18"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</row>
    <row r="93" spans="2:41" ht="18"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</row>
    <row r="94" spans="2:41" ht="18"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</row>
    <row r="95" spans="2:41" ht="18"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</row>
    <row r="96" spans="2:41" ht="18"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</row>
    <row r="97" spans="10:11" ht="18">
      <c r="J97" s="64"/>
      <c r="K97" s="64"/>
    </row>
    <row r="98" spans="10:11" ht="18">
      <c r="J98" s="64"/>
      <c r="K98" s="64"/>
    </row>
    <row r="99" spans="10:11" ht="18">
      <c r="J99" s="64"/>
      <c r="K99" s="64"/>
    </row>
    <row r="100" spans="10:11" ht="18">
      <c r="J100" s="64"/>
      <c r="K100" s="64"/>
    </row>
    <row r="101" spans="10:11" ht="18">
      <c r="J101" s="64"/>
      <c r="K101" s="64"/>
    </row>
    <row r="102" spans="10:11" ht="18">
      <c r="J102" s="64"/>
      <c r="K102" s="64"/>
    </row>
    <row r="103" spans="10:11" ht="18">
      <c r="J103" s="64"/>
      <c r="K103" s="64"/>
    </row>
    <row r="104" spans="10:11" ht="18">
      <c r="J104" s="64"/>
      <c r="K104" s="64"/>
    </row>
    <row r="105" spans="10:11" ht="18">
      <c r="J105" s="64"/>
      <c r="K105" s="64"/>
    </row>
    <row r="106" spans="10:11" ht="18">
      <c r="J106" s="64"/>
      <c r="K106" s="64"/>
    </row>
    <row r="107" spans="10:11" ht="18">
      <c r="J107" s="64"/>
      <c r="K107" s="64"/>
    </row>
    <row r="108" spans="10:11" ht="18">
      <c r="J108" s="64"/>
      <c r="K108" s="64"/>
    </row>
    <row r="109" spans="10:11" ht="18">
      <c r="J109" s="64"/>
      <c r="K109" s="64"/>
    </row>
    <row r="110" spans="10:11" ht="18">
      <c r="J110" s="64"/>
      <c r="K110" s="64"/>
    </row>
    <row r="111" spans="10:11" ht="18">
      <c r="J111" s="64"/>
      <c r="K111" s="64"/>
    </row>
    <row r="112" spans="10:11" ht="18">
      <c r="J112" s="64"/>
      <c r="K112" s="64"/>
    </row>
    <row r="113" spans="10:22" ht="18">
      <c r="J113" s="64"/>
      <c r="K113" s="64"/>
    </row>
    <row r="114" spans="10:22" ht="18">
      <c r="J114" s="64"/>
      <c r="K114" s="64"/>
    </row>
    <row r="115" spans="10:22" ht="18">
      <c r="J115" s="64"/>
      <c r="K115" s="64"/>
    </row>
    <row r="116" spans="10:22" ht="18">
      <c r="J116" s="64"/>
      <c r="K116" s="64"/>
    </row>
    <row r="117" spans="10:22" ht="18">
      <c r="J117" s="64"/>
      <c r="K117" s="64"/>
    </row>
    <row r="118" spans="10:22" ht="18">
      <c r="J118" s="64"/>
      <c r="K118" s="64"/>
    </row>
    <row r="119" spans="10:22" ht="18">
      <c r="J119" s="64"/>
      <c r="K119" s="64"/>
    </row>
    <row r="120" spans="10:22" ht="18">
      <c r="J120" s="64"/>
      <c r="K120" s="64"/>
    </row>
    <row r="121" spans="10:22" ht="18"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</row>
    <row r="122" spans="10:22" ht="18"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</row>
    <row r="123" spans="10:22" ht="18"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</row>
    <row r="124" spans="10:22" ht="18"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</row>
    <row r="125" spans="10:22" ht="18"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</row>
    <row r="126" spans="10:22" ht="18"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</row>
    <row r="127" spans="10:22" ht="18"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</row>
    <row r="128" spans="10:22" ht="18"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</row>
    <row r="129" spans="10:22" ht="18"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</row>
    <row r="130" spans="10:22" ht="18"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</row>
    <row r="131" spans="10:22" ht="18"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</row>
    <row r="132" spans="10:22" ht="18"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</row>
    <row r="133" spans="10:22" ht="18"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</row>
    <row r="134" spans="10:22" ht="18"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</row>
  </sheetData>
  <mergeCells count="149">
    <mergeCell ref="I81:J82"/>
    <mergeCell ref="B73:D73"/>
    <mergeCell ref="D75:E76"/>
    <mergeCell ref="F75:F76"/>
    <mergeCell ref="D77:E78"/>
    <mergeCell ref="F77:F78"/>
    <mergeCell ref="B80:C81"/>
    <mergeCell ref="D80:E81"/>
    <mergeCell ref="F80:F81"/>
    <mergeCell ref="O69:P70"/>
    <mergeCell ref="Q69:Q70"/>
    <mergeCell ref="M71:N71"/>
    <mergeCell ref="O71:P71"/>
    <mergeCell ref="O72:P72"/>
    <mergeCell ref="T72:U73"/>
    <mergeCell ref="O73:P73"/>
    <mergeCell ref="O65:P66"/>
    <mergeCell ref="Q65:Q66"/>
    <mergeCell ref="O67:P68"/>
    <mergeCell ref="Q67:Q68"/>
    <mergeCell ref="Q45:R45"/>
    <mergeCell ref="O39:P39"/>
    <mergeCell ref="Q39:R39"/>
    <mergeCell ref="O40:P40"/>
    <mergeCell ref="Q40:R40"/>
    <mergeCell ref="M63:O63"/>
    <mergeCell ref="O41:P41"/>
    <mergeCell ref="Q41:R41"/>
    <mergeCell ref="O52:P52"/>
    <mergeCell ref="Q29:R29"/>
    <mergeCell ref="O53:P53"/>
    <mergeCell ref="Q30:R30"/>
    <mergeCell ref="D70:E70"/>
    <mergeCell ref="I70:J71"/>
    <mergeCell ref="D71:E71"/>
    <mergeCell ref="M49:O49"/>
    <mergeCell ref="O26:Q26"/>
    <mergeCell ref="R26:T26"/>
    <mergeCell ref="P35:Q36"/>
    <mergeCell ref="M59:N59"/>
    <mergeCell ref="O59:P59"/>
    <mergeCell ref="O60:P60"/>
    <mergeCell ref="T60:U61"/>
    <mergeCell ref="O61:P61"/>
    <mergeCell ref="O54:P54"/>
    <mergeCell ref="O55:P55"/>
    <mergeCell ref="Q32:R32"/>
    <mergeCell ref="M56:N56"/>
    <mergeCell ref="O56:P56"/>
    <mergeCell ref="M57:N57"/>
    <mergeCell ref="O57:P57"/>
    <mergeCell ref="O43:P43"/>
    <mergeCell ref="G36:H37"/>
    <mergeCell ref="B66:C66"/>
    <mergeCell ref="D66:E66"/>
    <mergeCell ref="G66:I67"/>
    <mergeCell ref="B67:C67"/>
    <mergeCell ref="D67:E67"/>
    <mergeCell ref="D69:E69"/>
    <mergeCell ref="F62:F63"/>
    <mergeCell ref="G62:G63"/>
    <mergeCell ref="H62:H63"/>
    <mergeCell ref="B65:C65"/>
    <mergeCell ref="D65:E65"/>
    <mergeCell ref="H65:J65"/>
    <mergeCell ref="B57:C57"/>
    <mergeCell ref="D57:E57"/>
    <mergeCell ref="D58:E58"/>
    <mergeCell ref="B59:C59"/>
    <mergeCell ref="D59:E59"/>
    <mergeCell ref="C62:D63"/>
    <mergeCell ref="B52:C52"/>
    <mergeCell ref="B53:C54"/>
    <mergeCell ref="D53:E53"/>
    <mergeCell ref="D54:E54"/>
    <mergeCell ref="D55:E55"/>
    <mergeCell ref="D56:E56"/>
    <mergeCell ref="O23:P23"/>
    <mergeCell ref="S23:V23"/>
    <mergeCell ref="B48:D48"/>
    <mergeCell ref="H48:I48"/>
    <mergeCell ref="D50:E50"/>
    <mergeCell ref="B51:C51"/>
    <mergeCell ref="D51:E51"/>
    <mergeCell ref="O18:P18"/>
    <mergeCell ref="T18:U18"/>
    <mergeCell ref="O19:P19"/>
    <mergeCell ref="O20:P20"/>
    <mergeCell ref="S20:V20"/>
    <mergeCell ref="O22:P22"/>
    <mergeCell ref="O51:P51"/>
    <mergeCell ref="Q28:R28"/>
    <mergeCell ref="Q43:R43"/>
    <mergeCell ref="Q44:R44"/>
    <mergeCell ref="V44:W45"/>
    <mergeCell ref="B42:B43"/>
    <mergeCell ref="C42:D43"/>
    <mergeCell ref="G42:G43"/>
    <mergeCell ref="H42:I43"/>
    <mergeCell ref="D45:E46"/>
    <mergeCell ref="F45:G46"/>
    <mergeCell ref="O12:Q12"/>
    <mergeCell ref="O14:P14"/>
    <mergeCell ref="O15:P15"/>
    <mergeCell ref="O16:P16"/>
    <mergeCell ref="T16:U16"/>
    <mergeCell ref="O17:P17"/>
    <mergeCell ref="T17:U17"/>
    <mergeCell ref="O3:Q3"/>
    <mergeCell ref="O5:P5"/>
    <mergeCell ref="O6:P6"/>
    <mergeCell ref="O7:P7"/>
    <mergeCell ref="O8:P8"/>
    <mergeCell ref="O9:P9"/>
    <mergeCell ref="I36:I37"/>
    <mergeCell ref="B38:C38"/>
    <mergeCell ref="G38:H38"/>
    <mergeCell ref="B39:C39"/>
    <mergeCell ref="G39:H39"/>
    <mergeCell ref="A30:C30"/>
    <mergeCell ref="B36:C37"/>
    <mergeCell ref="D36:D37"/>
    <mergeCell ref="A16:B16"/>
    <mergeCell ref="A17:B17"/>
    <mergeCell ref="A18:B18"/>
    <mergeCell ref="A19:B19"/>
    <mergeCell ref="A22:C22"/>
    <mergeCell ref="A24:B24"/>
    <mergeCell ref="A13:C13"/>
    <mergeCell ref="A15:B15"/>
    <mergeCell ref="C7:G7"/>
    <mergeCell ref="A8:B9"/>
    <mergeCell ref="C8:D8"/>
    <mergeCell ref="G8:G9"/>
    <mergeCell ref="A25:B25"/>
    <mergeCell ref="A26:B26"/>
    <mergeCell ref="A27:B27"/>
    <mergeCell ref="H8:H9"/>
    <mergeCell ref="C9:D9"/>
    <mergeCell ref="C1:G1"/>
    <mergeCell ref="C2:G2"/>
    <mergeCell ref="C3:G3"/>
    <mergeCell ref="C4:G4"/>
    <mergeCell ref="C5:G5"/>
    <mergeCell ref="C6:G6"/>
    <mergeCell ref="A10:B11"/>
    <mergeCell ref="C10:C11"/>
    <mergeCell ref="F10:G10"/>
    <mergeCell ref="F11:G11"/>
  </mergeCells>
  <dataValidations disablePrompts="1" count="2">
    <dataValidation type="list" allowBlank="1" showInputMessage="1" showErrorMessage="1" sqref="H8:H9" xr:uid="{9E59EDB4-924F-458B-9E4D-175692E26C12}">
      <formula1>$K$3:$K$5</formula1>
    </dataValidation>
    <dataValidation type="list" allowBlank="1" showInputMessage="1" showErrorMessage="1" sqref="Q15" xr:uid="{D0E5FD0C-2788-4E83-8434-5D810B1E8153}">
      <formula1>$K$8:$K$9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utoCAD.Drawing.17" shapeId="5121" r:id="rId3">
          <objectPr defaultSize="0" autoPict="0" r:id="rId4">
            <anchor moveWithCells="1" sizeWithCells="1">
              <from>
                <xdr:col>4</xdr:col>
                <xdr:colOff>60960</xdr:colOff>
                <xdr:row>21</xdr:row>
                <xdr:rowOff>30480</xdr:rowOff>
              </from>
              <to>
                <xdr:col>8</xdr:col>
                <xdr:colOff>449580</xdr:colOff>
                <xdr:row>31</xdr:row>
                <xdr:rowOff>38100</xdr:rowOff>
              </to>
            </anchor>
          </objectPr>
        </oleObject>
      </mc:Choice>
      <mc:Fallback>
        <oleObject progId="AutoCAD.Drawing.17" shapeId="5121" r:id="rId3"/>
      </mc:Fallback>
    </mc:AlternateContent>
    <mc:AlternateContent xmlns:mc="http://schemas.openxmlformats.org/markup-compatibility/2006">
      <mc:Choice Requires="x14">
        <oleObject progId="AutoCAD.Drawing.17" shapeId="5122" r:id="rId5">
          <objectPr defaultSize="0" autoPict="0" r:id="rId6">
            <anchor moveWithCells="1" sizeWithCells="1">
              <from>
                <xdr:col>7</xdr:col>
                <xdr:colOff>60960</xdr:colOff>
                <xdr:row>48</xdr:row>
                <xdr:rowOff>60960</xdr:rowOff>
              </from>
              <to>
                <xdr:col>10</xdr:col>
                <xdr:colOff>228600</xdr:colOff>
                <xdr:row>58</xdr:row>
                <xdr:rowOff>60960</xdr:rowOff>
              </to>
            </anchor>
          </objectPr>
        </oleObject>
      </mc:Choice>
      <mc:Fallback>
        <oleObject progId="AutoCAD.Drawing.17" shapeId="5122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20B8-EFD3-4E26-AC6B-DAA88853BD57}">
  <dimension ref="A1:AH134"/>
  <sheetViews>
    <sheetView tabSelected="1" workbookViewId="0">
      <selection sqref="A1:XFD1048576"/>
    </sheetView>
  </sheetViews>
  <sheetFormatPr defaultColWidth="8.88671875" defaultRowHeight="14.4"/>
  <cols>
    <col min="1" max="2" width="8.88671875" style="66"/>
    <col min="3" max="3" width="15.6640625" style="66" bestFit="1" customWidth="1"/>
    <col min="4" max="6" width="9" style="66" bestFit="1" customWidth="1"/>
    <col min="7" max="7" width="14.33203125" style="66" bestFit="1" customWidth="1"/>
    <col min="8" max="8" width="9" style="66" bestFit="1" customWidth="1"/>
    <col min="9" max="9" width="8.44140625" style="66" bestFit="1" customWidth="1"/>
    <col min="10" max="10" width="11.44140625" style="66" bestFit="1" customWidth="1"/>
    <col min="11" max="11" width="14.109375" style="66" customWidth="1"/>
    <col min="12" max="12" width="15.6640625" style="66" customWidth="1"/>
    <col min="13" max="13" width="12.6640625" style="66" bestFit="1" customWidth="1"/>
    <col min="14" max="16" width="8.88671875" style="66"/>
    <col min="17" max="17" width="13.6640625" style="66" customWidth="1"/>
    <col min="18" max="23" width="8.88671875" style="66"/>
    <col min="24" max="24" width="11.5546875" style="66" customWidth="1"/>
    <col min="25" max="25" width="10.88671875" style="66" customWidth="1"/>
    <col min="26" max="26" width="14.109375" style="66" customWidth="1"/>
    <col min="27" max="16384" width="8.88671875" style="66"/>
  </cols>
  <sheetData>
    <row r="1" spans="1:26" ht="18">
      <c r="A1" s="64"/>
      <c r="B1" s="64"/>
      <c r="C1" s="126" t="s">
        <v>29</v>
      </c>
      <c r="D1" s="126"/>
      <c r="E1" s="126"/>
      <c r="F1" s="126"/>
      <c r="G1" s="126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6" ht="18">
      <c r="A2" s="64"/>
      <c r="B2" s="64"/>
      <c r="C2" s="126" t="s">
        <v>30</v>
      </c>
      <c r="D2" s="126"/>
      <c r="E2" s="126"/>
      <c r="F2" s="126"/>
      <c r="G2" s="126"/>
      <c r="H2" s="64"/>
      <c r="I2" s="64"/>
      <c r="J2" s="64"/>
      <c r="K2" s="64"/>
      <c r="L2" s="64"/>
      <c r="M2" s="64"/>
      <c r="N2" s="64"/>
      <c r="O2" s="136" t="s">
        <v>75</v>
      </c>
      <c r="P2" s="136"/>
      <c r="Q2" s="136"/>
      <c r="R2" s="64"/>
      <c r="S2" s="64"/>
      <c r="T2" s="64"/>
      <c r="U2" s="64"/>
      <c r="V2" s="64"/>
      <c r="W2" s="64"/>
      <c r="X2" s="64"/>
      <c r="Y2" s="64"/>
      <c r="Z2" s="64"/>
    </row>
    <row r="3" spans="1:26" ht="18">
      <c r="A3" s="64"/>
      <c r="B3" s="64"/>
      <c r="C3" s="126" t="s">
        <v>31</v>
      </c>
      <c r="D3" s="126"/>
      <c r="E3" s="126"/>
      <c r="F3" s="126"/>
      <c r="G3" s="126"/>
      <c r="H3" s="64"/>
      <c r="I3" s="64"/>
      <c r="J3" s="64"/>
      <c r="K3" s="64">
        <v>37</v>
      </c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20.399999999999999">
      <c r="A4" s="64"/>
      <c r="B4" s="64"/>
      <c r="C4" s="126" t="s">
        <v>32</v>
      </c>
      <c r="D4" s="126"/>
      <c r="E4" s="126"/>
      <c r="F4" s="126"/>
      <c r="G4" s="126"/>
      <c r="H4" s="64"/>
      <c r="I4" s="64"/>
      <c r="J4" s="64"/>
      <c r="K4" s="64">
        <v>44</v>
      </c>
      <c r="L4" s="64"/>
      <c r="M4" s="64"/>
      <c r="N4" s="64"/>
      <c r="O4" s="137" t="s">
        <v>76</v>
      </c>
      <c r="P4" s="138"/>
      <c r="Q4" s="70">
        <f>(C24*C25)+(2*(C26*C27))</f>
        <v>262.05</v>
      </c>
      <c r="R4" s="81" t="s">
        <v>77</v>
      </c>
      <c r="S4" s="64"/>
      <c r="T4" s="64"/>
      <c r="U4" s="64"/>
      <c r="V4" s="64"/>
      <c r="W4" s="64"/>
      <c r="X4" s="64"/>
      <c r="Y4" s="64"/>
      <c r="Z4" s="64"/>
    </row>
    <row r="5" spans="1:26" ht="20.399999999999999">
      <c r="A5" s="64"/>
      <c r="B5" s="64"/>
      <c r="C5" s="126" t="s">
        <v>33</v>
      </c>
      <c r="D5" s="126"/>
      <c r="E5" s="126"/>
      <c r="F5" s="126"/>
      <c r="G5" s="126"/>
      <c r="H5" s="64"/>
      <c r="I5" s="64"/>
      <c r="J5" s="64"/>
      <c r="K5" s="64">
        <v>52</v>
      </c>
      <c r="L5" s="64"/>
      <c r="M5" s="64"/>
      <c r="N5" s="64"/>
      <c r="O5" s="174" t="s">
        <v>78</v>
      </c>
      <c r="P5" s="175"/>
      <c r="Q5" s="70">
        <f>ROUND(((C25*(C33)^3)/12)+2*(((C26*(C27)^3)/12)+(C26*C27*((C33/2)+(C27/2))^2)),2)</f>
        <v>209209.38</v>
      </c>
      <c r="R5" s="81" t="s">
        <v>79</v>
      </c>
      <c r="S5" s="64"/>
      <c r="T5" s="64"/>
      <c r="U5" s="64"/>
      <c r="V5" s="64"/>
      <c r="W5" s="64"/>
      <c r="X5" s="64"/>
      <c r="Y5" s="64"/>
      <c r="Z5" s="64"/>
    </row>
    <row r="6" spans="1:26" ht="20.399999999999999">
      <c r="A6" s="64"/>
      <c r="B6" s="64"/>
      <c r="C6" s="126" t="s">
        <v>34</v>
      </c>
      <c r="D6" s="126"/>
      <c r="E6" s="126"/>
      <c r="F6" s="126"/>
      <c r="G6" s="126"/>
      <c r="H6" s="64"/>
      <c r="I6" s="64"/>
      <c r="J6" s="64"/>
      <c r="K6" s="64"/>
      <c r="L6" s="64"/>
      <c r="M6" s="64"/>
      <c r="N6" s="64"/>
      <c r="O6" s="176" t="s">
        <v>80</v>
      </c>
      <c r="P6" s="177"/>
      <c r="Q6" s="70">
        <f>ROUND(((C33*(C25)^3)/12)+2*((C27*(C26)^3)/12),2)</f>
        <v>12166.16</v>
      </c>
      <c r="R6" s="81" t="s">
        <v>79</v>
      </c>
      <c r="S6" s="64"/>
      <c r="T6" s="64"/>
      <c r="U6" s="64"/>
      <c r="V6" s="64"/>
      <c r="W6" s="64"/>
      <c r="X6" s="64"/>
      <c r="Y6" s="64"/>
      <c r="Z6" s="64"/>
    </row>
    <row r="7" spans="1:26" ht="21" thickBot="1">
      <c r="A7" s="67"/>
      <c r="B7" s="67"/>
      <c r="C7" s="131"/>
      <c r="D7" s="131"/>
      <c r="E7" s="131"/>
      <c r="F7" s="131"/>
      <c r="G7" s="131"/>
      <c r="H7" s="67"/>
      <c r="I7" s="67"/>
      <c r="J7" s="64"/>
      <c r="K7" s="64"/>
      <c r="L7" s="64"/>
      <c r="M7" s="64"/>
      <c r="N7" s="64"/>
      <c r="O7" s="176" t="s">
        <v>81</v>
      </c>
      <c r="P7" s="177"/>
      <c r="Q7" s="70">
        <f>ROUND(Q5/(C24/2),2)</f>
        <v>6064.04</v>
      </c>
      <c r="R7" s="81" t="s">
        <v>82</v>
      </c>
      <c r="S7" s="64"/>
      <c r="T7" s="64"/>
      <c r="U7" s="64"/>
      <c r="V7" s="64"/>
      <c r="W7" s="64"/>
      <c r="X7" s="64"/>
      <c r="Y7" s="64"/>
      <c r="Z7" s="64"/>
    </row>
    <row r="8" spans="1:26" ht="21" thickTop="1">
      <c r="A8" s="133" t="s">
        <v>35</v>
      </c>
      <c r="B8" s="133"/>
      <c r="C8" s="178" t="s">
        <v>36</v>
      </c>
      <c r="D8" s="178"/>
      <c r="E8" s="68"/>
      <c r="F8" s="68"/>
      <c r="G8" s="179" t="s">
        <v>37</v>
      </c>
      <c r="H8" s="123">
        <v>37</v>
      </c>
      <c r="I8" s="64"/>
      <c r="J8" s="64"/>
      <c r="K8" s="64" t="s">
        <v>38</v>
      </c>
      <c r="L8" s="64"/>
      <c r="M8" s="64"/>
      <c r="N8" s="64"/>
      <c r="O8" s="176" t="s">
        <v>83</v>
      </c>
      <c r="P8" s="177"/>
      <c r="Q8" s="70">
        <f>ROUND(Q6/(C26/2),2)</f>
        <v>811.08</v>
      </c>
      <c r="R8" s="81" t="s">
        <v>82</v>
      </c>
      <c r="S8" s="64"/>
      <c r="T8" s="64"/>
      <c r="U8" s="64"/>
      <c r="V8" s="64"/>
      <c r="W8" s="64"/>
      <c r="X8" s="64"/>
      <c r="Y8" s="64"/>
      <c r="Z8" s="64"/>
    </row>
    <row r="9" spans="1:26" ht="18">
      <c r="A9" s="127"/>
      <c r="B9" s="127"/>
      <c r="C9" s="125"/>
      <c r="D9" s="125"/>
      <c r="E9" s="68"/>
      <c r="F9" s="68"/>
      <c r="G9" s="180"/>
      <c r="H9" s="181"/>
      <c r="I9" s="64"/>
      <c r="J9" s="64"/>
      <c r="K9" s="64" t="s">
        <v>39</v>
      </c>
      <c r="L9" s="64"/>
      <c r="M9" s="64"/>
      <c r="N9" s="64"/>
      <c r="O9" s="82"/>
      <c r="P9" s="82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20.399999999999999">
      <c r="A10" s="127" t="s">
        <v>40</v>
      </c>
      <c r="B10" s="127"/>
      <c r="C10" s="125" t="s">
        <v>0</v>
      </c>
      <c r="D10" s="68"/>
      <c r="E10" s="64"/>
      <c r="F10" s="182" t="s">
        <v>41</v>
      </c>
      <c r="G10" s="183"/>
      <c r="H10" s="70">
        <f>IF(H8=37,2.4,IF(H8=44,2.8,3.6))</f>
        <v>2.4</v>
      </c>
      <c r="I10" s="71" t="s">
        <v>42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20.399999999999999">
      <c r="A11" s="127"/>
      <c r="B11" s="127"/>
      <c r="C11" s="125"/>
      <c r="D11" s="68"/>
      <c r="E11" s="64"/>
      <c r="F11" s="182" t="s">
        <v>43</v>
      </c>
      <c r="G11" s="183"/>
      <c r="H11" s="70">
        <f>IF(H8=37,3.7,IF(H8=44,4.4,5.2))</f>
        <v>3.7</v>
      </c>
      <c r="I11" s="71" t="s">
        <v>42</v>
      </c>
      <c r="J11" s="64"/>
      <c r="K11" s="64"/>
      <c r="L11" s="64"/>
      <c r="M11" s="64"/>
      <c r="N11" s="64"/>
      <c r="O11" s="136" t="s">
        <v>84</v>
      </c>
      <c r="P11" s="136"/>
      <c r="Q11" s="136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8">
      <c r="A12" s="64"/>
      <c r="B12" s="64"/>
      <c r="C12" s="72" t="s">
        <v>158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8"/>
      <c r="P12" s="68"/>
      <c r="Q12" s="68"/>
      <c r="R12" s="68"/>
      <c r="S12" s="64"/>
      <c r="T12" s="64"/>
      <c r="U12" s="64"/>
      <c r="V12" s="64"/>
      <c r="W12" s="64"/>
      <c r="X12" s="64"/>
      <c r="Y12" s="64"/>
      <c r="Z12" s="64"/>
    </row>
    <row r="13" spans="1:26" ht="18">
      <c r="A13" s="127" t="s">
        <v>45</v>
      </c>
      <c r="B13" s="127"/>
      <c r="C13" s="127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137" t="s">
        <v>85</v>
      </c>
      <c r="P13" s="138"/>
      <c r="Q13" s="73">
        <v>550</v>
      </c>
      <c r="R13" s="71" t="s">
        <v>53</v>
      </c>
      <c r="S13" s="64"/>
      <c r="T13" s="64"/>
      <c r="U13" s="64"/>
      <c r="V13" s="64"/>
      <c r="W13" s="64"/>
      <c r="X13" s="64"/>
      <c r="Y13" s="64"/>
      <c r="Z13" s="64"/>
    </row>
    <row r="14" spans="1:26" ht="18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137" t="s">
        <v>86</v>
      </c>
      <c r="P14" s="138"/>
      <c r="Q14" s="79" t="s">
        <v>39</v>
      </c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8.600000000000001" thickBot="1">
      <c r="A15" s="130"/>
      <c r="B15" s="130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137" t="s">
        <v>87</v>
      </c>
      <c r="P15" s="138"/>
      <c r="Q15" s="70">
        <v>10</v>
      </c>
      <c r="R15" s="64"/>
      <c r="S15" s="68"/>
      <c r="T15" s="126" t="s">
        <v>88</v>
      </c>
      <c r="U15" s="126"/>
      <c r="V15" s="68"/>
      <c r="W15" s="64"/>
      <c r="X15" s="64"/>
      <c r="Y15" s="64"/>
      <c r="Z15" s="64"/>
    </row>
    <row r="16" spans="1:26" ht="18">
      <c r="A16" s="184"/>
      <c r="B16" s="18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137" t="s">
        <v>93</v>
      </c>
      <c r="P16" s="138"/>
      <c r="Q16" s="71">
        <f>ROUND((Q5/Q13)/(Y19/Y18+Z19/Z18),21)</f>
        <v>6.7643276391658098</v>
      </c>
      <c r="R16" s="64"/>
      <c r="S16" s="64"/>
      <c r="T16" s="64"/>
      <c r="U16" s="64"/>
      <c r="V16" s="64"/>
      <c r="W16" s="64"/>
      <c r="X16" s="171" t="s">
        <v>159</v>
      </c>
      <c r="Y16" s="172"/>
      <c r="Z16" s="173"/>
    </row>
    <row r="17" spans="1:26" ht="20.399999999999999">
      <c r="A17" s="137" t="s">
        <v>157</v>
      </c>
      <c r="B17" s="138"/>
      <c r="C17" s="73">
        <v>23</v>
      </c>
      <c r="D17" s="71" t="s">
        <v>47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137" t="s">
        <v>94</v>
      </c>
      <c r="P17" s="138"/>
      <c r="Q17" s="73">
        <v>2.8</v>
      </c>
      <c r="R17" s="64"/>
      <c r="S17" s="126" t="s">
        <v>95</v>
      </c>
      <c r="T17" s="126"/>
      <c r="U17" s="126"/>
      <c r="V17" s="126"/>
      <c r="W17" s="68"/>
      <c r="X17" s="92"/>
      <c r="Y17" s="71" t="s">
        <v>160</v>
      </c>
      <c r="Z17" s="93" t="s">
        <v>161</v>
      </c>
    </row>
    <row r="18" spans="1:26" ht="18">
      <c r="A18" s="137" t="s">
        <v>48</v>
      </c>
      <c r="B18" s="138"/>
      <c r="C18" s="73">
        <v>109</v>
      </c>
      <c r="D18" s="71" t="s">
        <v>49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94" t="s">
        <v>162</v>
      </c>
      <c r="Y18" s="73">
        <v>600</v>
      </c>
      <c r="Z18" s="95">
        <v>600</v>
      </c>
    </row>
    <row r="19" spans="1:26" ht="21" thickBot="1">
      <c r="A19" s="137" t="s">
        <v>50</v>
      </c>
      <c r="B19" s="138"/>
      <c r="C19" s="73">
        <v>4</v>
      </c>
      <c r="D19" s="71" t="s">
        <v>49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137" t="s">
        <v>96</v>
      </c>
      <c r="P19" s="138"/>
      <c r="Q19" s="70">
        <f>ROUND(Q17*Q13,2)</f>
        <v>1540</v>
      </c>
      <c r="R19" s="71" t="s">
        <v>53</v>
      </c>
      <c r="S19" s="64"/>
      <c r="T19" s="64"/>
      <c r="U19" s="64"/>
      <c r="V19" s="64"/>
      <c r="W19" s="64"/>
      <c r="X19" s="96" t="s">
        <v>163</v>
      </c>
      <c r="Y19" s="97">
        <v>33740</v>
      </c>
      <c r="Z19" s="98">
        <v>0</v>
      </c>
    </row>
    <row r="20" spans="1:26" ht="18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137" t="s">
        <v>97</v>
      </c>
      <c r="P20" s="138"/>
      <c r="Q20" s="73">
        <v>550</v>
      </c>
      <c r="R20" s="71" t="s">
        <v>53</v>
      </c>
      <c r="S20" s="158" t="s">
        <v>98</v>
      </c>
      <c r="T20" s="126"/>
      <c r="U20" s="126"/>
      <c r="V20" s="126"/>
      <c r="W20" s="64"/>
      <c r="X20" s="64"/>
      <c r="Y20" s="64"/>
      <c r="Z20" s="64"/>
    </row>
    <row r="21" spans="1:26" ht="18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185"/>
      <c r="P21" s="185"/>
      <c r="Q21" s="69"/>
      <c r="R21" s="64"/>
      <c r="S21" s="64"/>
      <c r="T21" s="64"/>
      <c r="U21" s="64"/>
      <c r="V21" s="64"/>
      <c r="W21" s="68"/>
      <c r="X21" s="68"/>
      <c r="Y21" s="68"/>
      <c r="Z21" s="68"/>
    </row>
    <row r="22" spans="1:26" ht="18">
      <c r="A22" s="127" t="s">
        <v>51</v>
      </c>
      <c r="B22" s="127"/>
      <c r="C22" s="127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186" t="s">
        <v>129</v>
      </c>
      <c r="P22" s="187"/>
      <c r="Q22" s="188"/>
      <c r="R22" s="189" t="s">
        <v>130</v>
      </c>
      <c r="S22" s="190"/>
      <c r="T22" s="191"/>
      <c r="U22" s="88"/>
      <c r="V22" s="88"/>
      <c r="W22" s="88"/>
    </row>
    <row r="23" spans="1:26" ht="18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88"/>
      <c r="P23" s="88"/>
      <c r="Q23" s="88"/>
      <c r="R23" s="88"/>
      <c r="S23" s="88"/>
      <c r="T23" s="88"/>
      <c r="U23" s="88"/>
      <c r="V23" s="88"/>
      <c r="W23" s="88"/>
    </row>
    <row r="24" spans="1:26" ht="18">
      <c r="A24" s="137" t="s">
        <v>52</v>
      </c>
      <c r="B24" s="138"/>
      <c r="C24" s="73">
        <v>69</v>
      </c>
      <c r="D24" s="71" t="s">
        <v>53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88"/>
      <c r="P24" s="88"/>
      <c r="Q24" s="192" t="s">
        <v>132</v>
      </c>
      <c r="R24" s="193"/>
      <c r="S24" s="89">
        <f>ROUND(IF(H42="compact",(T59-(((T59-ROUND(H10*Q7,2)))*((MAX(D36,I36)-I38)/(I39-I38))))*0.01,"-"),2)</f>
        <v>598.69000000000005</v>
      </c>
      <c r="T24" s="88" t="s">
        <v>47</v>
      </c>
      <c r="U24" s="90" t="s">
        <v>133</v>
      </c>
      <c r="V24" s="89"/>
      <c r="W24" s="88"/>
    </row>
    <row r="25" spans="1:26" ht="20.399999999999999">
      <c r="A25" s="137" t="s">
        <v>54</v>
      </c>
      <c r="B25" s="138"/>
      <c r="C25" s="73">
        <v>1.45</v>
      </c>
      <c r="D25" s="71" t="s">
        <v>53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88"/>
      <c r="P25" s="88"/>
      <c r="Q25" s="192" t="s">
        <v>134</v>
      </c>
      <c r="R25" s="193"/>
      <c r="S25" s="89">
        <f>IF(ROUND((T59-((T59-(ROUND(S55*Q7*0.01,2)))*((D36-D38)/(D39-D38)))),2)&lt;=T59,ROUND((T59-((T59-(ROUND(S55*Q7*0.01,2)))*((D36-D38)/(D39-D38)))),2),T59)</f>
        <v>163</v>
      </c>
      <c r="T25" s="88" t="s">
        <v>47</v>
      </c>
      <c r="U25" s="90" t="s">
        <v>135</v>
      </c>
      <c r="V25" s="89"/>
      <c r="W25" s="88"/>
    </row>
    <row r="26" spans="1:26" ht="20.399999999999999">
      <c r="A26" s="137" t="s">
        <v>55</v>
      </c>
      <c r="B26" s="138"/>
      <c r="C26" s="73">
        <v>30</v>
      </c>
      <c r="D26" s="71" t="s">
        <v>53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88"/>
      <c r="P26" s="88"/>
      <c r="Q26" s="192" t="s">
        <v>137</v>
      </c>
      <c r="R26" s="193"/>
      <c r="S26" s="89">
        <f>MIN(S24,S25)</f>
        <v>163</v>
      </c>
      <c r="T26" s="88" t="s">
        <v>47</v>
      </c>
      <c r="U26" s="88"/>
      <c r="V26" s="88"/>
      <c r="W26" s="88"/>
    </row>
    <row r="27" spans="1:26" ht="20.399999999999999">
      <c r="A27" s="137" t="s">
        <v>56</v>
      </c>
      <c r="B27" s="138"/>
      <c r="C27" s="73">
        <v>2.7</v>
      </c>
      <c r="D27" s="71" t="s">
        <v>53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88"/>
      <c r="P27" s="88"/>
      <c r="Q27" s="88"/>
      <c r="R27" s="88"/>
      <c r="S27" s="88"/>
      <c r="T27" s="88"/>
      <c r="U27" s="88"/>
      <c r="V27" s="88"/>
      <c r="W27" s="88"/>
    </row>
    <row r="28" spans="1:26" ht="20.399999999999999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88"/>
      <c r="P28" s="88"/>
      <c r="Q28" s="192" t="s">
        <v>140</v>
      </c>
      <c r="R28" s="193"/>
      <c r="S28" s="89">
        <f>ROUND(S48+((S56-S48)*((T59-S26)/(T59-ROUND(S55*Q7*0.01,2)))),2)</f>
        <v>351.67</v>
      </c>
      <c r="T28" s="88" t="s">
        <v>53</v>
      </c>
      <c r="U28" s="88"/>
      <c r="V28" s="91"/>
      <c r="W28" s="91"/>
    </row>
    <row r="29" spans="1:26" ht="18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88"/>
      <c r="P29" s="88"/>
      <c r="Q29" s="88"/>
      <c r="R29" s="88"/>
      <c r="S29" s="88"/>
      <c r="T29" s="88"/>
      <c r="U29" s="88"/>
      <c r="V29" s="88"/>
      <c r="W29" s="88"/>
    </row>
    <row r="30" spans="1:26" ht="18">
      <c r="A30" s="127" t="s">
        <v>57</v>
      </c>
      <c r="B30" s="127"/>
      <c r="C30" s="127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88"/>
      <c r="P30" s="88"/>
      <c r="Q30" s="88"/>
      <c r="R30" s="88"/>
      <c r="S30" s="88"/>
      <c r="T30" s="88"/>
      <c r="U30" s="88"/>
      <c r="V30" s="88"/>
      <c r="W30" s="88"/>
    </row>
    <row r="31" spans="1:26" ht="18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88"/>
      <c r="P31" s="194" t="str">
        <f>IF(C70&lt;=S28,"Case ( a )",IF(AND(S28&lt;C70,C70&lt;=S56),"case ( b )","Case ( C )"))</f>
        <v>Case ( a )</v>
      </c>
      <c r="Q31" s="195"/>
      <c r="R31" s="88"/>
      <c r="S31" s="88"/>
      <c r="T31" s="88"/>
      <c r="U31" s="88"/>
      <c r="V31" s="88"/>
      <c r="W31" s="88"/>
    </row>
    <row r="32" spans="1:26" ht="18">
      <c r="A32" s="64"/>
      <c r="B32" s="75" t="s">
        <v>58</v>
      </c>
      <c r="C32" s="64"/>
      <c r="D32" s="64"/>
      <c r="E32" s="64"/>
      <c r="F32" s="68"/>
      <c r="G32" s="75" t="s">
        <v>59</v>
      </c>
      <c r="H32" s="75"/>
      <c r="I32" s="64"/>
      <c r="J32" s="64"/>
      <c r="K32" s="64"/>
      <c r="L32" s="64"/>
      <c r="M32" s="64"/>
      <c r="N32" s="64"/>
      <c r="O32" s="88"/>
      <c r="P32" s="196"/>
      <c r="Q32" s="197"/>
      <c r="R32" s="88"/>
      <c r="S32" s="88"/>
      <c r="T32" s="88"/>
      <c r="U32" s="88"/>
      <c r="V32" s="88"/>
      <c r="W32" s="88"/>
    </row>
    <row r="33" spans="1:34" ht="20.399999999999999">
      <c r="A33" s="64"/>
      <c r="B33" s="71" t="s">
        <v>60</v>
      </c>
      <c r="C33" s="70">
        <f>C24-(2*C27)</f>
        <v>63.6</v>
      </c>
      <c r="D33" s="71" t="s">
        <v>53</v>
      </c>
      <c r="E33" s="64"/>
      <c r="F33" s="64"/>
      <c r="G33" s="71" t="s">
        <v>61</v>
      </c>
      <c r="H33" s="70">
        <f>(C26/2)</f>
        <v>15</v>
      </c>
      <c r="I33" s="71" t="s">
        <v>53</v>
      </c>
      <c r="J33" s="64"/>
      <c r="K33" s="76" t="s">
        <v>62</v>
      </c>
      <c r="L33" s="71">
        <f>ROUND(0.5*(C18/(C33*C34*H10)+1),2)</f>
        <v>0.75</v>
      </c>
      <c r="N33" s="64"/>
      <c r="O33" s="88"/>
      <c r="P33" s="88"/>
      <c r="Q33" s="88"/>
      <c r="R33" s="88"/>
      <c r="S33" s="88"/>
      <c r="T33" s="88"/>
      <c r="U33" s="88"/>
      <c r="V33" s="88"/>
      <c r="W33" s="88"/>
    </row>
    <row r="34" spans="1:34" ht="20.399999999999999">
      <c r="A34" s="64"/>
      <c r="B34" s="71" t="s">
        <v>54</v>
      </c>
      <c r="C34" s="70">
        <f>C25</f>
        <v>1.45</v>
      </c>
      <c r="D34" s="71" t="s">
        <v>53</v>
      </c>
      <c r="E34" s="64"/>
      <c r="F34" s="64"/>
      <c r="G34" s="71" t="s">
        <v>56</v>
      </c>
      <c r="H34" s="70">
        <f>C27</f>
        <v>2.7</v>
      </c>
      <c r="I34" s="71" t="s">
        <v>53</v>
      </c>
      <c r="J34" s="64"/>
      <c r="K34" s="64"/>
      <c r="L34" s="64"/>
      <c r="M34" s="64"/>
      <c r="N34" s="64"/>
      <c r="O34" s="88"/>
      <c r="P34" s="88"/>
      <c r="Q34" s="88"/>
      <c r="R34" s="88"/>
      <c r="S34" s="88"/>
      <c r="T34" s="88"/>
      <c r="U34" s="88"/>
      <c r="V34" s="88"/>
      <c r="W34" s="88"/>
    </row>
    <row r="35" spans="1:34" ht="20.399999999999999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198" t="s">
        <v>116</v>
      </c>
      <c r="P35" s="199"/>
      <c r="Q35" s="192" t="s">
        <v>117</v>
      </c>
      <c r="R35" s="193"/>
      <c r="S35" s="88">
        <v>0.6</v>
      </c>
      <c r="T35" s="88"/>
      <c r="U35" s="88"/>
      <c r="V35" s="88"/>
      <c r="W35" s="88"/>
    </row>
    <row r="36" spans="1:34" ht="18">
      <c r="A36" s="64"/>
      <c r="B36" s="146" t="s">
        <v>63</v>
      </c>
      <c r="C36" s="147"/>
      <c r="D36" s="150">
        <f>ROUND(C33/C34,2)</f>
        <v>43.86</v>
      </c>
      <c r="E36" s="64"/>
      <c r="F36" s="64"/>
      <c r="G36" s="146" t="s">
        <v>63</v>
      </c>
      <c r="H36" s="147"/>
      <c r="I36" s="150">
        <f>ROUND(L33*H33/H34,2)</f>
        <v>4.17</v>
      </c>
      <c r="J36" s="64"/>
      <c r="K36" s="64"/>
      <c r="L36" s="64"/>
      <c r="M36" s="64"/>
      <c r="N36" s="64"/>
      <c r="O36" s="198" t="s">
        <v>119</v>
      </c>
      <c r="P36" s="199"/>
      <c r="Q36" s="192" t="s">
        <v>120</v>
      </c>
      <c r="R36" s="193"/>
      <c r="S36" s="89" t="str">
        <f>IF(P31="Case ( b )",ROUND(S55*Q7*0.01,2),"-")</f>
        <v>-</v>
      </c>
      <c r="T36" s="88"/>
      <c r="U36" s="88"/>
      <c r="V36" s="88"/>
      <c r="W36" s="88"/>
    </row>
    <row r="37" spans="1:34" ht="18">
      <c r="A37" s="78" t="s">
        <v>64</v>
      </c>
      <c r="B37" s="148"/>
      <c r="C37" s="149"/>
      <c r="D37" s="151"/>
      <c r="E37" s="64"/>
      <c r="F37" s="65" t="s">
        <v>65</v>
      </c>
      <c r="G37" s="148"/>
      <c r="H37" s="149"/>
      <c r="I37" s="151"/>
      <c r="J37" s="64"/>
      <c r="K37" s="64"/>
      <c r="L37" s="64"/>
      <c r="M37" s="64"/>
      <c r="N37" s="64"/>
      <c r="O37" s="198" t="s">
        <v>122</v>
      </c>
      <c r="P37" s="199"/>
      <c r="Q37" s="192" t="s">
        <v>123</v>
      </c>
      <c r="R37" s="193"/>
      <c r="S37" s="89" t="str">
        <f>IF(P31="Case ( C )",ROUND(Q7*SQRT((((1380*S53)/(C24*C70))^2)+((20700/((C70/S52)^2))^2))*0.01,2),"-")</f>
        <v>-</v>
      </c>
      <c r="T37" s="88"/>
      <c r="U37" s="88"/>
      <c r="V37" s="88"/>
      <c r="W37" s="88"/>
    </row>
    <row r="38" spans="1:34" ht="18">
      <c r="A38" s="78" t="s">
        <v>66</v>
      </c>
      <c r="B38" s="152" t="s">
        <v>67</v>
      </c>
      <c r="C38" s="153"/>
      <c r="D38" s="70">
        <f>ROUND(IF(L33&gt;0.5,699/SQRT(H10)/(13*L33-1),63.6/L33/SQRT(H10)),2)</f>
        <v>51.57</v>
      </c>
      <c r="E38" s="64"/>
      <c r="F38" s="65" t="s">
        <v>68</v>
      </c>
      <c r="G38" s="152" t="s">
        <v>69</v>
      </c>
      <c r="H38" s="153"/>
      <c r="I38" s="70">
        <f>ROUND(15.3/SQRT(H10),2)</f>
        <v>9.8800000000000008</v>
      </c>
      <c r="J38" s="64"/>
      <c r="K38" s="64"/>
      <c r="L38" s="64"/>
      <c r="M38" s="64"/>
      <c r="N38" s="64"/>
      <c r="O38" s="88"/>
      <c r="P38" s="88"/>
      <c r="Q38" s="88"/>
      <c r="R38" s="88"/>
      <c r="S38" s="88"/>
      <c r="T38" s="88"/>
      <c r="U38" s="88"/>
      <c r="V38" s="88"/>
      <c r="W38" s="88"/>
    </row>
    <row r="39" spans="1:34" ht="20.399999999999999">
      <c r="A39" s="65" t="s">
        <v>70</v>
      </c>
      <c r="B39" s="152" t="s">
        <v>71</v>
      </c>
      <c r="C39" s="153"/>
      <c r="D39" s="70">
        <f>ROUND(222/SQRT(H10),2)</f>
        <v>143.30000000000001</v>
      </c>
      <c r="E39" s="64"/>
      <c r="F39" s="65" t="s">
        <v>72</v>
      </c>
      <c r="G39" s="152" t="s">
        <v>71</v>
      </c>
      <c r="H39" s="153"/>
      <c r="I39" s="70">
        <f>ROUND(28/SQRT(H10),2)</f>
        <v>18.07</v>
      </c>
      <c r="J39" s="64"/>
      <c r="K39" s="64"/>
      <c r="L39" s="64"/>
      <c r="M39" s="64"/>
      <c r="N39" s="64"/>
      <c r="O39" s="198" t="s">
        <v>135</v>
      </c>
      <c r="P39" s="199"/>
      <c r="Q39" s="192" t="s">
        <v>124</v>
      </c>
      <c r="R39" s="193"/>
      <c r="S39" s="89">
        <f>IF(IF(P31="Case ( a )",S26,IF(P31="Case ( b )",ROUND((T59-((T59-S36)*((C70-S48)/(S56-S48))))*S35,2),ROUND(S64*S35,2)))&lt;=T59,IF(P31="Case ( a )",S26,IF(P31="Case ( b )",ROUND((T59-((T59-S36)*((C70-S48)/(S56-S48))))*S35,2),ROUND(S64*S35,2))),T59)</f>
        <v>163</v>
      </c>
      <c r="T39" s="88" t="s">
        <v>47</v>
      </c>
      <c r="U39" s="88"/>
      <c r="V39" s="88"/>
      <c r="W39" s="88"/>
    </row>
    <row r="40" spans="1:34" ht="1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88"/>
      <c r="P40" s="88"/>
      <c r="Q40" s="200" t="s">
        <v>125</v>
      </c>
      <c r="R40" s="201"/>
      <c r="S40" s="88">
        <v>0.85</v>
      </c>
      <c r="T40" s="88"/>
      <c r="U40" s="88"/>
      <c r="V40" s="202" t="str">
        <f>IF(S41&gt;MAX(C15,C16,C17),"Safe","Unsafe")</f>
        <v>Safe</v>
      </c>
      <c r="W40" s="203"/>
    </row>
    <row r="41" spans="1:34" ht="1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88"/>
      <c r="P41" s="88"/>
      <c r="Q41" s="204" t="s">
        <v>126</v>
      </c>
      <c r="R41" s="205"/>
      <c r="S41" s="87">
        <f>ROUND(S39*S40,2)</f>
        <v>138.55000000000001</v>
      </c>
      <c r="T41" s="88" t="s">
        <v>47</v>
      </c>
      <c r="U41" s="88"/>
      <c r="V41" s="206"/>
      <c r="W41" s="207"/>
    </row>
    <row r="42" spans="1:34" ht="18">
      <c r="A42" s="64"/>
      <c r="B42" s="157" t="s">
        <v>73</v>
      </c>
      <c r="C42" s="142" t="str">
        <f>IF(D36&lt;=D38,"compact",IF(D36&lt;=D39,"non compact","slender"))</f>
        <v>compact</v>
      </c>
      <c r="D42" s="143"/>
      <c r="E42" s="64"/>
      <c r="F42" s="64"/>
      <c r="G42" s="157" t="s">
        <v>73</v>
      </c>
      <c r="H42" s="142" t="str">
        <f>IF((I36)&lt;=I38,"compact",IF(AND(I38&lt;I36,I36&lt;I39),"non compact","slender"))</f>
        <v>compact</v>
      </c>
      <c r="I42" s="143"/>
      <c r="J42" s="64"/>
      <c r="K42" s="64"/>
      <c r="L42" s="64"/>
      <c r="M42" s="64"/>
      <c r="N42" s="64"/>
      <c r="O42" s="88"/>
      <c r="P42" s="88"/>
      <c r="Q42" s="88"/>
      <c r="R42" s="88"/>
      <c r="S42" s="88"/>
      <c r="T42" s="88"/>
      <c r="U42" s="88"/>
      <c r="V42" s="88"/>
      <c r="W42" s="88"/>
    </row>
    <row r="43" spans="1:34" ht="18">
      <c r="A43" s="64"/>
      <c r="B43" s="155"/>
      <c r="C43" s="144"/>
      <c r="D43" s="145"/>
      <c r="E43" s="64"/>
      <c r="F43" s="64"/>
      <c r="G43" s="155"/>
      <c r="H43" s="144"/>
      <c r="I43" s="145"/>
      <c r="J43" s="64"/>
      <c r="K43" s="64"/>
      <c r="L43" s="64"/>
      <c r="M43" s="64"/>
      <c r="N43" s="64"/>
      <c r="O43" s="88"/>
      <c r="P43" s="88"/>
      <c r="Q43" s="88"/>
      <c r="R43" s="88"/>
      <c r="S43" s="88"/>
      <c r="T43" s="88"/>
      <c r="U43" s="88"/>
      <c r="V43" s="88"/>
      <c r="W43" s="88"/>
    </row>
    <row r="44" spans="1:34" ht="18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</row>
    <row r="45" spans="1:34" ht="18">
      <c r="A45" s="64"/>
      <c r="B45" s="64"/>
      <c r="C45" s="64"/>
      <c r="D45" s="142" t="s">
        <v>74</v>
      </c>
      <c r="E45" s="143"/>
      <c r="F45" s="208" t="str">
        <f>IF(AND(C42="compact",H42="compact"),"compact",IF(OR(C42="non compact",H42="non compact"),"non compact",IF(OR(C42="slender",H42="slender"),"slender","check")))</f>
        <v>compact</v>
      </c>
      <c r="G45" s="209"/>
      <c r="H45" s="64"/>
      <c r="I45" s="64"/>
      <c r="J45" s="64"/>
      <c r="K45" s="64"/>
      <c r="L45" s="64"/>
      <c r="M45" s="64"/>
      <c r="N45" s="64"/>
      <c r="O45" s="136" t="s">
        <v>99</v>
      </c>
      <c r="P45" s="136"/>
      <c r="Q45" s="136"/>
      <c r="R45" s="75" t="s">
        <v>100</v>
      </c>
      <c r="S45" s="64"/>
      <c r="T45" s="64"/>
      <c r="U45" s="126" t="s">
        <v>101</v>
      </c>
      <c r="V45" s="126"/>
      <c r="W45" s="64"/>
    </row>
    <row r="46" spans="1:34" ht="18">
      <c r="A46" s="64"/>
      <c r="B46" s="64"/>
      <c r="C46" s="64"/>
      <c r="D46" s="144"/>
      <c r="E46" s="145"/>
      <c r="F46" s="210"/>
      <c r="G46" s="211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</row>
    <row r="47" spans="1:34" ht="20.399999999999999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137" t="s">
        <v>102</v>
      </c>
      <c r="R47" s="138"/>
      <c r="S47" s="70">
        <f>ROUND(((Q6/Q4)^0.5),2)</f>
        <v>6.81</v>
      </c>
      <c r="T47" s="71" t="s">
        <v>53</v>
      </c>
      <c r="U47" s="64"/>
      <c r="V47" s="64"/>
      <c r="W47" s="64"/>
      <c r="Z47" s="64"/>
      <c r="AA47" s="64"/>
      <c r="AB47" s="64"/>
      <c r="AC47" s="64"/>
      <c r="AD47" s="64"/>
      <c r="AE47" s="64"/>
      <c r="AF47" s="64"/>
      <c r="AG47" s="64"/>
      <c r="AH47" s="64"/>
    </row>
    <row r="48" spans="1:34" ht="20.399999999999999">
      <c r="A48" s="64"/>
      <c r="B48" s="136" t="s">
        <v>127</v>
      </c>
      <c r="C48" s="136"/>
      <c r="D48" s="136"/>
      <c r="E48" s="64"/>
      <c r="F48" s="75" t="s">
        <v>128</v>
      </c>
      <c r="G48" s="64"/>
      <c r="H48" s="64"/>
      <c r="I48" s="64"/>
      <c r="J48" s="64"/>
      <c r="K48" s="64"/>
      <c r="L48" s="64"/>
      <c r="M48" s="64"/>
      <c r="N48" s="64"/>
      <c r="O48" s="126" t="s">
        <v>103</v>
      </c>
      <c r="P48" s="161"/>
      <c r="Q48" s="137" t="s">
        <v>104</v>
      </c>
      <c r="R48" s="138"/>
      <c r="S48" s="70">
        <f>ROUND((80*S47)/SQRT(H10),2)</f>
        <v>351.67</v>
      </c>
      <c r="T48" s="71" t="s">
        <v>53</v>
      </c>
      <c r="U48" s="64"/>
      <c r="V48" s="64"/>
      <c r="W48" s="64"/>
    </row>
    <row r="49" spans="1:23" ht="18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130"/>
      <c r="P49" s="130"/>
      <c r="Q49" s="64"/>
      <c r="R49" s="64"/>
      <c r="S49" s="64"/>
      <c r="T49" s="64"/>
      <c r="U49" s="64"/>
      <c r="V49" s="64"/>
      <c r="W49" s="64"/>
    </row>
    <row r="50" spans="1:23" ht="20.399999999999999">
      <c r="B50" s="64"/>
      <c r="C50" s="64"/>
      <c r="D50" s="137" t="s">
        <v>131</v>
      </c>
      <c r="E50" s="138"/>
      <c r="F50" s="70">
        <f>ROUND(SQRT(Q5/Q4),2)</f>
        <v>28.26</v>
      </c>
      <c r="G50" s="71" t="s">
        <v>53</v>
      </c>
      <c r="H50" s="64"/>
      <c r="I50" s="64"/>
      <c r="J50" s="64"/>
      <c r="M50" s="64"/>
      <c r="N50" s="64"/>
      <c r="O50" s="126" t="s">
        <v>105</v>
      </c>
      <c r="P50" s="161"/>
      <c r="Q50" s="137" t="s">
        <v>106</v>
      </c>
      <c r="R50" s="138"/>
      <c r="S50" s="70">
        <f>ROUND(((C33/6)*C25)+(C26*C27),2)</f>
        <v>96.37</v>
      </c>
      <c r="T50" s="71" t="s">
        <v>107</v>
      </c>
      <c r="U50" s="64"/>
      <c r="V50" s="64"/>
      <c r="W50" s="64"/>
    </row>
    <row r="51" spans="1:23" ht="20.399999999999999">
      <c r="B51" s="64"/>
      <c r="C51" s="64"/>
      <c r="D51" s="137" t="s">
        <v>102</v>
      </c>
      <c r="E51" s="138"/>
      <c r="F51" s="70">
        <f>ROUND(SQRT(Q6/Q4),2)</f>
        <v>6.81</v>
      </c>
      <c r="G51" s="71" t="s">
        <v>53</v>
      </c>
      <c r="H51" s="64"/>
      <c r="I51" s="64"/>
      <c r="J51" s="64"/>
      <c r="M51" s="64"/>
      <c r="N51" s="64"/>
      <c r="O51" s="126"/>
      <c r="P51" s="161"/>
      <c r="Q51" s="176" t="s">
        <v>80</v>
      </c>
      <c r="R51" s="177"/>
      <c r="S51" s="70">
        <f>ROUND((((C33/6)*(C25^3))/12)+((C27*(C26^3))/12),2)</f>
        <v>6077.69</v>
      </c>
      <c r="T51" s="84" t="s">
        <v>79</v>
      </c>
      <c r="U51" s="64"/>
      <c r="V51" s="64"/>
      <c r="W51" s="64"/>
    </row>
    <row r="52" spans="1:23" ht="20.399999999999999">
      <c r="B52" s="64"/>
      <c r="C52" s="64"/>
      <c r="D52" s="152" t="s">
        <v>136</v>
      </c>
      <c r="E52" s="153"/>
      <c r="F52" s="70">
        <f>ROUND(Q19/F50,2)</f>
        <v>54.49</v>
      </c>
      <c r="G52" s="64"/>
      <c r="H52" s="64"/>
      <c r="I52" s="64"/>
      <c r="J52" s="64"/>
      <c r="M52" s="64"/>
      <c r="N52" s="64"/>
      <c r="O52" s="64"/>
      <c r="P52" s="64"/>
      <c r="Q52" s="137" t="s">
        <v>108</v>
      </c>
      <c r="R52" s="138"/>
      <c r="S52" s="70">
        <f>ROUND(SQRT(S51/S50),2)</f>
        <v>7.94</v>
      </c>
      <c r="T52" s="71" t="s">
        <v>53</v>
      </c>
      <c r="U52" s="64"/>
      <c r="V52" s="64"/>
      <c r="W52" s="64"/>
    </row>
    <row r="53" spans="1:23" ht="19.8">
      <c r="B53" s="64"/>
      <c r="C53" s="64"/>
      <c r="D53" s="152" t="s">
        <v>138</v>
      </c>
      <c r="E53" s="153"/>
      <c r="F53" s="70">
        <f>ROUND(Q19/F51,2)</f>
        <v>226.14</v>
      </c>
      <c r="G53" s="64"/>
      <c r="H53" s="64"/>
      <c r="I53" s="64"/>
      <c r="J53" s="64"/>
      <c r="M53" s="64"/>
      <c r="N53" s="64"/>
      <c r="O53" s="64"/>
      <c r="P53" s="64"/>
      <c r="Q53" s="137" t="s">
        <v>109</v>
      </c>
      <c r="R53" s="138"/>
      <c r="S53" s="70">
        <f>ROUND(C26*C27,2)</f>
        <v>81</v>
      </c>
      <c r="T53" s="71" t="s">
        <v>107</v>
      </c>
      <c r="U53" s="64"/>
      <c r="V53" s="64"/>
      <c r="W53" s="64"/>
    </row>
    <row r="54" spans="1:23" ht="18">
      <c r="B54" s="64"/>
      <c r="C54" s="64"/>
      <c r="D54" s="152" t="s">
        <v>139</v>
      </c>
      <c r="E54" s="153"/>
      <c r="F54" s="70">
        <f>MAX(F52,F53)</f>
        <v>226.14</v>
      </c>
      <c r="G54" s="64"/>
      <c r="H54" s="64"/>
      <c r="I54" s="64"/>
      <c r="J54" s="64"/>
      <c r="M54" s="64"/>
      <c r="N54" s="64"/>
      <c r="O54" s="126" t="s">
        <v>110</v>
      </c>
      <c r="P54" s="161"/>
      <c r="Q54" s="137" t="s">
        <v>111</v>
      </c>
      <c r="R54" s="138"/>
      <c r="S54" s="70">
        <f>ROUND(((0.104*S52*C24)/S53)^2,2)</f>
        <v>0.49</v>
      </c>
      <c r="T54" s="64"/>
      <c r="U54" s="64"/>
      <c r="V54" s="64"/>
      <c r="W54" s="64"/>
    </row>
    <row r="55" spans="1:23" ht="20.399999999999999">
      <c r="B55" s="126" t="s">
        <v>141</v>
      </c>
      <c r="C55" s="161"/>
      <c r="D55" s="152" t="s">
        <v>142</v>
      </c>
      <c r="E55" s="153"/>
      <c r="F55" s="70">
        <f>ROUND((F54/3.14)*SQRT(H10/2100),2)</f>
        <v>2.4300000000000002</v>
      </c>
      <c r="G55" s="64"/>
      <c r="H55" s="64"/>
      <c r="I55" s="64"/>
      <c r="J55" s="64"/>
      <c r="M55" s="64"/>
      <c r="N55" s="64"/>
      <c r="O55" s="64"/>
      <c r="P55" s="64"/>
      <c r="Q55" s="137" t="s">
        <v>112</v>
      </c>
      <c r="R55" s="138"/>
      <c r="S55" s="70">
        <f>0.6*H10</f>
        <v>1.44</v>
      </c>
      <c r="T55" s="71" t="s">
        <v>42</v>
      </c>
      <c r="U55" s="64"/>
      <c r="V55" s="64"/>
      <c r="W55" s="64"/>
    </row>
    <row r="56" spans="1:23" ht="20.399999999999999">
      <c r="B56" s="126" t="s">
        <v>143</v>
      </c>
      <c r="C56" s="161"/>
      <c r="D56" s="137" t="s">
        <v>144</v>
      </c>
      <c r="E56" s="138"/>
      <c r="F56" s="70">
        <f>IF(F55&lt;=1.5,ROUND(H10*(1-(0.384*(F55^2))),2),ROUND(0.684*(H10/(F55^2)),2))</f>
        <v>0.28000000000000003</v>
      </c>
      <c r="G56" s="64"/>
      <c r="H56" s="64"/>
      <c r="I56" s="64"/>
      <c r="J56" s="64"/>
      <c r="M56" s="64"/>
      <c r="N56" s="64"/>
      <c r="O56" s="126" t="s">
        <v>113</v>
      </c>
      <c r="P56" s="161"/>
      <c r="Q56" s="137" t="s">
        <v>114</v>
      </c>
      <c r="R56" s="138"/>
      <c r="S56" s="79">
        <f>ROUND(((1380*S53)/(C24*S55))*SQRT(0.5*(1+SQRT(1+(2*S54*S55)^2))),2)</f>
        <v>1314.28</v>
      </c>
      <c r="T56" s="71" t="s">
        <v>53</v>
      </c>
      <c r="U56" s="64"/>
      <c r="V56" s="64"/>
      <c r="W56" s="64"/>
    </row>
    <row r="57" spans="1:23" ht="18">
      <c r="B57" s="64"/>
      <c r="C57" s="64"/>
      <c r="D57" s="64"/>
      <c r="E57" s="64"/>
      <c r="F57" s="64"/>
      <c r="G57" s="64"/>
      <c r="H57" s="64"/>
      <c r="I57" s="64"/>
      <c r="J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</row>
    <row r="58" spans="1:23" ht="18">
      <c r="B58" s="126" t="s">
        <v>145</v>
      </c>
      <c r="C58" s="161"/>
      <c r="D58" s="137" t="s">
        <v>146</v>
      </c>
      <c r="E58" s="138"/>
      <c r="F58" s="77">
        <f>ROUND(F56*Q4,2)</f>
        <v>73.37</v>
      </c>
      <c r="G58" s="71" t="s">
        <v>49</v>
      </c>
      <c r="H58" s="64"/>
      <c r="I58" s="64"/>
      <c r="J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</row>
    <row r="59" spans="1:23" ht="18">
      <c r="B59" s="64"/>
      <c r="C59" s="68"/>
      <c r="D59" s="152" t="s">
        <v>125</v>
      </c>
      <c r="E59" s="153"/>
      <c r="F59" s="71">
        <v>0.8</v>
      </c>
      <c r="G59" s="64"/>
      <c r="H59" s="64"/>
      <c r="I59" s="162" t="str">
        <f>IF(F60&lt;C18,"Unsafe","Safe")</f>
        <v>Unsafe</v>
      </c>
      <c r="J59" s="162"/>
      <c r="M59" s="64"/>
      <c r="N59" s="64"/>
      <c r="O59" s="64"/>
      <c r="P59" s="124" t="str">
        <f>IF(C70&lt;=S48,"Case (a)",IF(AND(S48&lt;C70,C70&lt;=S56),"Case (b)","Case (c) "))</f>
        <v>Case (a)</v>
      </c>
      <c r="Q59" s="124"/>
      <c r="R59" s="64"/>
      <c r="S59" s="157" t="s">
        <v>115</v>
      </c>
      <c r="T59" s="150">
        <f>ROUND(1.12*H10*Q7*0.01,2)</f>
        <v>163</v>
      </c>
      <c r="U59" s="157" t="s">
        <v>47</v>
      </c>
      <c r="V59" s="64"/>
      <c r="W59" s="64"/>
    </row>
    <row r="60" spans="1:23" ht="18">
      <c r="B60" s="64"/>
      <c r="C60" s="68"/>
      <c r="D60" s="212" t="s">
        <v>147</v>
      </c>
      <c r="E60" s="213"/>
      <c r="F60" s="80">
        <f>ROUND(F58*F59,2)</f>
        <v>58.7</v>
      </c>
      <c r="G60" s="71" t="s">
        <v>49</v>
      </c>
      <c r="H60" s="64"/>
      <c r="I60" s="162"/>
      <c r="J60" s="162"/>
      <c r="M60" s="64"/>
      <c r="N60" s="64"/>
      <c r="O60" s="64"/>
      <c r="P60" s="124"/>
      <c r="Q60" s="124"/>
      <c r="R60" s="64"/>
      <c r="S60" s="155"/>
      <c r="T60" s="151"/>
      <c r="U60" s="155"/>
      <c r="V60" s="64"/>
      <c r="W60" s="64"/>
    </row>
    <row r="61" spans="1:23" ht="18">
      <c r="B61" s="64"/>
      <c r="C61" s="64"/>
      <c r="D61" s="64"/>
      <c r="E61" s="64"/>
      <c r="F61" s="64"/>
      <c r="G61" s="64"/>
      <c r="H61" s="64"/>
      <c r="I61" s="64"/>
      <c r="J61" s="64"/>
      <c r="M61" s="64"/>
      <c r="N61" s="64"/>
      <c r="O61" s="64"/>
      <c r="P61" s="64"/>
      <c r="Q61" s="68"/>
      <c r="R61" s="68"/>
      <c r="S61" s="64"/>
      <c r="T61" s="64"/>
      <c r="U61" s="64"/>
      <c r="V61" s="64"/>
      <c r="W61" s="64"/>
    </row>
    <row r="62" spans="1:23" ht="20.399999999999999">
      <c r="M62" s="64"/>
      <c r="N62" s="64"/>
      <c r="O62" s="126" t="s">
        <v>116</v>
      </c>
      <c r="P62" s="161"/>
      <c r="Q62" s="137" t="s">
        <v>117</v>
      </c>
      <c r="R62" s="138"/>
      <c r="S62" s="71">
        <f>ROUND((1.75+1.05*((MIN(C17:C19))/(MAX(C17:C19)))+0.3*(((MIN(C17:C19))/(MAX(C17:C19)))^2)),2)</f>
        <v>1.79</v>
      </c>
      <c r="T62" s="86"/>
      <c r="U62" s="126" t="s">
        <v>118</v>
      </c>
      <c r="V62" s="126"/>
      <c r="W62" s="126"/>
    </row>
    <row r="63" spans="1:23" ht="18">
      <c r="M63" s="68"/>
      <c r="N63" s="68"/>
      <c r="O63" s="126" t="s">
        <v>119</v>
      </c>
      <c r="P63" s="161"/>
      <c r="Q63" s="137" t="s">
        <v>120</v>
      </c>
      <c r="R63" s="138"/>
      <c r="S63" s="70" t="str">
        <f>IF(P59="Case (b)",ROUND(S55*Q7*0.01,2),"-")</f>
        <v>-</v>
      </c>
      <c r="T63" s="158" t="s">
        <v>121</v>
      </c>
      <c r="U63" s="126"/>
      <c r="V63" s="126"/>
      <c r="W63" s="64"/>
    </row>
    <row r="64" spans="1:23" ht="18">
      <c r="N64" s="68"/>
      <c r="O64" s="126" t="s">
        <v>122</v>
      </c>
      <c r="P64" s="161"/>
      <c r="Q64" s="137" t="s">
        <v>123</v>
      </c>
      <c r="R64" s="138"/>
      <c r="S64" s="70" t="str">
        <f>IF(P59="Case (c) ",ROUND(Q7*SQRT((((1380*S53)/(C24*C70))^2)+((20700/((C70/S52)^2))^2))*0.01,2),"-")</f>
        <v>-</v>
      </c>
      <c r="T64" s="158"/>
      <c r="U64" s="126"/>
      <c r="V64" s="126"/>
      <c r="W64" s="64"/>
    </row>
    <row r="65" spans="1:34" ht="18">
      <c r="E65" s="64"/>
      <c r="F65" s="64"/>
      <c r="G65" s="64"/>
      <c r="H65" s="64"/>
      <c r="I65" s="64"/>
      <c r="J65" s="64"/>
      <c r="K65" s="64"/>
      <c r="L65" s="64"/>
      <c r="M65" s="64"/>
      <c r="N65" s="68"/>
      <c r="O65" s="64"/>
      <c r="P65" s="64"/>
      <c r="Q65" s="64"/>
      <c r="R65" s="64"/>
      <c r="S65" s="64"/>
      <c r="T65" s="64"/>
      <c r="U65" s="64"/>
      <c r="V65" s="64"/>
      <c r="W65" s="64"/>
    </row>
    <row r="66" spans="1:34" ht="18">
      <c r="E66" s="136" t="s">
        <v>153</v>
      </c>
      <c r="F66" s="136"/>
      <c r="G66" s="136"/>
      <c r="H66" s="75" t="s">
        <v>154</v>
      </c>
      <c r="I66" s="64"/>
      <c r="J66" s="64"/>
      <c r="K66" s="64"/>
      <c r="L66" s="64"/>
      <c r="M66" s="64"/>
      <c r="N66" s="68"/>
      <c r="O66" s="64"/>
      <c r="P66" s="64"/>
      <c r="Q66" s="137" t="s">
        <v>124</v>
      </c>
      <c r="R66" s="138"/>
      <c r="S66" s="70">
        <f>IF(IF(P59="Case (a)",T59,IF(P59="Case (b)",ROUND((T59-((T59-S63)*((C70-S48)/(S56-S48))))*S62,2),S64*S62))&lt;=T59,IF(P59="Case (a)",T59,IF(P59="Case (b)",ROUND((T59-((T59-S63)*((C70-S48)/(S56-S48))))*S62,2),S64*S62)),T59)</f>
        <v>163</v>
      </c>
      <c r="T66" s="71" t="s">
        <v>47</v>
      </c>
      <c r="U66" s="64"/>
      <c r="V66" s="64"/>
      <c r="W66" s="64"/>
    </row>
    <row r="67" spans="1:34" ht="18">
      <c r="E67" s="64"/>
      <c r="F67" s="64"/>
      <c r="G67" s="64"/>
      <c r="H67" s="64"/>
      <c r="I67" s="64"/>
      <c r="J67" s="64"/>
      <c r="K67" s="64"/>
      <c r="L67" s="64"/>
      <c r="M67" s="64"/>
      <c r="N67" s="68"/>
      <c r="O67" s="64"/>
      <c r="P67" s="64"/>
      <c r="Q67" s="152" t="s">
        <v>125</v>
      </c>
      <c r="R67" s="153"/>
      <c r="S67" s="71">
        <v>0.85</v>
      </c>
      <c r="T67" s="64"/>
      <c r="U67" s="64"/>
      <c r="V67" s="162" t="str">
        <f>IF((S68&gt;=C17),"Safe","Unsafe")</f>
        <v>Safe</v>
      </c>
      <c r="W67" s="162"/>
    </row>
    <row r="68" spans="1:34" ht="18">
      <c r="E68" s="64"/>
      <c r="F68" s="64"/>
      <c r="G68" s="142"/>
      <c r="H68" s="143"/>
      <c r="I68" s="157">
        <f>C18/F60</f>
        <v>1.8568994889267461</v>
      </c>
      <c r="J68" s="64"/>
      <c r="K68" s="64"/>
      <c r="L68" s="64"/>
      <c r="M68" s="64"/>
      <c r="N68" s="68"/>
      <c r="O68" s="64"/>
      <c r="P68" s="64"/>
      <c r="Q68" s="212" t="s">
        <v>126</v>
      </c>
      <c r="R68" s="213"/>
      <c r="S68" s="87">
        <f>ROUND(S67*S66,2)</f>
        <v>138.55000000000001</v>
      </c>
      <c r="T68" s="71" t="s">
        <v>47</v>
      </c>
      <c r="U68" s="64"/>
      <c r="V68" s="162"/>
      <c r="W68" s="162"/>
    </row>
    <row r="69" spans="1:34" ht="18">
      <c r="E69" s="64"/>
      <c r="F69" s="64"/>
      <c r="G69" s="144"/>
      <c r="H69" s="145"/>
      <c r="I69" s="155"/>
      <c r="J69" s="64"/>
      <c r="K69" s="64"/>
      <c r="L69" s="64"/>
      <c r="M69" s="64"/>
      <c r="N69" s="68"/>
      <c r="O69" s="68"/>
      <c r="P69" s="64"/>
      <c r="Q69" s="64"/>
      <c r="R69" s="64"/>
      <c r="S69" s="64"/>
      <c r="T69" s="64"/>
      <c r="U69" s="64"/>
      <c r="V69" s="64"/>
    </row>
    <row r="70" spans="1:34" ht="18">
      <c r="A70" s="130"/>
      <c r="B70" s="130"/>
      <c r="C70" s="64"/>
      <c r="E70" s="64"/>
      <c r="F70" s="64"/>
      <c r="G70" s="142"/>
      <c r="H70" s="143"/>
      <c r="I70" s="157">
        <f>ROUND(MAX(C17:C19)/IF(F45="compact",S68,S41),2)</f>
        <v>0.79</v>
      </c>
      <c r="J70" s="64"/>
      <c r="K70" s="64"/>
      <c r="L70" s="64"/>
      <c r="M70" s="64"/>
      <c r="N70" s="68"/>
      <c r="O70" s="68"/>
      <c r="P70" s="136" t="s">
        <v>148</v>
      </c>
      <c r="Q70" s="136"/>
      <c r="R70" s="136"/>
      <c r="S70" s="64"/>
      <c r="T70" s="75" t="s">
        <v>149</v>
      </c>
      <c r="U70" s="64"/>
      <c r="V70" s="64"/>
      <c r="W70" s="64"/>
      <c r="X70" s="64"/>
    </row>
    <row r="71" spans="1:34" ht="18">
      <c r="A71" s="64"/>
      <c r="B71" s="64"/>
      <c r="C71" s="64"/>
      <c r="E71" s="64"/>
      <c r="F71" s="64"/>
      <c r="G71" s="144"/>
      <c r="H71" s="145"/>
      <c r="I71" s="155"/>
      <c r="J71" s="64"/>
      <c r="K71" s="64"/>
      <c r="L71" s="64"/>
      <c r="M71" s="64"/>
      <c r="N71" s="68"/>
      <c r="O71" s="68"/>
      <c r="P71" s="64"/>
      <c r="Q71" s="64"/>
      <c r="R71" s="64"/>
      <c r="S71" s="64"/>
      <c r="T71" s="64"/>
      <c r="U71" s="64"/>
      <c r="V71" s="64"/>
      <c r="W71" s="64"/>
      <c r="X71" s="64"/>
    </row>
    <row r="72" spans="1:34" ht="18">
      <c r="E72" s="64"/>
      <c r="F72" s="64"/>
      <c r="G72" s="64"/>
      <c r="H72" s="64"/>
      <c r="I72" s="64"/>
      <c r="J72" s="64"/>
      <c r="K72" s="64"/>
      <c r="L72" s="64"/>
      <c r="M72" s="64"/>
      <c r="N72" s="68"/>
      <c r="O72" s="68"/>
      <c r="P72" s="68"/>
      <c r="Q72" s="68"/>
      <c r="R72" s="142"/>
      <c r="S72" s="143"/>
      <c r="T72" s="157">
        <f>ROUND(C33/C25,2)</f>
        <v>43.86</v>
      </c>
      <c r="U72" s="64"/>
      <c r="V72" s="64"/>
      <c r="W72" s="64"/>
      <c r="X72" s="64"/>
      <c r="Z72" s="64"/>
      <c r="AA72" s="64"/>
      <c r="AB72" s="64"/>
      <c r="AC72" s="64"/>
      <c r="AD72" s="64"/>
      <c r="AE72" s="64"/>
      <c r="AF72" s="64"/>
      <c r="AG72" s="64"/>
      <c r="AH72" s="64"/>
    </row>
    <row r="73" spans="1:34" ht="18">
      <c r="E73" s="126" t="s">
        <v>155</v>
      </c>
      <c r="F73" s="161"/>
      <c r="G73" s="142" t="s">
        <v>156</v>
      </c>
      <c r="H73" s="143"/>
      <c r="I73" s="214">
        <f>ROUND(IF(I68&gt;=0.2,(I68+(8/9*I70)),((0.5*I68)+I70)),2)</f>
        <v>2.56</v>
      </c>
      <c r="J73" s="64"/>
      <c r="K73" s="64"/>
      <c r="L73" s="64"/>
      <c r="M73" s="64"/>
      <c r="N73" s="68"/>
      <c r="O73" s="68"/>
      <c r="P73" s="68"/>
      <c r="Q73" s="68"/>
      <c r="R73" s="144"/>
      <c r="S73" s="145"/>
      <c r="T73" s="155"/>
      <c r="U73" s="64"/>
      <c r="V73" s="64"/>
      <c r="W73" s="64"/>
      <c r="X73" s="64"/>
    </row>
    <row r="74" spans="1:34" ht="18">
      <c r="E74" s="126"/>
      <c r="F74" s="161"/>
      <c r="G74" s="144"/>
      <c r="H74" s="145"/>
      <c r="I74" s="215"/>
      <c r="J74" s="64"/>
      <c r="K74" s="64"/>
      <c r="L74" s="162" t="str">
        <f>IF(I73&lt;=1,"Safe","Unsafe")</f>
        <v>Unsafe</v>
      </c>
      <c r="M74" s="162"/>
      <c r="N74" s="68"/>
      <c r="O74" s="68"/>
      <c r="P74" s="68"/>
      <c r="Q74" s="68"/>
      <c r="R74" s="142"/>
      <c r="S74" s="143"/>
      <c r="T74" s="157">
        <f>ROUND(112/SQRT(H10),2)</f>
        <v>72.3</v>
      </c>
      <c r="U74" s="64"/>
      <c r="V74" s="64"/>
      <c r="W74" s="64"/>
      <c r="X74" s="64"/>
    </row>
    <row r="75" spans="1:34" ht="18">
      <c r="E75" s="64"/>
      <c r="F75" s="64"/>
      <c r="G75" s="64"/>
      <c r="H75" s="64"/>
      <c r="I75" s="64"/>
      <c r="J75" s="64"/>
      <c r="K75" s="64"/>
      <c r="L75" s="162"/>
      <c r="M75" s="162"/>
      <c r="N75" s="64"/>
      <c r="O75" s="64"/>
      <c r="P75" s="68"/>
      <c r="Q75" s="68"/>
      <c r="R75" s="144"/>
      <c r="S75" s="145"/>
      <c r="T75" s="155"/>
      <c r="U75" s="64"/>
      <c r="V75" s="64"/>
      <c r="W75" s="64"/>
      <c r="X75" s="64"/>
    </row>
    <row r="76" spans="1:34" ht="18">
      <c r="N76" s="64"/>
      <c r="O76" s="64"/>
      <c r="P76" s="68"/>
      <c r="Q76" s="68"/>
      <c r="R76" s="142"/>
      <c r="S76" s="143"/>
      <c r="T76" s="157">
        <f>ROUND(139/SQRT(H10),2)</f>
        <v>89.72</v>
      </c>
      <c r="U76" s="64"/>
      <c r="V76" s="64"/>
      <c r="W76" s="64"/>
      <c r="X76" s="64"/>
    </row>
    <row r="77" spans="1:34" ht="18">
      <c r="N77" s="64"/>
      <c r="O77" s="64"/>
      <c r="P77" s="68"/>
      <c r="Q77" s="68"/>
      <c r="R77" s="144"/>
      <c r="S77" s="145"/>
      <c r="T77" s="155"/>
      <c r="U77" s="64"/>
      <c r="V77" s="64"/>
      <c r="W77" s="64"/>
      <c r="X77" s="64"/>
    </row>
    <row r="78" spans="1:34" ht="18">
      <c r="J78" s="64"/>
      <c r="K78" s="64"/>
      <c r="L78" s="64"/>
      <c r="M78" s="64"/>
      <c r="N78" s="64"/>
      <c r="O78" s="64"/>
      <c r="P78" s="126" t="s">
        <v>150</v>
      </c>
      <c r="Q78" s="161"/>
      <c r="R78" s="137" t="s">
        <v>151</v>
      </c>
      <c r="S78" s="138"/>
      <c r="T78" s="71">
        <f>IF(T72&lt;T74,ROUND(0.6*H10*C33*C34,2),IF(AND(T74&lt;T72,T72&lt;T76),ROUND(0.6*H10*C33*C34*(T74/T72),2),IF(AND(T76&lt;T72,T72&lt;260),ROUND(C33*C34*(9500/(T72^2)),2),"Check h/tw")))</f>
        <v>132.80000000000001</v>
      </c>
      <c r="U78" s="74" t="s">
        <v>49</v>
      </c>
      <c r="V78" s="64"/>
      <c r="W78" s="64"/>
      <c r="X78" s="64"/>
    </row>
    <row r="79" spans="1:34" ht="18">
      <c r="J79" s="64"/>
      <c r="K79" s="64"/>
      <c r="L79" s="64"/>
      <c r="M79" s="64"/>
      <c r="N79" s="64"/>
      <c r="O79" s="64"/>
      <c r="P79" s="64"/>
      <c r="Q79" s="64"/>
      <c r="R79" s="152" t="s">
        <v>125</v>
      </c>
      <c r="S79" s="153"/>
      <c r="T79" s="71">
        <v>0.85</v>
      </c>
      <c r="U79" s="64"/>
      <c r="V79" s="64"/>
      <c r="W79" s="162" t="str">
        <f>IF(T80&lt;C19,"Unsafe","Safe")</f>
        <v>Safe</v>
      </c>
      <c r="X79" s="162"/>
    </row>
    <row r="80" spans="1:34" ht="18">
      <c r="J80" s="64"/>
      <c r="K80" s="64"/>
      <c r="L80" s="64"/>
      <c r="M80" s="64"/>
      <c r="N80" s="64"/>
      <c r="O80" s="64"/>
      <c r="P80" s="64"/>
      <c r="Q80" s="64"/>
      <c r="R80" s="212" t="s">
        <v>152</v>
      </c>
      <c r="S80" s="213"/>
      <c r="T80" s="80">
        <f>ROUND(T78*T79,2)</f>
        <v>112.88</v>
      </c>
      <c r="U80" s="74" t="s">
        <v>49</v>
      </c>
      <c r="V80" s="64"/>
      <c r="W80" s="162"/>
      <c r="X80" s="162"/>
    </row>
    <row r="81" spans="10:34" ht="18"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</row>
    <row r="82" spans="10:34" ht="18"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</row>
    <row r="83" spans="10:34" ht="18"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</row>
    <row r="84" spans="10:34" ht="18">
      <c r="J84" s="68"/>
      <c r="K84" s="68"/>
      <c r="L84" s="68"/>
      <c r="M84" s="68"/>
      <c r="N84" s="64"/>
      <c r="O84" s="64"/>
      <c r="P84" s="64"/>
      <c r="Q84" s="64"/>
      <c r="R84" s="64"/>
      <c r="S84" s="64"/>
      <c r="T84" s="64"/>
      <c r="U84" s="64"/>
      <c r="V84" s="64"/>
    </row>
    <row r="85" spans="10:34" ht="18"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</row>
    <row r="86" spans="10:34" ht="18"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</row>
    <row r="87" spans="10:34" ht="18">
      <c r="J87" s="64"/>
      <c r="K87" s="85"/>
      <c r="L87" s="85"/>
      <c r="M87" s="64"/>
      <c r="N87" s="64"/>
      <c r="O87" s="64"/>
      <c r="P87" s="64"/>
      <c r="Q87" s="64"/>
      <c r="R87" s="64"/>
      <c r="S87" s="64"/>
      <c r="T87" s="64"/>
      <c r="U87" s="64"/>
      <c r="V87" s="64"/>
      <c r="Z87" s="64"/>
      <c r="AA87" s="64"/>
      <c r="AB87" s="64"/>
      <c r="AC87" s="64"/>
      <c r="AD87" s="64"/>
      <c r="AE87" s="64"/>
      <c r="AF87" s="64"/>
      <c r="AG87" s="64"/>
      <c r="AH87" s="64"/>
    </row>
    <row r="88" spans="10:34" ht="18"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</row>
    <row r="89" spans="10:34" ht="18"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</row>
    <row r="90" spans="10:34" ht="18"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</row>
    <row r="91" spans="10:34" ht="18"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</row>
    <row r="92" spans="10:34" ht="18"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</row>
    <row r="93" spans="10:34" ht="18"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</row>
    <row r="94" spans="10:34" ht="18"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</row>
    <row r="95" spans="10:34" ht="18"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</row>
    <row r="96" spans="10:34" ht="18"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</row>
    <row r="97" spans="10:22" ht="18"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</row>
    <row r="98" spans="10:22" ht="18">
      <c r="J98" s="64"/>
      <c r="K98" s="64"/>
      <c r="L98" s="64"/>
      <c r="V98" s="64"/>
    </row>
    <row r="99" spans="10:22" ht="18">
      <c r="J99" s="64"/>
      <c r="K99" s="64"/>
      <c r="L99" s="64"/>
      <c r="V99" s="64"/>
    </row>
    <row r="100" spans="10:22" ht="18">
      <c r="J100" s="64"/>
      <c r="K100" s="64"/>
      <c r="L100" s="64"/>
      <c r="V100" s="64"/>
    </row>
    <row r="101" spans="10:22" ht="18">
      <c r="J101" s="64"/>
      <c r="K101" s="64"/>
      <c r="L101" s="64"/>
      <c r="V101" s="64"/>
    </row>
    <row r="102" spans="10:22" ht="18">
      <c r="J102" s="64"/>
      <c r="K102" s="64"/>
      <c r="L102" s="64"/>
      <c r="V102" s="64"/>
    </row>
    <row r="103" spans="10:22" ht="18">
      <c r="J103" s="64"/>
      <c r="K103" s="64"/>
      <c r="L103" s="64"/>
      <c r="V103" s="64"/>
    </row>
    <row r="104" spans="10:22" ht="18">
      <c r="J104" s="64"/>
      <c r="K104" s="64"/>
      <c r="L104" s="64"/>
      <c r="V104" s="64"/>
    </row>
    <row r="105" spans="10:22" ht="18">
      <c r="J105" s="64"/>
      <c r="K105" s="64"/>
      <c r="L105" s="64"/>
      <c r="V105" s="64"/>
    </row>
    <row r="106" spans="10:22" ht="18">
      <c r="J106" s="64"/>
      <c r="K106" s="64"/>
      <c r="L106" s="64"/>
      <c r="V106" s="64"/>
    </row>
    <row r="107" spans="10:22" ht="18">
      <c r="J107" s="64"/>
      <c r="K107" s="64"/>
      <c r="L107" s="64"/>
      <c r="V107" s="64"/>
    </row>
    <row r="108" spans="10:22" ht="18">
      <c r="J108" s="64"/>
      <c r="K108" s="64"/>
      <c r="L108" s="64"/>
      <c r="V108" s="64"/>
    </row>
    <row r="109" spans="10:22" ht="18">
      <c r="J109" s="64"/>
      <c r="K109" s="64"/>
      <c r="L109" s="64"/>
      <c r="V109" s="64"/>
    </row>
    <row r="110" spans="10:22" ht="18">
      <c r="J110" s="64"/>
      <c r="K110" s="64"/>
      <c r="L110" s="64"/>
      <c r="V110" s="64"/>
    </row>
    <row r="111" spans="10:22" ht="18">
      <c r="J111" s="64"/>
      <c r="K111" s="64"/>
      <c r="L111" s="64"/>
      <c r="V111" s="64"/>
    </row>
    <row r="112" spans="10:22" ht="18">
      <c r="J112" s="64"/>
      <c r="K112" s="64"/>
      <c r="L112" s="64"/>
      <c r="V112" s="64"/>
    </row>
    <row r="113" spans="10:22" ht="18">
      <c r="J113" s="64"/>
      <c r="K113" s="64"/>
      <c r="L113" s="64"/>
      <c r="V113" s="64"/>
    </row>
    <row r="114" spans="10:22" ht="18">
      <c r="J114" s="64"/>
      <c r="K114" s="64"/>
      <c r="L114" s="64"/>
      <c r="V114" s="64"/>
    </row>
    <row r="115" spans="10:22" ht="18">
      <c r="J115" s="64"/>
      <c r="K115" s="64"/>
      <c r="L115" s="64"/>
      <c r="V115" s="64"/>
    </row>
    <row r="116" spans="10:22" ht="18">
      <c r="J116" s="64"/>
      <c r="K116" s="64"/>
      <c r="L116" s="64"/>
      <c r="V116" s="64"/>
    </row>
    <row r="117" spans="10:22" ht="18">
      <c r="J117" s="64"/>
      <c r="K117" s="64"/>
      <c r="L117" s="64"/>
      <c r="V117" s="64"/>
    </row>
    <row r="118" spans="10:22" ht="18">
      <c r="J118" s="64"/>
      <c r="K118" s="64"/>
      <c r="L118" s="64"/>
      <c r="V118" s="64"/>
    </row>
    <row r="119" spans="10:22" ht="18">
      <c r="J119" s="64"/>
      <c r="K119" s="64"/>
      <c r="L119" s="64"/>
      <c r="V119" s="64"/>
    </row>
    <row r="120" spans="10:22" ht="18"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</row>
    <row r="121" spans="10:22" ht="18"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</row>
    <row r="122" spans="10:22" ht="18"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</row>
    <row r="123" spans="10:22" ht="18"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</row>
    <row r="124" spans="10:22" ht="18"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</row>
    <row r="125" spans="10:22" ht="18"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</row>
    <row r="126" spans="10:22" ht="18"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</row>
    <row r="127" spans="10:22" ht="18"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</row>
    <row r="128" spans="10:22" ht="18"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</row>
    <row r="129" spans="10:22" ht="18"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</row>
    <row r="130" spans="10:22" ht="18"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</row>
    <row r="131" spans="10:22" ht="18"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</row>
    <row r="132" spans="10:22" ht="18"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</row>
    <row r="133" spans="10:22" ht="18"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</row>
    <row r="134" spans="10:22" ht="18"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</row>
  </sheetData>
  <mergeCells count="148">
    <mergeCell ref="R76:S77"/>
    <mergeCell ref="T76:T77"/>
    <mergeCell ref="P78:Q78"/>
    <mergeCell ref="R78:S78"/>
    <mergeCell ref="R79:S79"/>
    <mergeCell ref="W79:X80"/>
    <mergeCell ref="R80:S80"/>
    <mergeCell ref="R72:S73"/>
    <mergeCell ref="T72:T73"/>
    <mergeCell ref="E73:F74"/>
    <mergeCell ref="G73:H74"/>
    <mergeCell ref="I73:I74"/>
    <mergeCell ref="L74:M75"/>
    <mergeCell ref="R74:S75"/>
    <mergeCell ref="T74:T75"/>
    <mergeCell ref="Q67:R67"/>
    <mergeCell ref="V67:W68"/>
    <mergeCell ref="G68:H69"/>
    <mergeCell ref="I68:I69"/>
    <mergeCell ref="Q68:R68"/>
    <mergeCell ref="A70:B70"/>
    <mergeCell ref="G70:H71"/>
    <mergeCell ref="I70:I71"/>
    <mergeCell ref="P70:R70"/>
    <mergeCell ref="O63:P63"/>
    <mergeCell ref="Q63:R63"/>
    <mergeCell ref="T63:V64"/>
    <mergeCell ref="O64:P64"/>
    <mergeCell ref="Q64:R64"/>
    <mergeCell ref="E66:G66"/>
    <mergeCell ref="Q66:R66"/>
    <mergeCell ref="T59:T60"/>
    <mergeCell ref="U59:U60"/>
    <mergeCell ref="D60:E60"/>
    <mergeCell ref="O62:P62"/>
    <mergeCell ref="Q62:R62"/>
    <mergeCell ref="U62:W62"/>
    <mergeCell ref="B58:C58"/>
    <mergeCell ref="D58:E58"/>
    <mergeCell ref="D59:E59"/>
    <mergeCell ref="I59:J60"/>
    <mergeCell ref="P59:Q60"/>
    <mergeCell ref="S59:S60"/>
    <mergeCell ref="B55:C55"/>
    <mergeCell ref="D55:E55"/>
    <mergeCell ref="Q55:R55"/>
    <mergeCell ref="B56:C56"/>
    <mergeCell ref="D56:E56"/>
    <mergeCell ref="O56:P56"/>
    <mergeCell ref="Q56:R56"/>
    <mergeCell ref="D52:E52"/>
    <mergeCell ref="Q52:R52"/>
    <mergeCell ref="D53:E53"/>
    <mergeCell ref="Q53:R53"/>
    <mergeCell ref="D54:E54"/>
    <mergeCell ref="O54:P54"/>
    <mergeCell ref="Q54:R54"/>
    <mergeCell ref="O49:P49"/>
    <mergeCell ref="D50:E50"/>
    <mergeCell ref="O50:P51"/>
    <mergeCell ref="Q50:R50"/>
    <mergeCell ref="D51:E51"/>
    <mergeCell ref="Q51:R51"/>
    <mergeCell ref="D45:E46"/>
    <mergeCell ref="F45:G46"/>
    <mergeCell ref="O45:Q45"/>
    <mergeCell ref="U45:V45"/>
    <mergeCell ref="Q47:R47"/>
    <mergeCell ref="B48:D48"/>
    <mergeCell ref="O48:P48"/>
    <mergeCell ref="Q48:R48"/>
    <mergeCell ref="Q40:R40"/>
    <mergeCell ref="V40:W41"/>
    <mergeCell ref="Q41:R41"/>
    <mergeCell ref="B42:B43"/>
    <mergeCell ref="C42:D43"/>
    <mergeCell ref="G42:G43"/>
    <mergeCell ref="H42:I43"/>
    <mergeCell ref="B38:C38"/>
    <mergeCell ref="G38:H38"/>
    <mergeCell ref="B39:C39"/>
    <mergeCell ref="G39:H39"/>
    <mergeCell ref="O39:P39"/>
    <mergeCell ref="Q39:R39"/>
    <mergeCell ref="B36:C37"/>
    <mergeCell ref="D36:D37"/>
    <mergeCell ref="G36:H37"/>
    <mergeCell ref="I36:I37"/>
    <mergeCell ref="O36:P36"/>
    <mergeCell ref="Q36:R36"/>
    <mergeCell ref="O37:P37"/>
    <mergeCell ref="Q37:R37"/>
    <mergeCell ref="A27:B27"/>
    <mergeCell ref="Q28:R28"/>
    <mergeCell ref="A30:C30"/>
    <mergeCell ref="P31:Q32"/>
    <mergeCell ref="O35:P35"/>
    <mergeCell ref="Q35:R35"/>
    <mergeCell ref="A24:B24"/>
    <mergeCell ref="Q24:R24"/>
    <mergeCell ref="A25:B25"/>
    <mergeCell ref="Q25:R25"/>
    <mergeCell ref="A26:B26"/>
    <mergeCell ref="Q26:R26"/>
    <mergeCell ref="O20:P20"/>
    <mergeCell ref="S20:V20"/>
    <mergeCell ref="O21:P21"/>
    <mergeCell ref="A22:C22"/>
    <mergeCell ref="O22:Q22"/>
    <mergeCell ref="R22:T22"/>
    <mergeCell ref="X16:Z16"/>
    <mergeCell ref="A17:B17"/>
    <mergeCell ref="O17:P17"/>
    <mergeCell ref="S17:V17"/>
    <mergeCell ref="A18:B18"/>
    <mergeCell ref="A19:B19"/>
    <mergeCell ref="O19:P19"/>
    <mergeCell ref="O14:P14"/>
    <mergeCell ref="A15:B15"/>
    <mergeCell ref="O15:P15"/>
    <mergeCell ref="T15:U15"/>
    <mergeCell ref="A16:B16"/>
    <mergeCell ref="O16:P16"/>
    <mergeCell ref="A10:B11"/>
    <mergeCell ref="C10:C11"/>
    <mergeCell ref="F10:G10"/>
    <mergeCell ref="F11:G11"/>
    <mergeCell ref="O11:Q11"/>
    <mergeCell ref="A13:C13"/>
    <mergeCell ref="O13:P13"/>
    <mergeCell ref="A8:B9"/>
    <mergeCell ref="C8:D8"/>
    <mergeCell ref="G8:G9"/>
    <mergeCell ref="H8:H9"/>
    <mergeCell ref="O8:P8"/>
    <mergeCell ref="C9:D9"/>
    <mergeCell ref="C5:G5"/>
    <mergeCell ref="O5:P5"/>
    <mergeCell ref="C6:G6"/>
    <mergeCell ref="O6:P6"/>
    <mergeCell ref="C7:G7"/>
    <mergeCell ref="O7:P7"/>
    <mergeCell ref="C1:G1"/>
    <mergeCell ref="C2:G2"/>
    <mergeCell ref="O2:Q2"/>
    <mergeCell ref="C3:G3"/>
    <mergeCell ref="C4:G4"/>
    <mergeCell ref="O4:P4"/>
  </mergeCells>
  <dataValidations count="2">
    <dataValidation type="list" allowBlank="1" showInputMessage="1" showErrorMessage="1" sqref="Q14" xr:uid="{CC482C2E-A85E-4A5A-BD03-840AC8A7C939}">
      <formula1>$K$8:$K$9</formula1>
    </dataValidation>
    <dataValidation type="list" allowBlank="1" showInputMessage="1" showErrorMessage="1" sqref="H8:H9" xr:uid="{1C3F4566-25ED-42B0-B69E-87BF5AA87578}">
      <formula1>$K$3:$K$5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utoCAD.Drawing.17" shapeId="6145" r:id="rId3">
          <objectPr defaultSize="0" autoPict="0" r:id="rId4">
            <anchor moveWithCells="1" sizeWithCells="1">
              <from>
                <xdr:col>4</xdr:col>
                <xdr:colOff>121920</xdr:colOff>
                <xdr:row>21</xdr:row>
                <xdr:rowOff>22860</xdr:rowOff>
              </from>
              <to>
                <xdr:col>8</xdr:col>
                <xdr:colOff>518160</xdr:colOff>
                <xdr:row>31</xdr:row>
                <xdr:rowOff>30480</xdr:rowOff>
              </to>
            </anchor>
          </objectPr>
        </oleObject>
      </mc:Choice>
      <mc:Fallback>
        <oleObject progId="AutoCAD.Drawing.17" shapeId="6145" r:id="rId3"/>
      </mc:Fallback>
    </mc:AlternateContent>
    <mc:AlternateContent xmlns:mc="http://schemas.openxmlformats.org/markup-compatibility/2006">
      <mc:Choice Requires="x14">
        <oleObject progId="AutoCAD.Drawing.17" shapeId="6146" r:id="rId5">
          <objectPr defaultSize="0" autoPict="0" r:id="rId6">
            <anchor moveWithCells="1" sizeWithCells="1">
              <from>
                <xdr:col>7</xdr:col>
                <xdr:colOff>617220</xdr:colOff>
                <xdr:row>47</xdr:row>
                <xdr:rowOff>7620</xdr:rowOff>
              </from>
              <to>
                <xdr:col>11</xdr:col>
                <xdr:colOff>7620</xdr:colOff>
                <xdr:row>56</xdr:row>
                <xdr:rowOff>205740</xdr:rowOff>
              </to>
            </anchor>
          </objectPr>
        </oleObject>
      </mc:Choice>
      <mc:Fallback>
        <oleObject progId="AutoCAD.Drawing.17" shapeId="6146" r:id="rId5"/>
      </mc:Fallback>
    </mc:AlternateContent>
    <mc:AlternateContent xmlns:mc="http://schemas.openxmlformats.org/markup-compatibility/2006">
      <mc:Choice Requires="x14">
        <oleObject progId="AutoCAD.Drawing.17" shapeId="6147" r:id="rId7">
          <objectPr defaultSize="0" autoPict="0" r:id="rId4">
            <anchor moveWithCells="1" sizeWithCells="1">
              <from>
                <xdr:col>5</xdr:col>
                <xdr:colOff>129540</xdr:colOff>
                <xdr:row>75</xdr:row>
                <xdr:rowOff>144780</xdr:rowOff>
              </from>
              <to>
                <xdr:col>9</xdr:col>
                <xdr:colOff>571500</xdr:colOff>
                <xdr:row>86</xdr:row>
                <xdr:rowOff>53340</xdr:rowOff>
              </to>
            </anchor>
          </objectPr>
        </oleObject>
      </mc:Choice>
      <mc:Fallback>
        <oleObject progId="AutoCAD.Drawing.17" shapeId="6147" r:id="rId7"/>
      </mc:Fallback>
    </mc:AlternateContent>
    <mc:AlternateContent xmlns:mc="http://schemas.openxmlformats.org/markup-compatibility/2006">
      <mc:Choice Requires="x14">
        <oleObject progId="AutoCAD.Drawing.17" shapeId="6148" r:id="rId8">
          <objectPr defaultSize="0" autoPict="0" r:id="rId6">
            <anchor moveWithCells="1" sizeWithCells="1">
              <from>
                <xdr:col>20</xdr:col>
                <xdr:colOff>60960</xdr:colOff>
                <xdr:row>45</xdr:row>
                <xdr:rowOff>60960</xdr:rowOff>
              </from>
              <to>
                <xdr:col>23</xdr:col>
                <xdr:colOff>228600</xdr:colOff>
                <xdr:row>55</xdr:row>
                <xdr:rowOff>60960</xdr:rowOff>
              </to>
            </anchor>
          </objectPr>
        </oleObject>
      </mc:Choice>
      <mc:Fallback>
        <oleObject progId="AutoCAD.Drawing.17" shapeId="614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COLS_n06</vt:lpstr>
      <vt:lpstr>MC-L9</vt:lpstr>
      <vt:lpstr>MC-R9</vt:lpstr>
      <vt:lpstr>C-MEZ-1</vt:lpstr>
      <vt:lpstr>C-EGL-4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2023-04-18T18:11:14Z</dcterms:modified>
</cp:coreProperties>
</file>