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-Study\all about steel structure\Excel Sheets\my sheets\LRFD\"/>
    </mc:Choice>
  </mc:AlternateContent>
  <xr:revisionPtr revIDLastSave="0" documentId="13_ncr:1_{704F6FE5-7297-4955-83F7-12B209045F85}" xr6:coauthVersionLast="47" xr6:coauthVersionMax="47" xr10:uidLastSave="{00000000-0000-0000-0000-000000000000}"/>
  <bookViews>
    <workbookView xWindow="-120" yWindow="-120" windowWidth="20730" windowHeight="11310" xr2:uid="{FF2E01D9-E8EF-4000-B252-84D5DD79B405}"/>
  </bookViews>
  <sheets>
    <sheet name="HEB" sheetId="1" r:id="rId1"/>
    <sheet name="HEA" sheetId="4" r:id="rId2"/>
    <sheet name="IPE" sheetId="3" r:id="rId3"/>
    <sheet name="B.U.S" sheetId="2" r:id="rId4"/>
  </sheets>
  <definedNames>
    <definedName name="_xlnm.Print_Area" localSheetId="3">'B.U.S'!$A$4:$M$58</definedName>
    <definedName name="_xlnm.Print_Area" localSheetId="1">HEA!$A$4:$L$70</definedName>
    <definedName name="_xlnm.Print_Area" localSheetId="0">HEB!$A$4:$L$70</definedName>
    <definedName name="_xlnm.Print_Area" localSheetId="2">IPE!$A$3:$K$66</definedName>
    <definedName name="table" localSheetId="1">HEA!$Q$2:$AC$27</definedName>
    <definedName name="table" localSheetId="2">IPE!$Q$2:$AE$21</definedName>
    <definedName name="table">HEB!$Q$2:$AE$27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2" l="1"/>
  <c r="F12" i="3"/>
  <c r="F12" i="4"/>
  <c r="F12" i="1"/>
  <c r="M6" i="1"/>
  <c r="M5" i="4"/>
  <c r="B33" i="4"/>
  <c r="B32" i="4"/>
  <c r="B30" i="4"/>
  <c r="B31" i="4" s="1"/>
  <c r="B26" i="4"/>
  <c r="B25" i="4"/>
  <c r="B24" i="4"/>
  <c r="B23" i="4"/>
  <c r="B22" i="4"/>
  <c r="B21" i="4"/>
  <c r="B20" i="4"/>
  <c r="B29" i="4"/>
  <c r="B19" i="4"/>
  <c r="H57" i="4" l="1"/>
  <c r="H38" i="4"/>
  <c r="F53" i="4"/>
  <c r="H53" i="4" s="1"/>
  <c r="D63" i="4"/>
  <c r="F13" i="4"/>
  <c r="F11" i="4"/>
  <c r="G71" i="4" s="1"/>
  <c r="I71" i="4" s="1"/>
  <c r="B7" i="4"/>
  <c r="F6" i="4"/>
  <c r="F8" i="4" s="1"/>
  <c r="B6" i="4"/>
  <c r="B34" i="4" s="1"/>
  <c r="B33" i="3"/>
  <c r="B34" i="3"/>
  <c r="B31" i="3"/>
  <c r="B32" i="3" s="1"/>
  <c r="B30" i="3"/>
  <c r="F48" i="3" s="1"/>
  <c r="B26" i="3"/>
  <c r="B25" i="3"/>
  <c r="B24" i="3"/>
  <c r="B23" i="3"/>
  <c r="B22" i="3"/>
  <c r="B21" i="3"/>
  <c r="B20" i="3"/>
  <c r="B19" i="3"/>
  <c r="E25" i="4" l="1"/>
  <c r="F25" i="4"/>
  <c r="H25" i="4"/>
  <c r="G25" i="4"/>
  <c r="F39" i="4"/>
  <c r="H39" i="4" s="1"/>
  <c r="F42" i="4" s="1"/>
  <c r="H42" i="4" s="1"/>
  <c r="J11" i="4"/>
  <c r="H63" i="4" s="1"/>
  <c r="F64" i="4"/>
  <c r="K27" i="4"/>
  <c r="F20" i="4"/>
  <c r="G20" i="4" s="1"/>
  <c r="F24" i="4"/>
  <c r="B35" i="4"/>
  <c r="B36" i="4" s="1"/>
  <c r="B37" i="4" s="1"/>
  <c r="F26" i="4" s="1"/>
  <c r="J10" i="4"/>
  <c r="D57" i="4"/>
  <c r="F7" i="4"/>
  <c r="J9" i="4" s="1"/>
  <c r="F45" i="4"/>
  <c r="F19" i="4"/>
  <c r="G19" i="4" s="1"/>
  <c r="F20" i="3"/>
  <c r="F19" i="3"/>
  <c r="F58" i="4" l="1"/>
  <c r="H58" i="4" s="1"/>
  <c r="H26" i="4"/>
  <c r="E27" i="4"/>
  <c r="F27" i="4"/>
  <c r="E26" i="4"/>
  <c r="F34" i="4"/>
  <c r="G34" i="4" s="1"/>
  <c r="H27" i="4"/>
  <c r="G27" i="4"/>
  <c r="G26" i="4"/>
  <c r="K26" i="4" s="1"/>
  <c r="G29" i="4" s="1"/>
  <c r="H29" i="4" s="1"/>
  <c r="E40" i="4"/>
  <c r="L19" i="4"/>
  <c r="H64" i="4"/>
  <c r="F67" i="4" s="1"/>
  <c r="H67" i="4" s="1"/>
  <c r="H44" i="4"/>
  <c r="H45" i="4" s="1"/>
  <c r="G30" i="4"/>
  <c r="H30" i="4" s="1"/>
  <c r="H56" i="3"/>
  <c r="H33" i="3"/>
  <c r="H48" i="3"/>
  <c r="B36" i="3"/>
  <c r="B37" i="3" s="1"/>
  <c r="D63" i="3"/>
  <c r="F6" i="3"/>
  <c r="F8" i="3" s="1"/>
  <c r="F13" i="3"/>
  <c r="F11" i="3"/>
  <c r="G52" i="3" s="1"/>
  <c r="B7" i="3"/>
  <c r="B6" i="3"/>
  <c r="G38" i="2"/>
  <c r="E59" i="4" l="1"/>
  <c r="F61" i="4"/>
  <c r="H61" i="4" s="1"/>
  <c r="E65" i="4"/>
  <c r="E46" i="4"/>
  <c r="F48" i="4"/>
  <c r="H48" i="4" s="1"/>
  <c r="J10" i="3"/>
  <c r="F29" i="3" s="1"/>
  <c r="G29" i="3" s="1"/>
  <c r="F63" i="3"/>
  <c r="F40" i="3"/>
  <c r="F34" i="3"/>
  <c r="D57" i="3"/>
  <c r="F57" i="3" s="1"/>
  <c r="H57" i="3" s="1"/>
  <c r="G19" i="3"/>
  <c r="F24" i="3"/>
  <c r="H34" i="3"/>
  <c r="I52" i="3"/>
  <c r="G20" i="3"/>
  <c r="H39" i="3"/>
  <c r="B35" i="3"/>
  <c r="F7" i="3"/>
  <c r="J9" i="3" s="1"/>
  <c r="B38" i="3"/>
  <c r="H62" i="3" l="1"/>
  <c r="F37" i="3"/>
  <c r="H37" i="3" s="1"/>
  <c r="E35" i="3"/>
  <c r="E58" i="3"/>
  <c r="F60" i="3"/>
  <c r="H60" i="3" s="1"/>
  <c r="F25" i="3"/>
  <c r="G25" i="3" s="1"/>
  <c r="I19" i="3"/>
  <c r="H63" i="3"/>
  <c r="E64" i="3" s="1"/>
  <c r="H40" i="3"/>
  <c r="E41" i="3" s="1"/>
  <c r="G13" i="2"/>
  <c r="G11" i="2"/>
  <c r="F13" i="1"/>
  <c r="F11" i="1"/>
  <c r="F66" i="3" l="1"/>
  <c r="H66" i="3" s="1"/>
  <c r="F43" i="3"/>
  <c r="H43" i="3" s="1"/>
  <c r="E54" i="2"/>
  <c r="E51" i="2"/>
  <c r="C38" i="2"/>
  <c r="C39" i="2" s="1"/>
  <c r="G20" i="2"/>
  <c r="I37" i="2" l="1"/>
  <c r="I50" i="2"/>
  <c r="C33" i="2"/>
  <c r="C34" i="2" s="1"/>
  <c r="C31" i="2"/>
  <c r="C32" i="2" s="1"/>
  <c r="C35" i="2"/>
  <c r="C26" i="2"/>
  <c r="C25" i="2" s="1"/>
  <c r="C36" i="2" l="1"/>
  <c r="C27" i="2"/>
  <c r="C28" i="2" s="1"/>
  <c r="H57" i="1"/>
  <c r="H38" i="1"/>
  <c r="C29" i="2" l="1"/>
  <c r="H26" i="2" s="1"/>
  <c r="C30" i="2"/>
  <c r="G58" i="2" s="1"/>
  <c r="I58" i="2" s="1"/>
  <c r="G46" i="2"/>
  <c r="I46" i="2" s="1"/>
  <c r="G6" i="2"/>
  <c r="G7" i="2" s="1"/>
  <c r="K9" i="2" s="1"/>
  <c r="G19" i="2"/>
  <c r="K10" i="2"/>
  <c r="G8" i="2" l="1"/>
  <c r="K11" i="2" s="1"/>
  <c r="J10" i="1"/>
  <c r="I40" i="2" l="1"/>
  <c r="I53" i="2"/>
  <c r="B31" i="1"/>
  <c r="B32" i="1"/>
  <c r="B29" i="1"/>
  <c r="B28" i="1"/>
  <c r="F53" i="1" s="1"/>
  <c r="H53" i="1" s="1"/>
  <c r="B25" i="1"/>
  <c r="B24" i="1"/>
  <c r="B23" i="1"/>
  <c r="B22" i="1"/>
  <c r="B21" i="1"/>
  <c r="B20" i="1"/>
  <c r="B19" i="1"/>
  <c r="F6" i="1" s="1"/>
  <c r="F7" i="1" l="1"/>
  <c r="J9" i="1" s="1"/>
  <c r="F8" i="1"/>
  <c r="D62" i="1"/>
  <c r="D56" i="1"/>
  <c r="B30" i="1"/>
  <c r="G71" i="1"/>
  <c r="I71" i="1" s="1"/>
  <c r="F20" i="1"/>
  <c r="F19" i="1"/>
  <c r="B34" i="1"/>
  <c r="C7" i="2"/>
  <c r="C6" i="2"/>
  <c r="B7" i="1"/>
  <c r="B6" i="1"/>
  <c r="F45" i="1" s="1"/>
  <c r="F39" i="1" l="1"/>
  <c r="H39" i="1" s="1"/>
  <c r="E40" i="1" s="1"/>
  <c r="B35" i="1"/>
  <c r="G41" i="2"/>
  <c r="I41" i="2" s="1"/>
  <c r="I38" i="2"/>
  <c r="H20" i="2"/>
  <c r="L26" i="2" s="1"/>
  <c r="G51" i="2"/>
  <c r="I51" i="2" s="1"/>
  <c r="G54" i="2"/>
  <c r="I54" i="2" s="1"/>
  <c r="C37" i="2"/>
  <c r="F58" i="1"/>
  <c r="H58" i="1" s="1"/>
  <c r="F64" i="1"/>
  <c r="J11" i="1"/>
  <c r="F34" i="1" s="1"/>
  <c r="G34" i="1" s="1"/>
  <c r="F24" i="1"/>
  <c r="G30" i="1" s="1"/>
  <c r="H30" i="1" s="1"/>
  <c r="C40" i="2"/>
  <c r="L24" i="2"/>
  <c r="G33" i="2"/>
  <c r="H33" i="2" s="1"/>
  <c r="H19" i="2"/>
  <c r="G20" i="1"/>
  <c r="G19" i="1"/>
  <c r="K27" i="1"/>
  <c r="B33" i="1"/>
  <c r="B36" i="1"/>
  <c r="G26" i="1" l="1"/>
  <c r="K26" i="1" s="1"/>
  <c r="G29" i="1" s="1"/>
  <c r="H29" i="1" s="1"/>
  <c r="F25" i="1"/>
  <c r="F26" i="1"/>
  <c r="H26" i="1"/>
  <c r="G25" i="1"/>
  <c r="H25" i="1"/>
  <c r="E27" i="1"/>
  <c r="H27" i="1"/>
  <c r="F27" i="1"/>
  <c r="G27" i="1"/>
  <c r="E26" i="1"/>
  <c r="E25" i="1"/>
  <c r="F42" i="1"/>
  <c r="H42" i="1" s="1"/>
  <c r="F61" i="1"/>
  <c r="H61" i="1" s="1"/>
  <c r="E59" i="1"/>
  <c r="H63" i="1"/>
  <c r="H64" i="1" s="1"/>
  <c r="F67" i="1" s="1"/>
  <c r="H67" i="1" s="1"/>
  <c r="H44" i="1"/>
  <c r="H45" i="1" s="1"/>
  <c r="E46" i="1" s="1"/>
  <c r="H25" i="2"/>
  <c r="L25" i="2" s="1"/>
  <c r="H28" i="2" s="1"/>
  <c r="I28" i="2" s="1"/>
  <c r="J19" i="2"/>
  <c r="H24" i="2"/>
  <c r="H29" i="2"/>
  <c r="I29" i="2" s="1"/>
  <c r="I19" i="1"/>
  <c r="F48" i="1" l="1"/>
  <c r="H48" i="1" s="1"/>
  <c r="E65" i="1"/>
</calcChain>
</file>

<file path=xl/sharedStrings.xml><?xml version="1.0" encoding="utf-8"?>
<sst xmlns="http://schemas.openxmlformats.org/spreadsheetml/2006/main" count="671" uniqueCount="209">
  <si>
    <t>Steel Type</t>
  </si>
  <si>
    <r>
      <t>F</t>
    </r>
    <r>
      <rPr>
        <vertAlign val="subscript"/>
        <sz val="14"/>
        <color theme="1"/>
        <rFont val="Arial"/>
        <family val="2"/>
        <scheme val="minor"/>
      </rPr>
      <t>y</t>
    </r>
  </si>
  <si>
    <r>
      <t>F</t>
    </r>
    <r>
      <rPr>
        <vertAlign val="subscript"/>
        <sz val="14"/>
        <color theme="1"/>
        <rFont val="Arial"/>
        <family val="2"/>
        <scheme val="minor"/>
      </rPr>
      <t>u</t>
    </r>
  </si>
  <si>
    <r>
      <t>t/cm</t>
    </r>
    <r>
      <rPr>
        <vertAlign val="superscript"/>
        <sz val="14"/>
        <color theme="1"/>
        <rFont val="Arial"/>
        <family val="2"/>
        <scheme val="minor"/>
      </rPr>
      <t>2</t>
    </r>
  </si>
  <si>
    <t>Section</t>
  </si>
  <si>
    <t>HEB</t>
  </si>
  <si>
    <t>Sec.</t>
  </si>
  <si>
    <t>Area</t>
  </si>
  <si>
    <t>Weight</t>
  </si>
  <si>
    <t>Dimensions (mm)</t>
  </si>
  <si>
    <t>x-x</t>
  </si>
  <si>
    <t>y-y</t>
  </si>
  <si>
    <t>No.</t>
  </si>
  <si>
    <r>
      <t>(cm</t>
    </r>
    <r>
      <rPr>
        <b/>
        <vertAlign val="superscript"/>
        <sz val="14"/>
        <rFont val="Arial"/>
        <family val="2"/>
        <scheme val="minor"/>
      </rPr>
      <t>2</t>
    </r>
    <r>
      <rPr>
        <b/>
        <sz val="14"/>
        <rFont val="Arial"/>
        <family val="2"/>
        <scheme val="minor"/>
      </rPr>
      <t>)</t>
    </r>
  </si>
  <si>
    <t>(kg/m`)</t>
  </si>
  <si>
    <t>h</t>
  </si>
  <si>
    <t>b</t>
  </si>
  <si>
    <t>s</t>
  </si>
  <si>
    <t>t</t>
  </si>
  <si>
    <t>c</t>
  </si>
  <si>
    <t>h-2c</t>
  </si>
  <si>
    <r>
      <t>I</t>
    </r>
    <r>
      <rPr>
        <b/>
        <vertAlign val="subscript"/>
        <sz val="14"/>
        <rFont val="Arial"/>
        <family val="2"/>
        <scheme val="minor"/>
      </rPr>
      <t>x</t>
    </r>
    <r>
      <rPr>
        <b/>
        <sz val="14"/>
        <rFont val="Arial"/>
        <family val="2"/>
        <scheme val="minor"/>
      </rPr>
      <t xml:space="preserve"> (cm</t>
    </r>
    <r>
      <rPr>
        <b/>
        <vertAlign val="superscript"/>
        <sz val="14"/>
        <rFont val="Arial"/>
        <family val="2"/>
        <scheme val="minor"/>
      </rPr>
      <t>4</t>
    </r>
    <r>
      <rPr>
        <b/>
        <sz val="14"/>
        <rFont val="Arial"/>
        <family val="2"/>
        <scheme val="minor"/>
      </rPr>
      <t>)</t>
    </r>
  </si>
  <si>
    <r>
      <t>S</t>
    </r>
    <r>
      <rPr>
        <b/>
        <vertAlign val="subscript"/>
        <sz val="14"/>
        <rFont val="Arial"/>
        <family val="2"/>
        <scheme val="minor"/>
      </rPr>
      <t>x</t>
    </r>
    <r>
      <rPr>
        <b/>
        <sz val="14"/>
        <rFont val="Arial"/>
        <family val="2"/>
        <scheme val="minor"/>
      </rPr>
      <t xml:space="preserve"> (cm</t>
    </r>
    <r>
      <rPr>
        <b/>
        <vertAlign val="superscript"/>
        <sz val="14"/>
        <rFont val="Arial"/>
        <family val="2"/>
        <scheme val="minor"/>
      </rPr>
      <t>3</t>
    </r>
    <r>
      <rPr>
        <b/>
        <sz val="14"/>
        <rFont val="Arial"/>
        <family val="2"/>
        <scheme val="minor"/>
      </rPr>
      <t>)</t>
    </r>
  </si>
  <si>
    <r>
      <t>r</t>
    </r>
    <r>
      <rPr>
        <b/>
        <vertAlign val="subscript"/>
        <sz val="14"/>
        <rFont val="Arial"/>
        <family val="2"/>
        <scheme val="minor"/>
      </rPr>
      <t>x</t>
    </r>
    <r>
      <rPr>
        <b/>
        <sz val="14"/>
        <rFont val="Arial"/>
        <family val="2"/>
        <scheme val="minor"/>
      </rPr>
      <t xml:space="preserve"> (cm)</t>
    </r>
  </si>
  <si>
    <r>
      <t>I</t>
    </r>
    <r>
      <rPr>
        <b/>
        <vertAlign val="subscript"/>
        <sz val="14"/>
        <rFont val="Arial"/>
        <family val="2"/>
        <scheme val="minor"/>
      </rPr>
      <t>y</t>
    </r>
    <r>
      <rPr>
        <b/>
        <sz val="14"/>
        <rFont val="Arial"/>
        <family val="2"/>
        <scheme val="minor"/>
      </rPr>
      <t xml:space="preserve"> (cm</t>
    </r>
    <r>
      <rPr>
        <b/>
        <vertAlign val="superscript"/>
        <sz val="14"/>
        <rFont val="Arial"/>
        <family val="2"/>
        <scheme val="minor"/>
      </rPr>
      <t>4</t>
    </r>
    <r>
      <rPr>
        <b/>
        <sz val="14"/>
        <rFont val="Arial"/>
        <family val="2"/>
        <scheme val="minor"/>
      </rPr>
      <t>)</t>
    </r>
  </si>
  <si>
    <r>
      <t>S</t>
    </r>
    <r>
      <rPr>
        <b/>
        <vertAlign val="subscript"/>
        <sz val="14"/>
        <rFont val="Arial"/>
        <family val="2"/>
        <scheme val="minor"/>
      </rPr>
      <t>y</t>
    </r>
    <r>
      <rPr>
        <b/>
        <sz val="14"/>
        <rFont val="Arial"/>
        <family val="2"/>
        <scheme val="minor"/>
      </rPr>
      <t xml:space="preserve"> (cm</t>
    </r>
    <r>
      <rPr>
        <b/>
        <vertAlign val="superscript"/>
        <sz val="14"/>
        <rFont val="Arial"/>
        <family val="2"/>
        <scheme val="minor"/>
      </rPr>
      <t>3</t>
    </r>
    <r>
      <rPr>
        <b/>
        <sz val="14"/>
        <rFont val="Arial"/>
        <family val="2"/>
        <scheme val="minor"/>
      </rPr>
      <t>)</t>
    </r>
  </si>
  <si>
    <r>
      <t>r</t>
    </r>
    <r>
      <rPr>
        <b/>
        <vertAlign val="subscript"/>
        <sz val="14"/>
        <rFont val="Arial"/>
        <family val="2"/>
        <scheme val="minor"/>
      </rPr>
      <t>y</t>
    </r>
    <r>
      <rPr>
        <b/>
        <sz val="14"/>
        <rFont val="Arial"/>
        <family val="2"/>
        <scheme val="minor"/>
      </rPr>
      <t xml:space="preserve"> (cm)</t>
    </r>
  </si>
  <si>
    <t>Kg/m'</t>
  </si>
  <si>
    <t>t=r</t>
  </si>
  <si>
    <t>mm</t>
  </si>
  <si>
    <r>
      <t>span = L</t>
    </r>
    <r>
      <rPr>
        <vertAlign val="subscript"/>
        <sz val="14"/>
        <color theme="1"/>
        <rFont val="Arial"/>
        <family val="2"/>
        <scheme val="minor"/>
      </rPr>
      <t>b</t>
    </r>
  </si>
  <si>
    <t>cm</t>
  </si>
  <si>
    <r>
      <t>I</t>
    </r>
    <r>
      <rPr>
        <vertAlign val="subscript"/>
        <sz val="14"/>
        <color theme="1"/>
        <rFont val="Arial"/>
        <family val="2"/>
        <scheme val="minor"/>
      </rPr>
      <t>x</t>
    </r>
  </si>
  <si>
    <r>
      <t>S</t>
    </r>
    <r>
      <rPr>
        <vertAlign val="subscript"/>
        <sz val="14"/>
        <color theme="1"/>
        <rFont val="Arial"/>
        <family val="2"/>
        <scheme val="minor"/>
      </rPr>
      <t>x</t>
    </r>
  </si>
  <si>
    <r>
      <t>Z</t>
    </r>
    <r>
      <rPr>
        <vertAlign val="subscript"/>
        <sz val="14"/>
        <color theme="1"/>
        <rFont val="Arial"/>
        <family val="2"/>
        <scheme val="minor"/>
      </rPr>
      <t>x</t>
    </r>
  </si>
  <si>
    <r>
      <t>r</t>
    </r>
    <r>
      <rPr>
        <vertAlign val="subscript"/>
        <sz val="14"/>
        <color theme="1"/>
        <rFont val="Arial"/>
        <family val="2"/>
        <scheme val="minor"/>
      </rPr>
      <t>y</t>
    </r>
  </si>
  <si>
    <r>
      <t>S</t>
    </r>
    <r>
      <rPr>
        <vertAlign val="subscript"/>
        <sz val="14"/>
        <color theme="1"/>
        <rFont val="Arial"/>
        <family val="2"/>
        <scheme val="minor"/>
      </rPr>
      <t>y</t>
    </r>
  </si>
  <si>
    <r>
      <t>cm</t>
    </r>
    <r>
      <rPr>
        <vertAlign val="superscript"/>
        <sz val="14"/>
        <color theme="1"/>
        <rFont val="Arial"/>
        <family val="2"/>
        <scheme val="minor"/>
      </rPr>
      <t>4</t>
    </r>
  </si>
  <si>
    <r>
      <t>cm</t>
    </r>
    <r>
      <rPr>
        <vertAlign val="superscript"/>
        <sz val="14"/>
        <color theme="1"/>
        <rFont val="Arial"/>
        <family val="2"/>
        <scheme val="minor"/>
      </rPr>
      <t>3</t>
    </r>
  </si>
  <si>
    <r>
      <t>L</t>
    </r>
    <r>
      <rPr>
        <vertAlign val="subscript"/>
        <sz val="14"/>
        <color theme="1"/>
        <rFont val="Arial"/>
        <family val="2"/>
        <scheme val="minor"/>
      </rPr>
      <t>p</t>
    </r>
  </si>
  <si>
    <r>
      <t>r</t>
    </r>
    <r>
      <rPr>
        <vertAlign val="subscript"/>
        <sz val="14"/>
        <color theme="1"/>
        <rFont val="Arial"/>
        <family val="2"/>
        <scheme val="minor"/>
      </rPr>
      <t>t</t>
    </r>
  </si>
  <si>
    <t>X</t>
  </si>
  <si>
    <r>
      <t>L</t>
    </r>
    <r>
      <rPr>
        <vertAlign val="subscript"/>
        <sz val="14"/>
        <color theme="1"/>
        <rFont val="Arial"/>
        <family val="2"/>
        <scheme val="minor"/>
      </rPr>
      <t>r</t>
    </r>
  </si>
  <si>
    <t>unitless</t>
  </si>
  <si>
    <t>Compact</t>
  </si>
  <si>
    <t>Non-Compact</t>
  </si>
  <si>
    <t>Slender</t>
  </si>
  <si>
    <t>Checks :</t>
  </si>
  <si>
    <t>i- Compactness</t>
  </si>
  <si>
    <t>h/t =</t>
  </si>
  <si>
    <t>c/t =</t>
  </si>
  <si>
    <t>&gt;&gt;&gt;&gt;</t>
  </si>
  <si>
    <t>The Section is :</t>
  </si>
  <si>
    <t>ii- Bending</t>
  </si>
  <si>
    <t>i- Dead Load</t>
  </si>
  <si>
    <t>t/cm'</t>
  </si>
  <si>
    <t>cm.t</t>
  </si>
  <si>
    <t>ton</t>
  </si>
  <si>
    <t>ii- Live Load</t>
  </si>
  <si>
    <t>Impact Factor</t>
  </si>
  <si>
    <r>
      <t>L</t>
    </r>
    <r>
      <rPr>
        <vertAlign val="subscript"/>
        <sz val="14"/>
        <color theme="1"/>
        <rFont val="Arial"/>
        <family val="2"/>
        <scheme val="minor"/>
      </rPr>
      <t xml:space="preserve">b </t>
    </r>
    <r>
      <rPr>
        <sz val="14"/>
        <color theme="1"/>
        <rFont val="Arial"/>
        <family val="2"/>
        <charset val="178"/>
        <scheme val="minor"/>
      </rPr>
      <t>&lt;= L</t>
    </r>
    <r>
      <rPr>
        <vertAlign val="subscript"/>
        <sz val="14"/>
        <color theme="1"/>
        <rFont val="Arial"/>
        <family val="2"/>
        <scheme val="minor"/>
      </rPr>
      <t>p</t>
    </r>
  </si>
  <si>
    <r>
      <t>L</t>
    </r>
    <r>
      <rPr>
        <vertAlign val="subscript"/>
        <sz val="14"/>
        <color theme="1"/>
        <rFont val="Arial"/>
        <family val="2"/>
        <scheme val="minor"/>
      </rPr>
      <t>p</t>
    </r>
    <r>
      <rPr>
        <sz val="14"/>
        <color theme="1"/>
        <rFont val="Arial"/>
        <family val="2"/>
        <charset val="178"/>
        <scheme val="minor"/>
      </rPr>
      <t xml:space="preserve"> &lt; L</t>
    </r>
    <r>
      <rPr>
        <vertAlign val="subscript"/>
        <sz val="14"/>
        <color theme="1"/>
        <rFont val="Arial"/>
        <family val="2"/>
        <scheme val="minor"/>
      </rPr>
      <t>b</t>
    </r>
    <r>
      <rPr>
        <sz val="14"/>
        <color theme="1"/>
        <rFont val="Arial"/>
        <family val="2"/>
        <charset val="178"/>
        <scheme val="minor"/>
      </rPr>
      <t xml:space="preserve"> &lt;= L</t>
    </r>
    <r>
      <rPr>
        <vertAlign val="subscript"/>
        <sz val="14"/>
        <color theme="1"/>
        <rFont val="Arial"/>
        <family val="2"/>
        <scheme val="minor"/>
      </rPr>
      <t>r</t>
    </r>
  </si>
  <si>
    <r>
      <t>L</t>
    </r>
    <r>
      <rPr>
        <vertAlign val="subscript"/>
        <sz val="14"/>
        <color theme="1"/>
        <rFont val="Arial"/>
        <family val="2"/>
        <scheme val="minor"/>
      </rPr>
      <t>b</t>
    </r>
    <r>
      <rPr>
        <sz val="14"/>
        <color theme="1"/>
        <rFont val="Arial"/>
        <family val="2"/>
        <charset val="178"/>
        <scheme val="minor"/>
      </rPr>
      <t xml:space="preserve"> &gt; L</t>
    </r>
    <r>
      <rPr>
        <vertAlign val="subscript"/>
        <sz val="14"/>
        <color theme="1"/>
        <rFont val="Arial"/>
        <family val="2"/>
        <scheme val="minor"/>
      </rPr>
      <t>r</t>
    </r>
  </si>
  <si>
    <r>
      <t>M</t>
    </r>
    <r>
      <rPr>
        <vertAlign val="subscript"/>
        <sz val="14"/>
        <color theme="1"/>
        <rFont val="Arial"/>
        <family val="2"/>
        <scheme val="minor"/>
      </rPr>
      <t>nx</t>
    </r>
    <r>
      <rPr>
        <sz val="14"/>
        <color theme="1"/>
        <rFont val="Arial"/>
        <family val="2"/>
        <charset val="178"/>
        <scheme val="minor"/>
      </rPr>
      <t xml:space="preserve"> =</t>
    </r>
  </si>
  <si>
    <r>
      <t>M</t>
    </r>
    <r>
      <rPr>
        <vertAlign val="subscript"/>
        <sz val="14"/>
        <color theme="1"/>
        <rFont val="Arial"/>
        <family val="2"/>
        <scheme val="minor"/>
      </rPr>
      <t xml:space="preserve">nx </t>
    </r>
    <r>
      <rPr>
        <sz val="14"/>
        <color theme="1"/>
        <rFont val="Arial"/>
        <family val="2"/>
        <charset val="178"/>
        <scheme val="minor"/>
      </rPr>
      <t xml:space="preserve"> =</t>
    </r>
  </si>
  <si>
    <r>
      <t>M</t>
    </r>
    <r>
      <rPr>
        <vertAlign val="subscript"/>
        <sz val="14"/>
        <color theme="1"/>
        <rFont val="Arial"/>
        <family val="2"/>
        <scheme val="minor"/>
      </rPr>
      <t xml:space="preserve">ny </t>
    </r>
    <r>
      <rPr>
        <sz val="14"/>
        <color theme="1"/>
        <rFont val="Arial"/>
        <family val="2"/>
        <charset val="178"/>
        <scheme val="minor"/>
      </rPr>
      <t xml:space="preserve"> =</t>
    </r>
  </si>
  <si>
    <r>
      <t>M</t>
    </r>
    <r>
      <rPr>
        <vertAlign val="subscript"/>
        <sz val="14"/>
        <color theme="1"/>
        <rFont val="Arial"/>
        <family val="2"/>
        <scheme val="minor"/>
      </rPr>
      <t>p</t>
    </r>
    <r>
      <rPr>
        <sz val="14"/>
        <color theme="1"/>
        <rFont val="Arial"/>
        <family val="2"/>
        <charset val="178"/>
        <scheme val="minor"/>
      </rPr>
      <t xml:space="preserve"> =</t>
    </r>
  </si>
  <si>
    <t>iii- Shear</t>
  </si>
  <si>
    <t>iv- Web Yielding</t>
  </si>
  <si>
    <t>1- under wheel load</t>
  </si>
  <si>
    <r>
      <t>R</t>
    </r>
    <r>
      <rPr>
        <vertAlign val="subscript"/>
        <sz val="14"/>
        <color theme="1"/>
        <rFont val="Arial"/>
        <family val="2"/>
        <scheme val="minor"/>
      </rPr>
      <t>r</t>
    </r>
    <r>
      <rPr>
        <sz val="14"/>
        <color theme="1"/>
        <rFont val="Arial"/>
        <family val="2"/>
        <charset val="178"/>
        <scheme val="minor"/>
      </rPr>
      <t xml:space="preserve"> =</t>
    </r>
  </si>
  <si>
    <t>2- at support</t>
  </si>
  <si>
    <t>1- @Comp. Flange</t>
  </si>
  <si>
    <t>2- @Tens. Flange</t>
  </si>
  <si>
    <t>Fatigue Stress =</t>
  </si>
  <si>
    <r>
      <rPr>
        <b/>
        <sz val="14"/>
        <color theme="1"/>
        <rFont val="Calibri"/>
        <family val="2"/>
      </rPr>
      <t>δ</t>
    </r>
    <r>
      <rPr>
        <sz val="14"/>
        <color theme="1"/>
        <rFont val="Arial"/>
        <family val="2"/>
        <charset val="178"/>
      </rPr>
      <t xml:space="preserve"> =</t>
    </r>
  </si>
  <si>
    <r>
      <t>b</t>
    </r>
    <r>
      <rPr>
        <vertAlign val="subscript"/>
        <sz val="14"/>
        <color theme="1"/>
        <rFont val="Arial"/>
        <family val="2"/>
        <scheme val="minor"/>
      </rPr>
      <t>L.F</t>
    </r>
  </si>
  <si>
    <r>
      <t>b</t>
    </r>
    <r>
      <rPr>
        <vertAlign val="subscript"/>
        <sz val="14"/>
        <color theme="1"/>
        <rFont val="Arial"/>
        <family val="2"/>
        <scheme val="minor"/>
      </rPr>
      <t>U.F</t>
    </r>
  </si>
  <si>
    <r>
      <t>t</t>
    </r>
    <r>
      <rPr>
        <vertAlign val="subscript"/>
        <sz val="14"/>
        <color theme="1"/>
        <rFont val="Arial"/>
        <family val="2"/>
        <scheme val="minor"/>
      </rPr>
      <t>w</t>
    </r>
  </si>
  <si>
    <r>
      <t>t</t>
    </r>
    <r>
      <rPr>
        <vertAlign val="subscript"/>
        <sz val="14"/>
        <color theme="1"/>
        <rFont val="Arial"/>
        <family val="2"/>
        <scheme val="minor"/>
      </rPr>
      <t xml:space="preserve">U.F </t>
    </r>
    <r>
      <rPr>
        <sz val="14"/>
        <color theme="1"/>
        <rFont val="Arial"/>
        <family val="2"/>
        <charset val="178"/>
        <scheme val="minor"/>
      </rPr>
      <t>= t</t>
    </r>
    <r>
      <rPr>
        <vertAlign val="subscript"/>
        <sz val="14"/>
        <color theme="1"/>
        <rFont val="Arial"/>
        <family val="2"/>
        <scheme val="minor"/>
      </rPr>
      <t>L.F</t>
    </r>
  </si>
  <si>
    <t>Ῡ</t>
  </si>
  <si>
    <r>
      <t>cm</t>
    </r>
    <r>
      <rPr>
        <vertAlign val="superscript"/>
        <sz val="14"/>
        <color theme="1"/>
        <rFont val="Arial"/>
        <family val="2"/>
        <scheme val="minor"/>
      </rPr>
      <t>2</t>
    </r>
  </si>
  <si>
    <r>
      <t>S</t>
    </r>
    <r>
      <rPr>
        <vertAlign val="subscript"/>
        <sz val="14"/>
        <color theme="1"/>
        <rFont val="Arial"/>
        <family val="2"/>
        <scheme val="minor"/>
      </rPr>
      <t>x</t>
    </r>
    <r>
      <rPr>
        <sz val="14"/>
        <color theme="1"/>
        <rFont val="Arial"/>
        <family val="2"/>
        <charset val="178"/>
        <scheme val="minor"/>
      </rPr>
      <t xml:space="preserve"> </t>
    </r>
    <r>
      <rPr>
        <vertAlign val="subscript"/>
        <sz val="14"/>
        <color theme="1"/>
        <rFont val="Arial"/>
        <family val="2"/>
        <scheme val="minor"/>
      </rPr>
      <t>upper</t>
    </r>
  </si>
  <si>
    <r>
      <t>S</t>
    </r>
    <r>
      <rPr>
        <vertAlign val="subscript"/>
        <sz val="14"/>
        <color theme="1"/>
        <rFont val="Arial"/>
        <family val="2"/>
        <scheme val="minor"/>
      </rPr>
      <t>x</t>
    </r>
    <r>
      <rPr>
        <sz val="14"/>
        <color theme="1"/>
        <rFont val="Arial"/>
        <family val="2"/>
        <charset val="178"/>
        <scheme val="minor"/>
      </rPr>
      <t xml:space="preserve"> </t>
    </r>
    <r>
      <rPr>
        <vertAlign val="subscript"/>
        <sz val="14"/>
        <color theme="1"/>
        <rFont val="Arial"/>
        <family val="2"/>
        <scheme val="minor"/>
      </rPr>
      <t>Lower</t>
    </r>
  </si>
  <si>
    <r>
      <t xml:space="preserve">Y </t>
    </r>
    <r>
      <rPr>
        <vertAlign val="subscript"/>
        <sz val="14"/>
        <color theme="1"/>
        <rFont val="Arial"/>
        <family val="2"/>
        <scheme val="minor"/>
      </rPr>
      <t>plastic c.g</t>
    </r>
  </si>
  <si>
    <r>
      <t>S</t>
    </r>
    <r>
      <rPr>
        <vertAlign val="subscript"/>
        <sz val="14"/>
        <color theme="1"/>
        <rFont val="Arial"/>
        <family val="2"/>
        <scheme val="minor"/>
      </rPr>
      <t>y U.F</t>
    </r>
  </si>
  <si>
    <r>
      <t>Z</t>
    </r>
    <r>
      <rPr>
        <vertAlign val="subscript"/>
        <sz val="14"/>
        <color theme="1"/>
        <rFont val="Arial"/>
        <family val="2"/>
        <scheme val="minor"/>
      </rPr>
      <t>y U.F</t>
    </r>
  </si>
  <si>
    <r>
      <t>I</t>
    </r>
    <r>
      <rPr>
        <vertAlign val="subscript"/>
        <sz val="14"/>
        <color theme="1"/>
        <rFont val="Arial"/>
        <family val="2"/>
        <scheme val="minor"/>
      </rPr>
      <t>y</t>
    </r>
  </si>
  <si>
    <t>t/m'</t>
  </si>
  <si>
    <t>wheel load</t>
  </si>
  <si>
    <r>
      <t>h</t>
    </r>
    <r>
      <rPr>
        <vertAlign val="subscript"/>
        <sz val="14"/>
        <color theme="1"/>
        <rFont val="Arial"/>
        <family val="2"/>
        <scheme val="minor"/>
      </rPr>
      <t>rail</t>
    </r>
  </si>
  <si>
    <r>
      <t>Bracket b</t>
    </r>
    <r>
      <rPr>
        <vertAlign val="subscript"/>
        <sz val="14"/>
        <color theme="1"/>
        <rFont val="Arial"/>
        <family val="2"/>
        <scheme val="minor"/>
      </rPr>
      <t>f</t>
    </r>
  </si>
  <si>
    <r>
      <t>R</t>
    </r>
    <r>
      <rPr>
        <vertAlign val="subscript"/>
        <sz val="14"/>
        <color theme="1"/>
        <rFont val="Arial"/>
        <family val="2"/>
        <scheme val="minor"/>
      </rPr>
      <t>u</t>
    </r>
    <r>
      <rPr>
        <sz val="14"/>
        <color theme="1"/>
        <rFont val="Arial"/>
        <family val="2"/>
        <charset val="178"/>
        <scheme val="minor"/>
      </rPr>
      <t xml:space="preserve"> =</t>
    </r>
  </si>
  <si>
    <t>N/d =</t>
  </si>
  <si>
    <r>
      <t>h</t>
    </r>
    <r>
      <rPr>
        <vertAlign val="subscript"/>
        <sz val="14"/>
        <color theme="1"/>
        <rFont val="Arial"/>
        <family val="2"/>
        <scheme val="minor"/>
      </rPr>
      <t>w</t>
    </r>
  </si>
  <si>
    <t>v- Deflection</t>
  </si>
  <si>
    <t>vi- Web Crippling</t>
  </si>
  <si>
    <t>vii- Fatigue</t>
  </si>
  <si>
    <r>
      <t>M</t>
    </r>
    <r>
      <rPr>
        <vertAlign val="subscript"/>
        <sz val="14"/>
        <color theme="1"/>
        <rFont val="Arial"/>
        <family val="2"/>
        <scheme val="minor"/>
      </rPr>
      <t>elastic</t>
    </r>
  </si>
  <si>
    <r>
      <t>t.m</t>
    </r>
    <r>
      <rPr>
        <vertAlign val="superscript"/>
        <sz val="14"/>
        <color theme="1"/>
        <rFont val="Arial"/>
        <family val="2"/>
        <scheme val="minor"/>
      </rPr>
      <t>3</t>
    </r>
  </si>
  <si>
    <r>
      <t>t</t>
    </r>
    <r>
      <rPr>
        <vertAlign val="subscript"/>
        <sz val="14"/>
        <color theme="1"/>
        <rFont val="Arial"/>
        <family val="2"/>
        <scheme val="minor"/>
      </rPr>
      <t>plate</t>
    </r>
  </si>
  <si>
    <r>
      <t>R</t>
    </r>
    <r>
      <rPr>
        <vertAlign val="subscript"/>
        <sz val="14"/>
        <color theme="1"/>
        <rFont val="Arial"/>
        <family val="2"/>
        <scheme val="minor"/>
      </rPr>
      <t xml:space="preserve">r </t>
    </r>
  </si>
  <si>
    <t>Safe</t>
  </si>
  <si>
    <t>Unsafe</t>
  </si>
  <si>
    <t>spacin' bet. wheels</t>
  </si>
  <si>
    <t xml:space="preserve">Straining Actions </t>
  </si>
  <si>
    <t>spacing bet. Wheels</t>
  </si>
  <si>
    <r>
      <t>Q</t>
    </r>
    <r>
      <rPr>
        <vertAlign val="subscript"/>
        <sz val="14"/>
        <color theme="1"/>
        <rFont val="Arial"/>
        <family val="2"/>
        <scheme val="minor"/>
      </rPr>
      <t>y</t>
    </r>
    <r>
      <rPr>
        <sz val="14"/>
        <color theme="1"/>
        <rFont val="Arial"/>
        <family val="2"/>
        <charset val="178"/>
        <scheme val="minor"/>
      </rPr>
      <t xml:space="preserve"> / V</t>
    </r>
    <r>
      <rPr>
        <vertAlign val="subscript"/>
        <sz val="14"/>
        <color theme="1"/>
        <rFont val="Arial"/>
        <family val="2"/>
        <scheme val="minor"/>
      </rPr>
      <t>r</t>
    </r>
  </si>
  <si>
    <r>
      <t>W</t>
    </r>
    <r>
      <rPr>
        <vertAlign val="subscript"/>
        <sz val="14"/>
        <color theme="1"/>
        <rFont val="Arial"/>
        <family val="2"/>
        <scheme val="minor"/>
      </rPr>
      <t>d</t>
    </r>
    <r>
      <rPr>
        <sz val="14"/>
        <color theme="1"/>
        <rFont val="Arial"/>
        <family val="2"/>
        <charset val="178"/>
        <scheme val="minor"/>
      </rPr>
      <t xml:space="preserve"> =</t>
    </r>
  </si>
  <si>
    <r>
      <t>M</t>
    </r>
    <r>
      <rPr>
        <vertAlign val="subscript"/>
        <sz val="14"/>
        <color theme="1"/>
        <rFont val="Arial"/>
        <family val="2"/>
        <scheme val="minor"/>
      </rPr>
      <t>d</t>
    </r>
    <r>
      <rPr>
        <sz val="14"/>
        <color theme="1"/>
        <rFont val="Arial"/>
        <family val="2"/>
        <charset val="178"/>
        <scheme val="minor"/>
      </rPr>
      <t xml:space="preserve"> =</t>
    </r>
  </si>
  <si>
    <r>
      <t>Q</t>
    </r>
    <r>
      <rPr>
        <vertAlign val="subscript"/>
        <sz val="14"/>
        <color theme="1"/>
        <rFont val="Arial"/>
        <family val="2"/>
        <scheme val="minor"/>
      </rPr>
      <t>d</t>
    </r>
    <r>
      <rPr>
        <sz val="14"/>
        <color theme="1"/>
        <rFont val="Arial"/>
        <family val="2"/>
        <charset val="178"/>
        <scheme val="minor"/>
      </rPr>
      <t xml:space="preserve"> =</t>
    </r>
  </si>
  <si>
    <t>R =</t>
  </si>
  <si>
    <r>
      <t>M</t>
    </r>
    <r>
      <rPr>
        <vertAlign val="subscript"/>
        <sz val="14"/>
        <color theme="1"/>
        <rFont val="Arial"/>
        <family val="2"/>
        <scheme val="minor"/>
      </rPr>
      <t>L</t>
    </r>
    <r>
      <rPr>
        <sz val="14"/>
        <color theme="1"/>
        <rFont val="Arial"/>
        <family val="2"/>
        <charset val="178"/>
        <scheme val="minor"/>
      </rPr>
      <t xml:space="preserve"> =</t>
    </r>
  </si>
  <si>
    <r>
      <t>Q</t>
    </r>
    <r>
      <rPr>
        <vertAlign val="subscript"/>
        <sz val="14"/>
        <color theme="1"/>
        <rFont val="Arial"/>
        <family val="2"/>
        <scheme val="minor"/>
      </rPr>
      <t>L</t>
    </r>
    <r>
      <rPr>
        <sz val="14"/>
        <color theme="1"/>
        <rFont val="Arial"/>
        <family val="2"/>
        <charset val="178"/>
        <scheme val="minor"/>
      </rPr>
      <t xml:space="preserve"> =</t>
    </r>
  </si>
  <si>
    <r>
      <t>M</t>
    </r>
    <r>
      <rPr>
        <vertAlign val="subscript"/>
        <sz val="14"/>
        <color theme="1"/>
        <rFont val="Arial"/>
        <family val="2"/>
        <scheme val="minor"/>
      </rPr>
      <t>x</t>
    </r>
    <r>
      <rPr>
        <sz val="14"/>
        <color theme="1"/>
        <rFont val="Arial"/>
        <family val="2"/>
        <charset val="178"/>
        <scheme val="minor"/>
      </rPr>
      <t xml:space="preserve"> =</t>
    </r>
  </si>
  <si>
    <r>
      <t>M</t>
    </r>
    <r>
      <rPr>
        <vertAlign val="subscript"/>
        <sz val="14"/>
        <color theme="1"/>
        <rFont val="Arial"/>
        <family val="2"/>
        <scheme val="minor"/>
      </rPr>
      <t>y =</t>
    </r>
  </si>
  <si>
    <r>
      <t>Q</t>
    </r>
    <r>
      <rPr>
        <vertAlign val="subscript"/>
        <sz val="14"/>
        <color theme="1"/>
        <rFont val="Arial"/>
        <family val="2"/>
        <scheme val="minor"/>
      </rPr>
      <t>y</t>
    </r>
    <r>
      <rPr>
        <sz val="14"/>
        <color theme="1"/>
        <rFont val="Arial"/>
        <family val="2"/>
        <charset val="178"/>
        <scheme val="minor"/>
      </rPr>
      <t xml:space="preserve"> =</t>
    </r>
  </si>
  <si>
    <t>Crane Track Girder Section</t>
  </si>
  <si>
    <t>Properties of crane track girder</t>
  </si>
  <si>
    <t>Data</t>
  </si>
  <si>
    <t>Loads &amp; Straining Actions</t>
  </si>
  <si>
    <t>Properties of section</t>
  </si>
  <si>
    <r>
      <t>F</t>
    </r>
    <r>
      <rPr>
        <vertAlign val="subscript"/>
        <sz val="14"/>
        <color theme="1"/>
        <rFont val="Arial"/>
        <family val="2"/>
        <scheme val="minor"/>
      </rPr>
      <t>y</t>
    </r>
    <r>
      <rPr>
        <sz val="14"/>
        <color theme="1"/>
        <rFont val="Arial"/>
        <family val="2"/>
        <charset val="178"/>
        <scheme val="minor"/>
      </rPr>
      <t xml:space="preserve"> =</t>
    </r>
  </si>
  <si>
    <r>
      <t>F</t>
    </r>
    <r>
      <rPr>
        <vertAlign val="subscript"/>
        <sz val="14"/>
        <color theme="1"/>
        <rFont val="Arial"/>
        <family val="2"/>
        <scheme val="minor"/>
      </rPr>
      <t>u</t>
    </r>
    <r>
      <rPr>
        <sz val="14"/>
        <color theme="1"/>
        <rFont val="Arial"/>
        <family val="2"/>
        <charset val="178"/>
        <scheme val="minor"/>
      </rPr>
      <t xml:space="preserve"> =</t>
    </r>
  </si>
  <si>
    <t>1- @Comp. Flange:</t>
  </si>
  <si>
    <t>2- @Tens. Flange:</t>
  </si>
  <si>
    <r>
      <t>Q</t>
    </r>
    <r>
      <rPr>
        <vertAlign val="subscript"/>
        <sz val="14"/>
        <color theme="1"/>
        <rFont val="Arial"/>
        <family val="2"/>
        <scheme val="minor"/>
      </rPr>
      <t>uy</t>
    </r>
    <r>
      <rPr>
        <sz val="14"/>
        <color theme="1"/>
        <rFont val="Arial"/>
        <family val="2"/>
        <charset val="178"/>
        <scheme val="minor"/>
      </rPr>
      <t xml:space="preserve"> =</t>
    </r>
  </si>
  <si>
    <r>
      <t>M</t>
    </r>
    <r>
      <rPr>
        <vertAlign val="subscript"/>
        <sz val="14"/>
        <color theme="1"/>
        <rFont val="Arial"/>
        <family val="2"/>
        <scheme val="minor"/>
      </rPr>
      <t>uy</t>
    </r>
    <r>
      <rPr>
        <sz val="14"/>
        <color theme="1"/>
        <rFont val="Arial"/>
        <family val="2"/>
        <charset val="178"/>
        <scheme val="minor"/>
      </rPr>
      <t xml:space="preserve"> =</t>
    </r>
  </si>
  <si>
    <r>
      <t>M</t>
    </r>
    <r>
      <rPr>
        <vertAlign val="subscript"/>
        <sz val="14"/>
        <color theme="1"/>
        <rFont val="Arial"/>
        <family val="2"/>
        <scheme val="minor"/>
      </rPr>
      <t>ux</t>
    </r>
    <r>
      <rPr>
        <sz val="14"/>
        <color theme="1"/>
        <rFont val="Arial"/>
        <family val="2"/>
        <charset val="178"/>
        <scheme val="minor"/>
      </rPr>
      <t xml:space="preserve"> =</t>
    </r>
  </si>
  <si>
    <t xml:space="preserve">span </t>
  </si>
  <si>
    <t>IPE</t>
  </si>
  <si>
    <r>
      <t>(cm</t>
    </r>
    <r>
      <rPr>
        <b/>
        <vertAlign val="superscript"/>
        <sz val="14"/>
        <rFont val="Agency FB"/>
        <family val="2"/>
      </rPr>
      <t>2</t>
    </r>
    <r>
      <rPr>
        <b/>
        <sz val="14"/>
        <rFont val="Agency FB"/>
        <family val="2"/>
      </rPr>
      <t>)</t>
    </r>
  </si>
  <si>
    <t>r</t>
  </si>
  <si>
    <r>
      <t>I</t>
    </r>
    <r>
      <rPr>
        <b/>
        <vertAlign val="subscript"/>
        <sz val="14"/>
        <rFont val="Agency FB"/>
        <family val="2"/>
      </rPr>
      <t>x</t>
    </r>
    <r>
      <rPr>
        <b/>
        <sz val="14"/>
        <rFont val="Agency FB"/>
        <family val="2"/>
      </rPr>
      <t xml:space="preserve"> (cm</t>
    </r>
    <r>
      <rPr>
        <b/>
        <vertAlign val="superscript"/>
        <sz val="14"/>
        <rFont val="Agency FB"/>
        <family val="2"/>
      </rPr>
      <t>4</t>
    </r>
    <r>
      <rPr>
        <b/>
        <sz val="14"/>
        <rFont val="Agency FB"/>
        <family val="2"/>
      </rPr>
      <t>)</t>
    </r>
  </si>
  <si>
    <r>
      <t>S</t>
    </r>
    <r>
      <rPr>
        <b/>
        <vertAlign val="subscript"/>
        <sz val="14"/>
        <rFont val="Agency FB"/>
        <family val="2"/>
      </rPr>
      <t>x</t>
    </r>
    <r>
      <rPr>
        <b/>
        <sz val="14"/>
        <rFont val="Agency FB"/>
        <family val="2"/>
      </rPr>
      <t xml:space="preserve"> (cm</t>
    </r>
    <r>
      <rPr>
        <b/>
        <vertAlign val="superscript"/>
        <sz val="14"/>
        <rFont val="Agency FB"/>
        <family val="2"/>
      </rPr>
      <t>3</t>
    </r>
    <r>
      <rPr>
        <b/>
        <sz val="14"/>
        <rFont val="Agency FB"/>
        <family val="2"/>
      </rPr>
      <t>)</t>
    </r>
  </si>
  <si>
    <r>
      <t>r</t>
    </r>
    <r>
      <rPr>
        <b/>
        <vertAlign val="subscript"/>
        <sz val="14"/>
        <rFont val="Agency FB"/>
        <family val="2"/>
      </rPr>
      <t>x</t>
    </r>
    <r>
      <rPr>
        <b/>
        <sz val="14"/>
        <rFont val="Agency FB"/>
        <family val="2"/>
      </rPr>
      <t xml:space="preserve"> (cm)</t>
    </r>
  </si>
  <si>
    <r>
      <t>I</t>
    </r>
    <r>
      <rPr>
        <b/>
        <vertAlign val="subscript"/>
        <sz val="14"/>
        <rFont val="Agency FB"/>
        <family val="2"/>
      </rPr>
      <t>y</t>
    </r>
    <r>
      <rPr>
        <b/>
        <sz val="14"/>
        <rFont val="Agency FB"/>
        <family val="2"/>
      </rPr>
      <t xml:space="preserve"> (cm</t>
    </r>
    <r>
      <rPr>
        <b/>
        <vertAlign val="superscript"/>
        <sz val="14"/>
        <rFont val="Agency FB"/>
        <family val="2"/>
      </rPr>
      <t>4</t>
    </r>
    <r>
      <rPr>
        <b/>
        <sz val="14"/>
        <rFont val="Agency FB"/>
        <family val="2"/>
      </rPr>
      <t>)</t>
    </r>
  </si>
  <si>
    <r>
      <t>S</t>
    </r>
    <r>
      <rPr>
        <b/>
        <vertAlign val="subscript"/>
        <sz val="14"/>
        <rFont val="Agency FB"/>
        <family val="2"/>
      </rPr>
      <t>y</t>
    </r>
    <r>
      <rPr>
        <b/>
        <sz val="14"/>
        <rFont val="Agency FB"/>
        <family val="2"/>
      </rPr>
      <t xml:space="preserve"> (cm</t>
    </r>
    <r>
      <rPr>
        <b/>
        <vertAlign val="superscript"/>
        <sz val="14"/>
        <rFont val="Agency FB"/>
        <family val="2"/>
      </rPr>
      <t>3</t>
    </r>
    <r>
      <rPr>
        <b/>
        <sz val="14"/>
        <rFont val="Agency FB"/>
        <family val="2"/>
      </rPr>
      <t>)</t>
    </r>
  </si>
  <si>
    <r>
      <t>r</t>
    </r>
    <r>
      <rPr>
        <b/>
        <vertAlign val="subscript"/>
        <sz val="14"/>
        <rFont val="Agency FB"/>
        <family val="2"/>
      </rPr>
      <t>y</t>
    </r>
    <r>
      <rPr>
        <b/>
        <sz val="14"/>
        <rFont val="Agency FB"/>
        <family val="2"/>
      </rPr>
      <t xml:space="preserve"> (cm)</t>
    </r>
  </si>
  <si>
    <t>Using Bracing or catwalk (No My &amp; LTB)</t>
  </si>
  <si>
    <t>spacing bet. wheels</t>
  </si>
  <si>
    <r>
      <t>M</t>
    </r>
    <r>
      <rPr>
        <vertAlign val="subscript"/>
        <sz val="14"/>
        <color theme="1"/>
        <rFont val="Arial"/>
        <family val="2"/>
        <scheme val="minor"/>
      </rPr>
      <t>ux</t>
    </r>
    <r>
      <rPr>
        <sz val="14"/>
        <color theme="1"/>
        <rFont val="Arial"/>
        <family val="2"/>
        <charset val="178"/>
        <scheme val="minor"/>
      </rPr>
      <t xml:space="preserve"> / M</t>
    </r>
    <r>
      <rPr>
        <vertAlign val="subscript"/>
        <sz val="14"/>
        <color theme="1"/>
        <rFont val="Arial"/>
        <family val="2"/>
        <scheme val="minor"/>
      </rPr>
      <t>p</t>
    </r>
    <r>
      <rPr>
        <sz val="14"/>
        <color theme="1"/>
        <rFont val="Arial"/>
        <family val="2"/>
        <charset val="178"/>
        <scheme val="minor"/>
      </rPr>
      <t xml:space="preserve"> =</t>
    </r>
  </si>
  <si>
    <r>
      <t>Q</t>
    </r>
    <r>
      <rPr>
        <vertAlign val="subscript"/>
        <sz val="14"/>
        <color theme="1"/>
        <rFont val="Arial"/>
        <family val="2"/>
        <scheme val="minor"/>
      </rPr>
      <t>uy</t>
    </r>
    <r>
      <rPr>
        <sz val="14"/>
        <color theme="1"/>
        <rFont val="Arial"/>
        <family val="2"/>
        <charset val="178"/>
        <scheme val="minor"/>
      </rPr>
      <t xml:space="preserve"> / V</t>
    </r>
    <r>
      <rPr>
        <vertAlign val="subscript"/>
        <sz val="14"/>
        <color theme="1"/>
        <rFont val="Arial"/>
        <family val="2"/>
        <scheme val="minor"/>
      </rPr>
      <t>r</t>
    </r>
    <r>
      <rPr>
        <sz val="14"/>
        <color theme="1"/>
        <rFont val="Arial"/>
        <family val="2"/>
        <charset val="178"/>
        <scheme val="minor"/>
      </rPr>
      <t xml:space="preserve"> =</t>
    </r>
  </si>
  <si>
    <r>
      <t>t</t>
    </r>
    <r>
      <rPr>
        <vertAlign val="subscript"/>
        <sz val="14"/>
        <color theme="1"/>
        <rFont val="Arial"/>
        <family val="2"/>
        <scheme val="minor"/>
      </rPr>
      <t>w</t>
    </r>
    <r>
      <rPr>
        <sz val="14"/>
        <color theme="1"/>
        <rFont val="Arial"/>
        <family val="2"/>
        <charset val="178"/>
        <scheme val="minor"/>
      </rPr>
      <t xml:space="preserve"> =</t>
    </r>
  </si>
  <si>
    <r>
      <t>R</t>
    </r>
    <r>
      <rPr>
        <vertAlign val="subscript"/>
        <sz val="14"/>
        <color theme="1"/>
        <rFont val="Arial"/>
        <family val="2"/>
        <scheme val="minor"/>
      </rPr>
      <t xml:space="preserve">r </t>
    </r>
    <r>
      <rPr>
        <sz val="14"/>
        <color theme="1"/>
        <rFont val="Arial"/>
        <family val="2"/>
        <charset val="178"/>
        <scheme val="minor"/>
      </rPr>
      <t>=</t>
    </r>
  </si>
  <si>
    <r>
      <t>t</t>
    </r>
    <r>
      <rPr>
        <vertAlign val="subscript"/>
        <sz val="14"/>
        <color theme="1"/>
        <rFont val="Arial"/>
        <family val="2"/>
        <scheme val="minor"/>
      </rPr>
      <t>plate</t>
    </r>
    <r>
      <rPr>
        <sz val="14"/>
        <color theme="1"/>
        <rFont val="Arial"/>
        <family val="2"/>
        <charset val="178"/>
        <scheme val="minor"/>
      </rPr>
      <t xml:space="preserve"> =</t>
    </r>
  </si>
  <si>
    <r>
      <t>M</t>
    </r>
    <r>
      <rPr>
        <vertAlign val="subscript"/>
        <sz val="14"/>
        <color theme="1"/>
        <rFont val="Arial"/>
        <family val="2"/>
        <scheme val="minor"/>
      </rPr>
      <t>elastic</t>
    </r>
    <r>
      <rPr>
        <sz val="14"/>
        <color theme="1"/>
        <rFont val="Arial"/>
        <family val="2"/>
        <charset val="178"/>
        <scheme val="minor"/>
      </rPr>
      <t xml:space="preserve"> =</t>
    </r>
  </si>
  <si>
    <r>
      <t>R</t>
    </r>
    <r>
      <rPr>
        <vertAlign val="subscript"/>
        <sz val="14"/>
        <color theme="1"/>
        <rFont val="Arial"/>
        <family val="2"/>
        <scheme val="minor"/>
      </rPr>
      <t xml:space="preserve">r </t>
    </r>
    <r>
      <rPr>
        <sz val="14"/>
        <color theme="1"/>
        <rFont val="Arial"/>
        <family val="2"/>
        <charset val="178"/>
        <scheme val="minor"/>
      </rPr>
      <t xml:space="preserve">= </t>
    </r>
  </si>
  <si>
    <r>
      <t>Q</t>
    </r>
    <r>
      <rPr>
        <vertAlign val="subscript"/>
        <sz val="14"/>
        <color theme="1"/>
        <rFont val="Arial"/>
        <family val="2"/>
        <scheme val="minor"/>
      </rPr>
      <t>x</t>
    </r>
    <r>
      <rPr>
        <sz val="14"/>
        <color theme="1"/>
        <rFont val="Arial"/>
        <family val="2"/>
        <charset val="178"/>
        <scheme val="minor"/>
      </rPr>
      <t xml:space="preserve"> / V</t>
    </r>
    <r>
      <rPr>
        <vertAlign val="subscript"/>
        <sz val="14"/>
        <color theme="1"/>
        <rFont val="Arial"/>
        <family val="2"/>
        <scheme val="minor"/>
      </rPr>
      <t>r</t>
    </r>
    <r>
      <rPr>
        <sz val="14"/>
        <color theme="1"/>
        <rFont val="Arial"/>
        <family val="2"/>
        <charset val="178"/>
        <scheme val="minor"/>
      </rPr>
      <t xml:space="preserve"> =</t>
    </r>
  </si>
  <si>
    <t>HEA</t>
  </si>
  <si>
    <t>Sec. No.</t>
  </si>
  <si>
    <t>Dimensions</t>
  </si>
  <si>
    <t>Axis  X-X</t>
  </si>
  <si>
    <t>Axis  Y-Y</t>
  </si>
  <si>
    <t>kg/m`</t>
  </si>
  <si>
    <r>
      <t>r</t>
    </r>
    <r>
      <rPr>
        <b/>
        <vertAlign val="subscript"/>
        <sz val="18"/>
        <rFont val="Calibri"/>
        <family val="2"/>
      </rPr>
      <t>1</t>
    </r>
  </si>
  <si>
    <r>
      <t>I</t>
    </r>
    <r>
      <rPr>
        <b/>
        <vertAlign val="subscript"/>
        <sz val="18"/>
        <rFont val="Calibri"/>
        <family val="2"/>
      </rPr>
      <t>x</t>
    </r>
  </si>
  <si>
    <r>
      <t>S</t>
    </r>
    <r>
      <rPr>
        <b/>
        <vertAlign val="subscript"/>
        <sz val="18"/>
        <rFont val="Calibri"/>
        <family val="2"/>
      </rPr>
      <t>x</t>
    </r>
  </si>
  <si>
    <r>
      <t>r</t>
    </r>
    <r>
      <rPr>
        <b/>
        <vertAlign val="subscript"/>
        <sz val="18"/>
        <rFont val="Calibri"/>
        <family val="2"/>
      </rPr>
      <t>x</t>
    </r>
  </si>
  <si>
    <r>
      <t>I</t>
    </r>
    <r>
      <rPr>
        <b/>
        <vertAlign val="subscript"/>
        <sz val="18"/>
        <rFont val="Calibri"/>
        <family val="2"/>
      </rPr>
      <t>y</t>
    </r>
  </si>
  <si>
    <r>
      <t>S</t>
    </r>
    <r>
      <rPr>
        <b/>
        <vertAlign val="subscript"/>
        <sz val="18"/>
        <rFont val="Calibri"/>
        <family val="2"/>
      </rPr>
      <t>y</t>
    </r>
  </si>
  <si>
    <r>
      <t>r</t>
    </r>
    <r>
      <rPr>
        <b/>
        <vertAlign val="subscript"/>
        <sz val="18"/>
        <rFont val="Calibri"/>
        <family val="2"/>
      </rPr>
      <t>y</t>
    </r>
  </si>
  <si>
    <r>
      <t>cm</t>
    </r>
    <r>
      <rPr>
        <b/>
        <vertAlign val="superscript"/>
        <sz val="18"/>
        <rFont val="Calibri"/>
        <family val="2"/>
      </rPr>
      <t>2</t>
    </r>
  </si>
  <si>
    <r>
      <t>cm</t>
    </r>
    <r>
      <rPr>
        <b/>
        <vertAlign val="superscript"/>
        <sz val="18"/>
        <rFont val="Calibri"/>
        <family val="2"/>
      </rPr>
      <t>4</t>
    </r>
  </si>
  <si>
    <r>
      <t>cm</t>
    </r>
    <r>
      <rPr>
        <b/>
        <vertAlign val="superscript"/>
        <sz val="18"/>
        <rFont val="Calibri"/>
        <family val="2"/>
      </rPr>
      <t>3</t>
    </r>
  </si>
  <si>
    <r>
      <t>F</t>
    </r>
    <r>
      <rPr>
        <b/>
        <vertAlign val="subscript"/>
        <sz val="14"/>
        <color theme="1"/>
        <rFont val="Calibri"/>
        <family val="2"/>
      </rPr>
      <t>y</t>
    </r>
    <r>
      <rPr>
        <b/>
        <sz val="14"/>
        <color theme="1"/>
        <rFont val="Calibri"/>
        <family val="2"/>
      </rPr>
      <t xml:space="preserve"> =</t>
    </r>
  </si>
  <si>
    <r>
      <t>t/cm</t>
    </r>
    <r>
      <rPr>
        <b/>
        <vertAlign val="superscript"/>
        <sz val="14"/>
        <color theme="1"/>
        <rFont val="Calibri"/>
        <family val="2"/>
      </rPr>
      <t>2</t>
    </r>
  </si>
  <si>
    <r>
      <t>W</t>
    </r>
    <r>
      <rPr>
        <b/>
        <vertAlign val="subscript"/>
        <sz val="14"/>
        <color theme="1"/>
        <rFont val="Calibri"/>
        <family val="2"/>
      </rPr>
      <t>d</t>
    </r>
    <r>
      <rPr>
        <b/>
        <sz val="14"/>
        <color theme="1"/>
        <rFont val="Calibri"/>
        <family val="2"/>
      </rPr>
      <t xml:space="preserve"> =</t>
    </r>
  </si>
  <si>
    <r>
      <t>F</t>
    </r>
    <r>
      <rPr>
        <b/>
        <vertAlign val="subscript"/>
        <sz val="14"/>
        <color theme="1"/>
        <rFont val="Calibri"/>
        <family val="2"/>
      </rPr>
      <t>u</t>
    </r>
    <r>
      <rPr>
        <b/>
        <sz val="14"/>
        <color theme="1"/>
        <rFont val="Calibri"/>
        <family val="2"/>
      </rPr>
      <t xml:space="preserve"> =</t>
    </r>
  </si>
  <si>
    <r>
      <t>M</t>
    </r>
    <r>
      <rPr>
        <b/>
        <vertAlign val="subscript"/>
        <sz val="14"/>
        <color theme="1"/>
        <rFont val="Calibri"/>
        <family val="2"/>
      </rPr>
      <t>d</t>
    </r>
    <r>
      <rPr>
        <b/>
        <sz val="14"/>
        <color theme="1"/>
        <rFont val="Calibri"/>
        <family val="2"/>
      </rPr>
      <t xml:space="preserve"> =</t>
    </r>
  </si>
  <si>
    <r>
      <t>Q</t>
    </r>
    <r>
      <rPr>
        <b/>
        <vertAlign val="subscript"/>
        <sz val="14"/>
        <color theme="1"/>
        <rFont val="Calibri"/>
        <family val="2"/>
      </rPr>
      <t>d</t>
    </r>
    <r>
      <rPr>
        <b/>
        <sz val="14"/>
        <color theme="1"/>
        <rFont val="Calibri"/>
        <family val="2"/>
      </rPr>
      <t xml:space="preserve"> =</t>
    </r>
  </si>
  <si>
    <r>
      <t>M</t>
    </r>
    <r>
      <rPr>
        <b/>
        <vertAlign val="subscript"/>
        <sz val="14"/>
        <color theme="1"/>
        <rFont val="Calibri"/>
        <family val="2"/>
      </rPr>
      <t>ux</t>
    </r>
    <r>
      <rPr>
        <b/>
        <sz val="14"/>
        <color theme="1"/>
        <rFont val="Calibri"/>
        <family val="2"/>
      </rPr>
      <t xml:space="preserve"> =</t>
    </r>
  </si>
  <si>
    <r>
      <t>span = L</t>
    </r>
    <r>
      <rPr>
        <b/>
        <vertAlign val="subscript"/>
        <sz val="14"/>
        <color theme="1"/>
        <rFont val="Calibri"/>
        <family val="2"/>
      </rPr>
      <t>b</t>
    </r>
  </si>
  <si>
    <r>
      <t>M</t>
    </r>
    <r>
      <rPr>
        <b/>
        <vertAlign val="subscript"/>
        <sz val="14"/>
        <color theme="1"/>
        <rFont val="Calibri"/>
        <family val="2"/>
      </rPr>
      <t>uy</t>
    </r>
    <r>
      <rPr>
        <b/>
        <sz val="14"/>
        <color theme="1"/>
        <rFont val="Calibri"/>
        <family val="2"/>
      </rPr>
      <t xml:space="preserve"> =</t>
    </r>
  </si>
  <si>
    <r>
      <t>Q</t>
    </r>
    <r>
      <rPr>
        <b/>
        <vertAlign val="subscript"/>
        <sz val="14"/>
        <color theme="1"/>
        <rFont val="Calibri"/>
        <family val="2"/>
      </rPr>
      <t>uy</t>
    </r>
    <r>
      <rPr>
        <b/>
        <sz val="14"/>
        <color theme="1"/>
        <rFont val="Calibri"/>
        <family val="2"/>
      </rPr>
      <t xml:space="preserve"> =</t>
    </r>
  </si>
  <si>
    <r>
      <t>M</t>
    </r>
    <r>
      <rPr>
        <b/>
        <vertAlign val="subscript"/>
        <sz val="14"/>
        <color theme="1"/>
        <rFont val="Calibri"/>
        <family val="2"/>
      </rPr>
      <t>L</t>
    </r>
    <r>
      <rPr>
        <b/>
        <sz val="14"/>
        <color theme="1"/>
        <rFont val="Calibri"/>
        <family val="2"/>
      </rPr>
      <t xml:space="preserve"> =</t>
    </r>
  </si>
  <si>
    <r>
      <t>Q</t>
    </r>
    <r>
      <rPr>
        <b/>
        <vertAlign val="subscript"/>
        <sz val="14"/>
        <color theme="1"/>
        <rFont val="Calibri"/>
        <family val="2"/>
      </rPr>
      <t>L</t>
    </r>
    <r>
      <rPr>
        <b/>
        <sz val="14"/>
        <color theme="1"/>
        <rFont val="Calibri"/>
        <family val="2"/>
      </rPr>
      <t xml:space="preserve"> =</t>
    </r>
  </si>
  <si>
    <r>
      <t>h</t>
    </r>
    <r>
      <rPr>
        <b/>
        <vertAlign val="subscript"/>
        <sz val="14"/>
        <color theme="1"/>
        <rFont val="Calibri"/>
        <family val="2"/>
      </rPr>
      <t>rail</t>
    </r>
  </si>
  <si>
    <r>
      <t>Bracket b</t>
    </r>
    <r>
      <rPr>
        <b/>
        <vertAlign val="subscript"/>
        <sz val="14"/>
        <color theme="1"/>
        <rFont val="Calibri"/>
        <family val="2"/>
      </rPr>
      <t>f</t>
    </r>
  </si>
  <si>
    <r>
      <t>M</t>
    </r>
    <r>
      <rPr>
        <b/>
        <vertAlign val="subscript"/>
        <sz val="14"/>
        <color theme="1"/>
        <rFont val="Calibri"/>
        <family val="2"/>
      </rPr>
      <t>p</t>
    </r>
    <r>
      <rPr>
        <b/>
        <sz val="14"/>
        <color theme="1"/>
        <rFont val="Calibri"/>
        <family val="2"/>
      </rPr>
      <t xml:space="preserve"> =</t>
    </r>
  </si>
  <si>
    <r>
      <t>M</t>
    </r>
    <r>
      <rPr>
        <b/>
        <vertAlign val="subscript"/>
        <sz val="14"/>
        <color theme="1"/>
        <rFont val="Calibri"/>
        <family val="2"/>
      </rPr>
      <t xml:space="preserve">nx </t>
    </r>
    <r>
      <rPr>
        <b/>
        <sz val="14"/>
        <color theme="1"/>
        <rFont val="Calibri"/>
        <family val="2"/>
      </rPr>
      <t xml:space="preserve"> =</t>
    </r>
  </si>
  <si>
    <r>
      <t>M</t>
    </r>
    <r>
      <rPr>
        <b/>
        <vertAlign val="subscript"/>
        <sz val="14"/>
        <color theme="1"/>
        <rFont val="Calibri"/>
        <family val="2"/>
      </rPr>
      <t xml:space="preserve">ny </t>
    </r>
    <r>
      <rPr>
        <b/>
        <sz val="14"/>
        <color theme="1"/>
        <rFont val="Calibri"/>
        <family val="2"/>
      </rPr>
      <t xml:space="preserve"> =</t>
    </r>
  </si>
  <si>
    <r>
      <t>I</t>
    </r>
    <r>
      <rPr>
        <b/>
        <vertAlign val="subscript"/>
        <sz val="14"/>
        <color theme="1"/>
        <rFont val="Calibri"/>
        <family val="2"/>
      </rPr>
      <t>x</t>
    </r>
  </si>
  <si>
    <r>
      <t>cm</t>
    </r>
    <r>
      <rPr>
        <b/>
        <vertAlign val="superscript"/>
        <sz val="14"/>
        <color theme="1"/>
        <rFont val="Calibri"/>
        <family val="2"/>
      </rPr>
      <t>4</t>
    </r>
  </si>
  <si>
    <r>
      <t>S</t>
    </r>
    <r>
      <rPr>
        <b/>
        <vertAlign val="subscript"/>
        <sz val="14"/>
        <color theme="1"/>
        <rFont val="Calibri"/>
        <family val="2"/>
      </rPr>
      <t>x</t>
    </r>
  </si>
  <si>
    <r>
      <t>cm</t>
    </r>
    <r>
      <rPr>
        <b/>
        <vertAlign val="superscript"/>
        <sz val="14"/>
        <color theme="1"/>
        <rFont val="Calibri"/>
        <family val="2"/>
      </rPr>
      <t>3</t>
    </r>
  </si>
  <si>
    <r>
      <t>Z</t>
    </r>
    <r>
      <rPr>
        <b/>
        <vertAlign val="subscript"/>
        <sz val="14"/>
        <color theme="1"/>
        <rFont val="Calibri"/>
        <family val="2"/>
      </rPr>
      <t>x</t>
    </r>
  </si>
  <si>
    <r>
      <t>r</t>
    </r>
    <r>
      <rPr>
        <b/>
        <vertAlign val="subscript"/>
        <sz val="14"/>
        <color theme="1"/>
        <rFont val="Calibri"/>
        <family val="2"/>
      </rPr>
      <t>y</t>
    </r>
  </si>
  <si>
    <r>
      <t>S</t>
    </r>
    <r>
      <rPr>
        <b/>
        <vertAlign val="subscript"/>
        <sz val="14"/>
        <color theme="1"/>
        <rFont val="Calibri"/>
        <family val="2"/>
      </rPr>
      <t>y</t>
    </r>
  </si>
  <si>
    <r>
      <t>Q</t>
    </r>
    <r>
      <rPr>
        <b/>
        <vertAlign val="subscript"/>
        <sz val="14"/>
        <color theme="1"/>
        <rFont val="Calibri"/>
        <family val="2"/>
      </rPr>
      <t>x</t>
    </r>
    <r>
      <rPr>
        <b/>
        <sz val="14"/>
        <color theme="1"/>
        <rFont val="Calibri"/>
        <family val="2"/>
      </rPr>
      <t xml:space="preserve"> / V</t>
    </r>
    <r>
      <rPr>
        <b/>
        <vertAlign val="subscript"/>
        <sz val="14"/>
        <color theme="1"/>
        <rFont val="Calibri"/>
        <family val="2"/>
      </rPr>
      <t>r</t>
    </r>
    <r>
      <rPr>
        <b/>
        <sz val="14"/>
        <color theme="1"/>
        <rFont val="Calibri"/>
        <family val="2"/>
      </rPr>
      <t xml:space="preserve"> =</t>
    </r>
  </si>
  <si>
    <r>
      <t>L</t>
    </r>
    <r>
      <rPr>
        <b/>
        <vertAlign val="subscript"/>
        <sz val="14"/>
        <color theme="1"/>
        <rFont val="Calibri"/>
        <family val="2"/>
      </rPr>
      <t>p</t>
    </r>
  </si>
  <si>
    <r>
      <t>r</t>
    </r>
    <r>
      <rPr>
        <b/>
        <vertAlign val="subscript"/>
        <sz val="14"/>
        <color theme="1"/>
        <rFont val="Calibri"/>
        <family val="2"/>
      </rPr>
      <t>t</t>
    </r>
  </si>
  <si>
    <r>
      <t>L</t>
    </r>
    <r>
      <rPr>
        <b/>
        <vertAlign val="subscript"/>
        <sz val="14"/>
        <color theme="1"/>
        <rFont val="Calibri"/>
        <family val="2"/>
      </rPr>
      <t>r</t>
    </r>
  </si>
  <si>
    <r>
      <t>R</t>
    </r>
    <r>
      <rPr>
        <b/>
        <vertAlign val="subscript"/>
        <sz val="14"/>
        <color theme="1"/>
        <rFont val="Calibri"/>
        <family val="2"/>
      </rPr>
      <t>u</t>
    </r>
    <r>
      <rPr>
        <b/>
        <sz val="14"/>
        <color theme="1"/>
        <rFont val="Calibri"/>
        <family val="2"/>
      </rPr>
      <t xml:space="preserve"> =</t>
    </r>
  </si>
  <si>
    <r>
      <t>R</t>
    </r>
    <r>
      <rPr>
        <b/>
        <vertAlign val="subscript"/>
        <sz val="14"/>
        <color theme="1"/>
        <rFont val="Calibri"/>
        <family val="2"/>
      </rPr>
      <t>r</t>
    </r>
    <r>
      <rPr>
        <b/>
        <sz val="14"/>
        <color theme="1"/>
        <rFont val="Calibri"/>
        <family val="2"/>
      </rPr>
      <t xml:space="preserve"> =</t>
    </r>
  </si>
  <si>
    <r>
      <t>t</t>
    </r>
    <r>
      <rPr>
        <b/>
        <vertAlign val="subscript"/>
        <sz val="14"/>
        <color theme="1"/>
        <rFont val="Calibri"/>
        <family val="2"/>
      </rPr>
      <t>plate</t>
    </r>
    <r>
      <rPr>
        <b/>
        <sz val="14"/>
        <color theme="1"/>
        <rFont val="Calibri"/>
        <family val="2"/>
      </rPr>
      <t xml:space="preserve"> =</t>
    </r>
  </si>
  <si>
    <r>
      <t>R</t>
    </r>
    <r>
      <rPr>
        <b/>
        <vertAlign val="subscript"/>
        <sz val="14"/>
        <color theme="1"/>
        <rFont val="Calibri"/>
        <family val="2"/>
      </rPr>
      <t xml:space="preserve">r </t>
    </r>
    <r>
      <rPr>
        <b/>
        <sz val="14"/>
        <color theme="1"/>
        <rFont val="Calibri"/>
        <family val="2"/>
      </rPr>
      <t>=</t>
    </r>
  </si>
  <si>
    <r>
      <t>M</t>
    </r>
    <r>
      <rPr>
        <b/>
        <vertAlign val="subscript"/>
        <sz val="14"/>
        <color theme="1"/>
        <rFont val="Calibri"/>
        <family val="2"/>
      </rPr>
      <t>elastic</t>
    </r>
  </si>
  <si>
    <r>
      <t>t.m</t>
    </r>
    <r>
      <rPr>
        <b/>
        <vertAlign val="superscript"/>
        <sz val="14"/>
        <color theme="1"/>
        <rFont val="Calibri"/>
        <family val="2"/>
      </rPr>
      <t>3</t>
    </r>
  </si>
  <si>
    <t>δ =</t>
  </si>
  <si>
    <r>
      <t>t</t>
    </r>
    <r>
      <rPr>
        <b/>
        <vertAlign val="subscript"/>
        <sz val="14"/>
        <color theme="1"/>
        <rFont val="Calibri"/>
        <family val="2"/>
      </rPr>
      <t>plate</t>
    </r>
  </si>
  <si>
    <r>
      <t>R</t>
    </r>
    <r>
      <rPr>
        <b/>
        <vertAlign val="subscript"/>
        <sz val="14"/>
        <color theme="1"/>
        <rFont val="Calibri"/>
        <family val="2"/>
      </rPr>
      <t xml:space="preserve">r </t>
    </r>
  </si>
  <si>
    <t>st</t>
  </si>
  <si>
    <t>Straining Actions</t>
  </si>
  <si>
    <t>LTB &amp; Bending</t>
  </si>
  <si>
    <t>Fatigue</t>
  </si>
  <si>
    <t>Yielding</t>
  </si>
  <si>
    <t>Crippling</t>
  </si>
  <si>
    <t>t/m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</si>
</sst>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5" x14ac:knownFonts="1">
    <font>
      <sz val="11"/>
      <color theme="1"/>
      <name val="Arial"/>
      <family val="2"/>
      <charset val="178"/>
      <scheme val="minor"/>
    </font>
    <font>
      <sz val="14"/>
      <color theme="1"/>
      <name val="Arial"/>
      <family val="2"/>
      <charset val="178"/>
      <scheme val="minor"/>
    </font>
    <font>
      <b/>
      <sz val="14"/>
      <color theme="1"/>
      <name val="Arial"/>
      <family val="2"/>
      <scheme val="minor"/>
    </font>
    <font>
      <vertAlign val="subscript"/>
      <sz val="14"/>
      <color theme="1"/>
      <name val="Arial"/>
      <family val="2"/>
      <scheme val="minor"/>
    </font>
    <font>
      <vertAlign val="superscript"/>
      <sz val="14"/>
      <color theme="1"/>
      <name val="Arial"/>
      <family val="2"/>
      <scheme val="minor"/>
    </font>
    <font>
      <sz val="8"/>
      <name val="Arial"/>
      <family val="2"/>
      <charset val="178"/>
      <scheme val="minor"/>
    </font>
    <font>
      <sz val="14"/>
      <color rgb="FFFF0000"/>
      <name val="Arial"/>
      <family val="2"/>
      <charset val="178"/>
      <scheme val="minor"/>
    </font>
    <font>
      <sz val="14"/>
      <color theme="1"/>
      <name val="Arial"/>
      <family val="2"/>
      <scheme val="minor"/>
    </font>
    <font>
      <b/>
      <sz val="14"/>
      <name val="Arial"/>
      <family val="2"/>
      <scheme val="minor"/>
    </font>
    <font>
      <b/>
      <vertAlign val="superscript"/>
      <sz val="14"/>
      <name val="Arial"/>
      <family val="2"/>
      <scheme val="minor"/>
    </font>
    <font>
      <b/>
      <vertAlign val="subscript"/>
      <sz val="14"/>
      <name val="Arial"/>
      <family val="2"/>
      <scheme val="minor"/>
    </font>
    <font>
      <sz val="14"/>
      <color rgb="FF000000"/>
      <name val="Arial"/>
      <family val="2"/>
      <scheme val="minor"/>
    </font>
    <font>
      <u/>
      <sz val="14"/>
      <color theme="1"/>
      <name val="Arial"/>
      <family val="2"/>
      <charset val="178"/>
      <scheme val="minor"/>
    </font>
    <font>
      <sz val="14"/>
      <color theme="1"/>
      <name val="Calibri"/>
      <family val="2"/>
    </font>
    <font>
      <sz val="14"/>
      <color theme="1"/>
      <name val="Arial"/>
      <family val="2"/>
      <charset val="178"/>
    </font>
    <font>
      <b/>
      <sz val="14"/>
      <color theme="1"/>
      <name val="Calibri"/>
      <family val="2"/>
    </font>
    <font>
      <sz val="14"/>
      <color theme="0"/>
      <name val="Arial"/>
      <family val="2"/>
      <charset val="178"/>
      <scheme val="minor"/>
    </font>
    <font>
      <sz val="14"/>
      <name val="Arial"/>
      <family val="2"/>
      <charset val="178"/>
      <scheme val="minor"/>
    </font>
    <font>
      <b/>
      <u/>
      <sz val="14"/>
      <color theme="1"/>
      <name val="Arial"/>
      <family val="2"/>
      <scheme val="minor"/>
    </font>
    <font>
      <b/>
      <sz val="14"/>
      <color theme="1"/>
      <name val="Agency FB"/>
      <family val="2"/>
    </font>
    <font>
      <b/>
      <sz val="14"/>
      <name val="Agency FB"/>
      <family val="2"/>
    </font>
    <font>
      <b/>
      <vertAlign val="superscript"/>
      <sz val="14"/>
      <name val="Agency FB"/>
      <family val="2"/>
    </font>
    <font>
      <b/>
      <vertAlign val="subscript"/>
      <sz val="14"/>
      <name val="Agency FB"/>
      <family val="2"/>
    </font>
    <font>
      <b/>
      <sz val="14"/>
      <color rgb="FF000000"/>
      <name val="Agency FB"/>
      <family val="2"/>
    </font>
    <font>
      <b/>
      <u val="double"/>
      <sz val="14"/>
      <color rgb="FFFF0000"/>
      <name val="Arial"/>
      <family val="2"/>
      <scheme val="minor"/>
    </font>
    <font>
      <sz val="10"/>
      <color rgb="FF000000"/>
      <name val="Times New Roman"/>
      <charset val="204"/>
    </font>
    <font>
      <b/>
      <sz val="18"/>
      <name val="Calibri"/>
      <family val="2"/>
    </font>
    <font>
      <b/>
      <sz val="18"/>
      <color rgb="FF000000"/>
      <name val="Calibri"/>
      <family val="2"/>
    </font>
    <font>
      <b/>
      <vertAlign val="superscript"/>
      <sz val="18"/>
      <name val="Calibri"/>
      <family val="2"/>
    </font>
    <font>
      <b/>
      <vertAlign val="subscript"/>
      <sz val="18"/>
      <name val="Calibri"/>
      <family val="2"/>
    </font>
    <font>
      <b/>
      <sz val="14"/>
      <color theme="0"/>
      <name val="Calibri"/>
      <family val="2"/>
    </font>
    <font>
      <b/>
      <u/>
      <sz val="14"/>
      <color theme="1"/>
      <name val="Calibri"/>
      <family val="2"/>
    </font>
    <font>
      <b/>
      <sz val="14"/>
      <color rgb="FFFF0000"/>
      <name val="Calibri"/>
      <family val="2"/>
    </font>
    <font>
      <b/>
      <vertAlign val="subscript"/>
      <sz val="14"/>
      <color theme="1"/>
      <name val="Calibri"/>
      <family val="2"/>
    </font>
    <font>
      <b/>
      <vertAlign val="superscript"/>
      <sz val="14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theme="0"/>
      </top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25" fillId="0" borderId="0"/>
  </cellStyleXfs>
  <cellXfs count="13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6" fillId="2" borderId="11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8" fillId="2" borderId="0" xfId="0" applyFont="1" applyFill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7" fillId="2" borderId="1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1" fontId="11" fillId="0" borderId="1" xfId="0" applyNumberFormat="1" applyFont="1" applyFill="1" applyBorder="1" applyAlignment="1">
      <alignment horizontal="center" vertical="center" shrinkToFit="1"/>
    </xf>
    <xf numFmtId="164" fontId="11" fillId="0" borderId="1" xfId="0" applyNumberFormat="1" applyFont="1" applyFill="1" applyBorder="1" applyAlignment="1">
      <alignment horizontal="center" vertical="center" shrinkToFit="1"/>
    </xf>
    <xf numFmtId="2" fontId="11" fillId="0" borderId="1" xfId="0" applyNumberFormat="1" applyFont="1" applyFill="1" applyBorder="1" applyAlignment="1">
      <alignment horizontal="center" vertical="center" shrinkToFit="1"/>
    </xf>
    <xf numFmtId="0" fontId="1" fillId="0" borderId="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right" vertical="center"/>
    </xf>
    <xf numFmtId="0" fontId="1" fillId="0" borderId="10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20" fillId="2" borderId="1" xfId="0" applyFont="1" applyFill="1" applyBorder="1" applyAlignment="1">
      <alignment horizontal="center" vertical="center" wrapText="1"/>
    </xf>
    <xf numFmtId="1" fontId="23" fillId="2" borderId="1" xfId="0" applyNumberFormat="1" applyFont="1" applyFill="1" applyBorder="1" applyAlignment="1">
      <alignment horizontal="center" vertical="center" shrinkToFit="1"/>
    </xf>
    <xf numFmtId="2" fontId="23" fillId="2" borderId="1" xfId="0" applyNumberFormat="1" applyFont="1" applyFill="1" applyBorder="1" applyAlignment="1">
      <alignment horizontal="center" vertical="center" shrinkToFit="1"/>
    </xf>
    <xf numFmtId="164" fontId="23" fillId="2" borderId="1" xfId="0" applyNumberFormat="1" applyFont="1" applyFill="1" applyBorder="1" applyAlignment="1">
      <alignment horizontal="center" vertical="center" shrinkToFit="1"/>
    </xf>
    <xf numFmtId="0" fontId="16" fillId="0" borderId="2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6" fillId="0" borderId="28" xfId="1" applyFont="1" applyFill="1" applyBorder="1" applyAlignment="1">
      <alignment horizontal="center" vertical="center" wrapText="1"/>
    </xf>
    <xf numFmtId="1" fontId="27" fillId="0" borderId="28" xfId="1" applyNumberFormat="1" applyFont="1" applyFill="1" applyBorder="1" applyAlignment="1">
      <alignment horizontal="center" vertical="center" shrinkToFit="1"/>
    </xf>
    <xf numFmtId="164" fontId="27" fillId="0" borderId="28" xfId="1" applyNumberFormat="1" applyFont="1" applyFill="1" applyBorder="1" applyAlignment="1">
      <alignment horizontal="center" vertical="center" shrinkToFit="1"/>
    </xf>
    <xf numFmtId="2" fontId="27" fillId="0" borderId="28" xfId="1" applyNumberFormat="1" applyFont="1" applyFill="1" applyBorder="1" applyAlignment="1">
      <alignment horizontal="center" vertical="center" shrinkToFit="1"/>
    </xf>
    <xf numFmtId="0" fontId="30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right" vertical="center"/>
    </xf>
    <xf numFmtId="0" fontId="15" fillId="0" borderId="10" xfId="0" applyFont="1" applyFill="1" applyBorder="1" applyAlignment="1">
      <alignment horizontal="right" vertical="center"/>
    </xf>
    <xf numFmtId="0" fontId="15" fillId="0" borderId="8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15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center" vertical="center"/>
    </xf>
    <xf numFmtId="0" fontId="30" fillId="0" borderId="23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32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31" fillId="0" borderId="0" xfId="0" applyFont="1" applyFill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1" fillId="0" borderId="6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26" fillId="0" borderId="25" xfId="1" applyFont="1" applyFill="1" applyBorder="1" applyAlignment="1">
      <alignment horizontal="center" vertical="center" wrapText="1"/>
    </xf>
    <xf numFmtId="0" fontId="26" fillId="0" borderId="26" xfId="1" applyFont="1" applyFill="1" applyBorder="1" applyAlignment="1">
      <alignment horizontal="center" vertical="center" wrapText="1"/>
    </xf>
    <xf numFmtId="0" fontId="26" fillId="0" borderId="27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26" fillId="0" borderId="29" xfId="1" applyFont="1" applyFill="1" applyBorder="1" applyAlignment="1">
      <alignment horizontal="center" vertical="center" wrapText="1"/>
    </xf>
    <xf numFmtId="0" fontId="26" fillId="0" borderId="30" xfId="1" applyFont="1" applyFill="1" applyBorder="1" applyAlignment="1">
      <alignment horizontal="center" vertical="center" wrapText="1"/>
    </xf>
    <xf numFmtId="0" fontId="26" fillId="0" borderId="24" xfId="1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/>
    </xf>
    <xf numFmtId="0" fontId="19" fillId="2" borderId="20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/>
    </xf>
    <xf numFmtId="0" fontId="20" fillId="2" borderId="20" xfId="0" applyFont="1" applyFill="1" applyBorder="1" applyAlignment="1">
      <alignment horizontal="center" vertical="center" wrapText="1"/>
    </xf>
    <xf numFmtId="0" fontId="20" fillId="2" borderId="22" xfId="0" applyFont="1" applyFill="1" applyBorder="1" applyAlignment="1">
      <alignment horizontal="center" vertical="center" wrapText="1"/>
    </xf>
    <xf numFmtId="0" fontId="20" fillId="2" borderId="21" xfId="0" applyFont="1" applyFill="1" applyBorder="1" applyAlignment="1">
      <alignment horizontal="center" vertical="center" wrapText="1"/>
    </xf>
    <xf numFmtId="0" fontId="24" fillId="0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0" fontId="13" fillId="2" borderId="15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/>
    </xf>
    <xf numFmtId="0" fontId="18" fillId="2" borderId="18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A46A316A-A780-4048-A172-97F49D81E41B}"/>
  </cellStyles>
  <dxfs count="28"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277939</xdr:colOff>
      <xdr:row>26</xdr:row>
      <xdr:rowOff>101376</xdr:rowOff>
    </xdr:from>
    <xdr:ext cx="0" cy="0"/>
    <xdr:sp macro="" textlink="">
      <xdr:nvSpPr>
        <xdr:cNvPr id="2" name="Shape 1172">
          <a:extLst>
            <a:ext uri="{FF2B5EF4-FFF2-40B4-BE49-F238E27FC236}">
              <a16:creationId xmlns:a16="http://schemas.microsoft.com/office/drawing/2014/main" id="{0C0D14F6-2A4A-4254-8DDA-4AEB534477E9}"/>
            </a:ext>
          </a:extLst>
        </xdr:cNvPr>
        <xdr:cNvSpPr/>
      </xdr:nvSpPr>
      <xdr:spPr>
        <a:xfrm>
          <a:off x="13098589" y="6959376"/>
          <a:ext cx="0" cy="0"/>
        </a:xfrm>
        <a:custGeom>
          <a:avLst/>
          <a:gdLst/>
          <a:ahLst/>
          <a:cxnLst/>
          <a:rect l="0" t="0" r="0" b="0"/>
          <a:pathLst>
            <a:path>
              <a:moveTo>
                <a:pt x="5148330" y="-13148473"/>
              </a:moveTo>
              <a:lnTo>
                <a:pt x="5148330" y="-13148473"/>
              </a:lnTo>
              <a:lnTo>
                <a:pt x="5148330" y="-13148473"/>
              </a:lnTo>
              <a:close/>
            </a:path>
            <a:path>
              <a:moveTo>
                <a:pt x="5148330" y="-13148473"/>
              </a:moveTo>
              <a:lnTo>
                <a:pt x="5148330" y="-13148473"/>
              </a:lnTo>
              <a:lnTo>
                <a:pt x="5148330" y="-13148473"/>
              </a:lnTo>
              <a:close/>
            </a:path>
          </a:pathLst>
        </a:custGeom>
        <a:ln w="3175">
          <a:solidFill>
            <a:srgbClr val="000000"/>
          </a:solidFill>
        </a:ln>
      </xdr:spPr>
    </xdr:sp>
    <xdr:clientData/>
  </xdr:oneCellAnchor>
  <xdr:oneCellAnchor>
    <xdr:from>
      <xdr:col>18</xdr:col>
      <xdr:colOff>765619</xdr:colOff>
      <xdr:row>24</xdr:row>
      <xdr:rowOff>363124</xdr:rowOff>
    </xdr:from>
    <xdr:ext cx="7620" cy="0"/>
    <xdr:sp macro="" textlink="">
      <xdr:nvSpPr>
        <xdr:cNvPr id="3" name="Shape 1179">
          <a:extLst>
            <a:ext uri="{FF2B5EF4-FFF2-40B4-BE49-F238E27FC236}">
              <a16:creationId xmlns:a16="http://schemas.microsoft.com/office/drawing/2014/main" id="{E75AA423-5732-46F7-8201-DC2EC000718A}"/>
            </a:ext>
          </a:extLst>
        </xdr:cNvPr>
        <xdr:cNvSpPr/>
      </xdr:nvSpPr>
      <xdr:spPr>
        <a:xfrm>
          <a:off x="14195869" y="6592474"/>
          <a:ext cx="7620" cy="0"/>
        </a:xfrm>
        <a:custGeom>
          <a:avLst/>
          <a:gdLst/>
          <a:ahLst/>
          <a:cxnLst/>
          <a:rect l="0" t="0" r="0" b="0"/>
          <a:pathLst>
            <a:path w="7620">
              <a:moveTo>
                <a:pt x="4955928" y="-12927571"/>
              </a:moveTo>
              <a:lnTo>
                <a:pt x="4956031" y="-12927571"/>
              </a:lnTo>
            </a:path>
            <a:path w="7620">
              <a:moveTo>
                <a:pt x="4958805" y="-12927571"/>
              </a:moveTo>
              <a:lnTo>
                <a:pt x="4952949" y="-12927571"/>
              </a:lnTo>
              <a:lnTo>
                <a:pt x="4953052" y="-12927571"/>
              </a:lnTo>
            </a:path>
          </a:pathLst>
        </a:custGeom>
        <a:ln w="3175">
          <a:solidFill>
            <a:srgbClr val="000000"/>
          </a:solidFill>
        </a:ln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277939</xdr:colOff>
      <xdr:row>26</xdr:row>
      <xdr:rowOff>101376</xdr:rowOff>
    </xdr:from>
    <xdr:ext cx="0" cy="0"/>
    <xdr:sp macro="" textlink="">
      <xdr:nvSpPr>
        <xdr:cNvPr id="2" name="Shape 1172">
          <a:extLst>
            <a:ext uri="{FF2B5EF4-FFF2-40B4-BE49-F238E27FC236}">
              <a16:creationId xmlns:a16="http://schemas.microsoft.com/office/drawing/2014/main" id="{5D0B7823-A72F-45AE-9655-46694EDC16F5}"/>
            </a:ext>
          </a:extLst>
        </xdr:cNvPr>
        <xdr:cNvSpPr/>
      </xdr:nvSpPr>
      <xdr:spPr>
        <a:xfrm>
          <a:off x="13508164" y="7654701"/>
          <a:ext cx="0" cy="0"/>
        </a:xfrm>
        <a:custGeom>
          <a:avLst/>
          <a:gdLst/>
          <a:ahLst/>
          <a:cxnLst/>
          <a:rect l="0" t="0" r="0" b="0"/>
          <a:pathLst>
            <a:path>
              <a:moveTo>
                <a:pt x="5148330" y="-13148473"/>
              </a:moveTo>
              <a:lnTo>
                <a:pt x="5148330" y="-13148473"/>
              </a:lnTo>
              <a:lnTo>
                <a:pt x="5148330" y="-13148473"/>
              </a:lnTo>
              <a:close/>
            </a:path>
            <a:path>
              <a:moveTo>
                <a:pt x="5148330" y="-13148473"/>
              </a:moveTo>
              <a:lnTo>
                <a:pt x="5148330" y="-13148473"/>
              </a:lnTo>
              <a:lnTo>
                <a:pt x="5148330" y="-13148473"/>
              </a:lnTo>
              <a:close/>
            </a:path>
          </a:pathLst>
        </a:custGeom>
        <a:ln w="3175">
          <a:solidFill>
            <a:srgbClr val="000000"/>
          </a:solidFill>
        </a:ln>
      </xdr:spPr>
    </xdr:sp>
    <xdr:clientData/>
  </xdr:oneCellAnchor>
  <xdr:oneCellAnchor>
    <xdr:from>
      <xdr:col>19</xdr:col>
      <xdr:colOff>0</xdr:colOff>
      <xdr:row>24</xdr:row>
      <xdr:rowOff>363124</xdr:rowOff>
    </xdr:from>
    <xdr:ext cx="7620" cy="0"/>
    <xdr:sp macro="" textlink="">
      <xdr:nvSpPr>
        <xdr:cNvPr id="3" name="Shape 1179">
          <a:extLst>
            <a:ext uri="{FF2B5EF4-FFF2-40B4-BE49-F238E27FC236}">
              <a16:creationId xmlns:a16="http://schemas.microsoft.com/office/drawing/2014/main" id="{C1CD2CCE-5F0B-435D-B313-35AE9BA4CA36}"/>
            </a:ext>
          </a:extLst>
        </xdr:cNvPr>
        <xdr:cNvSpPr/>
      </xdr:nvSpPr>
      <xdr:spPr>
        <a:xfrm>
          <a:off x="14605444" y="7278274"/>
          <a:ext cx="7620" cy="0"/>
        </a:xfrm>
        <a:custGeom>
          <a:avLst/>
          <a:gdLst/>
          <a:ahLst/>
          <a:cxnLst/>
          <a:rect l="0" t="0" r="0" b="0"/>
          <a:pathLst>
            <a:path w="7620">
              <a:moveTo>
                <a:pt x="4955928" y="-12927571"/>
              </a:moveTo>
              <a:lnTo>
                <a:pt x="4956031" y="-12927571"/>
              </a:lnTo>
            </a:path>
            <a:path w="7620">
              <a:moveTo>
                <a:pt x="4958805" y="-12927571"/>
              </a:moveTo>
              <a:lnTo>
                <a:pt x="4952949" y="-12927571"/>
              </a:lnTo>
              <a:lnTo>
                <a:pt x="4953052" y="-12927571"/>
              </a:lnTo>
            </a:path>
          </a:pathLst>
        </a:custGeom>
        <a:ln w="3175">
          <a:solidFill>
            <a:srgbClr val="000000"/>
          </a:solidFill>
        </a:ln>
      </xdr:spPr>
    </xdr:sp>
    <xdr:clientData/>
  </xdr:oneCellAnchor>
  <xdr:oneCellAnchor>
    <xdr:from>
      <xdr:col>16</xdr:col>
      <xdr:colOff>493522</xdr:colOff>
      <xdr:row>26</xdr:row>
      <xdr:rowOff>122285</xdr:rowOff>
    </xdr:from>
    <xdr:ext cx="635" cy="7620"/>
    <xdr:sp macro="" textlink="">
      <xdr:nvSpPr>
        <xdr:cNvPr id="4" name="Shape 1198">
          <a:extLst>
            <a:ext uri="{FF2B5EF4-FFF2-40B4-BE49-F238E27FC236}">
              <a16:creationId xmlns:a16="http://schemas.microsoft.com/office/drawing/2014/main" id="{52690918-63E2-44A5-9128-261DA4F34F15}"/>
            </a:ext>
          </a:extLst>
        </xdr:cNvPr>
        <xdr:cNvSpPr/>
      </xdr:nvSpPr>
      <xdr:spPr>
        <a:xfrm>
          <a:off x="12971272" y="6827885"/>
          <a:ext cx="635" cy="7620"/>
        </a:xfrm>
        <a:custGeom>
          <a:avLst/>
          <a:gdLst/>
          <a:ahLst/>
          <a:cxnLst/>
          <a:rect l="0" t="0" r="0" b="0"/>
          <a:pathLst>
            <a:path w="635" h="7620">
              <a:moveTo>
                <a:pt x="4376808" y="-11383156"/>
              </a:moveTo>
              <a:lnTo>
                <a:pt x="4376897" y="-11383156"/>
              </a:lnTo>
            </a:path>
            <a:path w="635" h="7620">
              <a:moveTo>
                <a:pt x="4376808" y="-11380838"/>
              </a:moveTo>
              <a:lnTo>
                <a:pt x="4376808" y="-11385474"/>
              </a:lnTo>
              <a:lnTo>
                <a:pt x="4376897" y="-11385474"/>
              </a:lnTo>
            </a:path>
          </a:pathLst>
        </a:custGeom>
        <a:ln w="3175">
          <a:solidFill>
            <a:srgbClr val="000000"/>
          </a:solidFill>
        </a:ln>
      </xdr:spPr>
    </xdr:sp>
    <xdr:clientData/>
  </xdr:oneCellAnchor>
  <xdr:oneCellAnchor>
    <xdr:from>
      <xdr:col>20</xdr:col>
      <xdr:colOff>33274</xdr:colOff>
      <xdr:row>26</xdr:row>
      <xdr:rowOff>122285</xdr:rowOff>
    </xdr:from>
    <xdr:ext cx="635" cy="7620"/>
    <xdr:sp macro="" textlink="">
      <xdr:nvSpPr>
        <xdr:cNvPr id="5" name="Shape 1384">
          <a:extLst>
            <a:ext uri="{FF2B5EF4-FFF2-40B4-BE49-F238E27FC236}">
              <a16:creationId xmlns:a16="http://schemas.microsoft.com/office/drawing/2014/main" id="{F88F2971-29EF-433B-90A8-963963548C05}"/>
            </a:ext>
          </a:extLst>
        </xdr:cNvPr>
        <xdr:cNvSpPr/>
      </xdr:nvSpPr>
      <xdr:spPr>
        <a:xfrm>
          <a:off x="15940024" y="6827885"/>
          <a:ext cx="635" cy="7620"/>
        </a:xfrm>
        <a:custGeom>
          <a:avLst/>
          <a:gdLst/>
          <a:ahLst/>
          <a:cxnLst/>
          <a:rect l="0" t="0" r="0" b="0"/>
          <a:pathLst>
            <a:path w="635" h="7620">
              <a:moveTo>
                <a:pt x="3734506" y="-11383156"/>
              </a:moveTo>
              <a:lnTo>
                <a:pt x="3734595" y="-11383156"/>
              </a:lnTo>
            </a:path>
            <a:path w="635" h="7620">
              <a:moveTo>
                <a:pt x="3734506" y="-11380838"/>
              </a:moveTo>
              <a:lnTo>
                <a:pt x="3734506" y="-11385474"/>
              </a:lnTo>
              <a:lnTo>
                <a:pt x="3734595" y="-11385474"/>
              </a:lnTo>
            </a:path>
          </a:pathLst>
        </a:custGeom>
        <a:ln w="3175">
          <a:solidFill>
            <a:srgbClr val="000000"/>
          </a:solidFill>
        </a:ln>
      </xdr:spPr>
    </xdr:sp>
    <xdr:clientData/>
  </xdr:oneCellAnchor>
  <xdr:oneCellAnchor>
    <xdr:from>
      <xdr:col>21</xdr:col>
      <xdr:colOff>255524</xdr:colOff>
      <xdr:row>25</xdr:row>
      <xdr:rowOff>345678</xdr:rowOff>
    </xdr:from>
    <xdr:ext cx="103505" cy="145669"/>
    <xdr:sp macro="" textlink="">
      <xdr:nvSpPr>
        <xdr:cNvPr id="6" name="Shape 1385">
          <a:extLst>
            <a:ext uri="{FF2B5EF4-FFF2-40B4-BE49-F238E27FC236}">
              <a16:creationId xmlns:a16="http://schemas.microsoft.com/office/drawing/2014/main" id="{1F1066E4-2D9D-48E8-8128-6C6502D8CD65}"/>
            </a:ext>
          </a:extLst>
        </xdr:cNvPr>
        <xdr:cNvSpPr/>
      </xdr:nvSpPr>
      <xdr:spPr>
        <a:xfrm>
          <a:off x="16848074" y="6708378"/>
          <a:ext cx="103505" cy="145669"/>
        </a:xfrm>
        <a:custGeom>
          <a:avLst/>
          <a:gdLst/>
          <a:ahLst/>
          <a:cxnLst/>
          <a:rect l="0" t="0" r="0" b="0"/>
          <a:pathLst>
            <a:path w="103505" h="151765">
              <a:moveTo>
                <a:pt x="3520417" y="-11238503"/>
              </a:moveTo>
              <a:lnTo>
                <a:pt x="3520506" y="-11238503"/>
              </a:lnTo>
            </a:path>
            <a:path w="103505" h="151765">
              <a:moveTo>
                <a:pt x="3522464" y="-11269381"/>
              </a:moveTo>
              <a:lnTo>
                <a:pt x="3592753" y="-11335111"/>
              </a:lnTo>
              <a:lnTo>
                <a:pt x="3592931" y="-11335111"/>
              </a:lnTo>
            </a:path>
            <a:path w="103505" h="151765">
              <a:moveTo>
                <a:pt x="3522464" y="-11335111"/>
              </a:moveTo>
              <a:lnTo>
                <a:pt x="3592753" y="-11269381"/>
              </a:lnTo>
              <a:lnTo>
                <a:pt x="3592931" y="-11269381"/>
              </a:lnTo>
            </a:path>
            <a:path w="103505" h="151765">
              <a:moveTo>
                <a:pt x="3520417" y="-11236185"/>
              </a:moveTo>
              <a:lnTo>
                <a:pt x="3520417" y="-11240821"/>
              </a:lnTo>
              <a:lnTo>
                <a:pt x="3520506" y="-11240821"/>
              </a:lnTo>
            </a:path>
          </a:pathLst>
        </a:custGeom>
        <a:ln w="3175">
          <a:solidFill>
            <a:srgbClr val="000000"/>
          </a:solidFill>
        </a:ln>
      </xdr:spPr>
    </xdr:sp>
    <xdr:clientData/>
  </xdr:oneCellAnchor>
  <xdr:oneCellAnchor>
    <xdr:from>
      <xdr:col>16</xdr:col>
      <xdr:colOff>433577</xdr:colOff>
      <xdr:row>25</xdr:row>
      <xdr:rowOff>305292</xdr:rowOff>
    </xdr:from>
    <xdr:ext cx="120015" cy="94869"/>
    <xdr:sp macro="" textlink="">
      <xdr:nvSpPr>
        <xdr:cNvPr id="7" name="Shape 1388">
          <a:extLst>
            <a:ext uri="{FF2B5EF4-FFF2-40B4-BE49-F238E27FC236}">
              <a16:creationId xmlns:a16="http://schemas.microsoft.com/office/drawing/2014/main" id="{894C5EBD-16BD-4523-BE41-D02DCC85F1C3}"/>
            </a:ext>
          </a:extLst>
        </xdr:cNvPr>
        <xdr:cNvSpPr/>
      </xdr:nvSpPr>
      <xdr:spPr>
        <a:xfrm>
          <a:off x="12911327" y="6706092"/>
          <a:ext cx="120015" cy="94869"/>
        </a:xfrm>
        <a:custGeom>
          <a:avLst/>
          <a:gdLst/>
          <a:ahLst/>
          <a:cxnLst/>
          <a:rect l="0" t="0" r="0" b="0"/>
          <a:pathLst>
            <a:path w="100965" h="100965">
              <a:moveTo>
                <a:pt x="4394757" y="-11255486"/>
              </a:moveTo>
              <a:lnTo>
                <a:pt x="4465313" y="-11321050"/>
              </a:lnTo>
              <a:lnTo>
                <a:pt x="4465402" y="-11321050"/>
              </a:lnTo>
            </a:path>
            <a:path w="100965" h="100965">
              <a:moveTo>
                <a:pt x="4394757" y="-11321050"/>
              </a:moveTo>
              <a:lnTo>
                <a:pt x="4465313" y="-11255486"/>
              </a:lnTo>
              <a:lnTo>
                <a:pt x="4465402" y="-11255486"/>
              </a:lnTo>
            </a:path>
          </a:pathLst>
        </a:custGeom>
        <a:ln w="3175">
          <a:solidFill>
            <a:srgbClr val="000000"/>
          </a:solidFill>
        </a:ln>
      </xdr:spPr>
    </xdr:sp>
    <xdr:clientData/>
  </xdr:oneCellAnchor>
  <xdr:oneCellAnchor>
    <xdr:from>
      <xdr:col>17</xdr:col>
      <xdr:colOff>665353</xdr:colOff>
      <xdr:row>23</xdr:row>
      <xdr:rowOff>63801</xdr:rowOff>
    </xdr:from>
    <xdr:ext cx="7620" cy="0"/>
    <xdr:sp macro="" textlink="">
      <xdr:nvSpPr>
        <xdr:cNvPr id="8" name="Shape 1397">
          <a:extLst>
            <a:ext uri="{FF2B5EF4-FFF2-40B4-BE49-F238E27FC236}">
              <a16:creationId xmlns:a16="http://schemas.microsoft.com/office/drawing/2014/main" id="{ADC416AD-14B5-4814-B623-27396F060A15}"/>
            </a:ext>
          </a:extLst>
        </xdr:cNvPr>
        <xdr:cNvSpPr/>
      </xdr:nvSpPr>
      <xdr:spPr>
        <a:xfrm>
          <a:off x="14514703" y="5969301"/>
          <a:ext cx="7620" cy="0"/>
        </a:xfrm>
        <a:custGeom>
          <a:avLst/>
          <a:gdLst/>
          <a:ahLst/>
          <a:cxnLst/>
          <a:rect l="0" t="0" r="0" b="0"/>
          <a:pathLst>
            <a:path w="7620">
              <a:moveTo>
                <a:pt x="4023259" y="-10976646"/>
              </a:moveTo>
              <a:lnTo>
                <a:pt x="4023348" y="-10976646"/>
              </a:lnTo>
            </a:path>
            <a:path w="7620">
              <a:moveTo>
                <a:pt x="4025839" y="-10976646"/>
              </a:moveTo>
              <a:lnTo>
                <a:pt x="4020768" y="-10976646"/>
              </a:lnTo>
              <a:lnTo>
                <a:pt x="4020946" y="-10976646"/>
              </a:lnTo>
            </a:path>
          </a:pathLst>
        </a:custGeom>
        <a:ln w="3175">
          <a:solidFill>
            <a:srgbClr val="000000"/>
          </a:solidFill>
        </a:ln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0</xdr:colOff>
      <xdr:row>26</xdr:row>
      <xdr:rowOff>101376</xdr:rowOff>
    </xdr:from>
    <xdr:ext cx="0" cy="0"/>
    <xdr:sp macro="" textlink="">
      <xdr:nvSpPr>
        <xdr:cNvPr id="2" name="Shape 1172">
          <a:extLst>
            <a:ext uri="{FF2B5EF4-FFF2-40B4-BE49-F238E27FC236}">
              <a16:creationId xmlns:a16="http://schemas.microsoft.com/office/drawing/2014/main" id="{108DB70E-7EC5-41DF-8FAB-1596F2EB8B37}"/>
            </a:ext>
          </a:extLst>
        </xdr:cNvPr>
        <xdr:cNvSpPr/>
      </xdr:nvSpPr>
      <xdr:spPr>
        <a:xfrm>
          <a:off x="13508164" y="7654701"/>
          <a:ext cx="0" cy="0"/>
        </a:xfrm>
        <a:custGeom>
          <a:avLst/>
          <a:gdLst/>
          <a:ahLst/>
          <a:cxnLst/>
          <a:rect l="0" t="0" r="0" b="0"/>
          <a:pathLst>
            <a:path>
              <a:moveTo>
                <a:pt x="5148330" y="-13148473"/>
              </a:moveTo>
              <a:lnTo>
                <a:pt x="5148330" y="-13148473"/>
              </a:lnTo>
              <a:lnTo>
                <a:pt x="5148330" y="-13148473"/>
              </a:lnTo>
              <a:close/>
            </a:path>
            <a:path>
              <a:moveTo>
                <a:pt x="5148330" y="-13148473"/>
              </a:moveTo>
              <a:lnTo>
                <a:pt x="5148330" y="-13148473"/>
              </a:lnTo>
              <a:lnTo>
                <a:pt x="5148330" y="-13148473"/>
              </a:lnTo>
              <a:close/>
            </a:path>
          </a:pathLst>
        </a:custGeom>
        <a:ln w="3175">
          <a:solidFill>
            <a:srgbClr val="000000"/>
          </a:solidFill>
        </a:ln>
      </xdr:spPr>
    </xdr:sp>
    <xdr:clientData/>
  </xdr:oneCellAnchor>
  <xdr:oneCellAnchor>
    <xdr:from>
      <xdr:col>16</xdr:col>
      <xdr:colOff>0</xdr:colOff>
      <xdr:row>24</xdr:row>
      <xdr:rowOff>363124</xdr:rowOff>
    </xdr:from>
    <xdr:ext cx="7620" cy="0"/>
    <xdr:sp macro="" textlink="">
      <xdr:nvSpPr>
        <xdr:cNvPr id="3" name="Shape 1179">
          <a:extLst>
            <a:ext uri="{FF2B5EF4-FFF2-40B4-BE49-F238E27FC236}">
              <a16:creationId xmlns:a16="http://schemas.microsoft.com/office/drawing/2014/main" id="{B8DE3498-032E-4456-AB7A-8FA47E405A47}"/>
            </a:ext>
          </a:extLst>
        </xdr:cNvPr>
        <xdr:cNvSpPr/>
      </xdr:nvSpPr>
      <xdr:spPr>
        <a:xfrm>
          <a:off x="14605444" y="7278274"/>
          <a:ext cx="7620" cy="0"/>
        </a:xfrm>
        <a:custGeom>
          <a:avLst/>
          <a:gdLst/>
          <a:ahLst/>
          <a:cxnLst/>
          <a:rect l="0" t="0" r="0" b="0"/>
          <a:pathLst>
            <a:path w="7620">
              <a:moveTo>
                <a:pt x="4955928" y="-12927571"/>
              </a:moveTo>
              <a:lnTo>
                <a:pt x="4956031" y="-12927571"/>
              </a:lnTo>
            </a:path>
            <a:path w="7620">
              <a:moveTo>
                <a:pt x="4958805" y="-12927571"/>
              </a:moveTo>
              <a:lnTo>
                <a:pt x="4952949" y="-12927571"/>
              </a:lnTo>
              <a:lnTo>
                <a:pt x="4953052" y="-12927571"/>
              </a:lnTo>
            </a:path>
          </a:pathLst>
        </a:custGeom>
        <a:ln w="3175">
          <a:solidFill>
            <a:srgbClr val="000000"/>
          </a:solidFill>
        </a:ln>
      </xdr:spPr>
    </xdr:sp>
    <xdr:clientData/>
  </xdr:oneCellAnchor>
  <xdr:oneCellAnchor>
    <xdr:from>
      <xdr:col>17</xdr:col>
      <xdr:colOff>0</xdr:colOff>
      <xdr:row>20</xdr:row>
      <xdr:rowOff>485738</xdr:rowOff>
    </xdr:from>
    <xdr:ext cx="410845" cy="112395"/>
    <xdr:sp macro="" textlink="">
      <xdr:nvSpPr>
        <xdr:cNvPr id="4" name="Shape 713">
          <a:extLst>
            <a:ext uri="{FF2B5EF4-FFF2-40B4-BE49-F238E27FC236}">
              <a16:creationId xmlns:a16="http://schemas.microsoft.com/office/drawing/2014/main" id="{51161CFB-A77C-49E9-BBEF-5BCAA779F51D}"/>
            </a:ext>
          </a:extLst>
        </xdr:cNvPr>
        <xdr:cNvSpPr/>
      </xdr:nvSpPr>
      <xdr:spPr>
        <a:xfrm>
          <a:off x="12658725" y="5581613"/>
          <a:ext cx="410845" cy="112395"/>
        </a:xfrm>
        <a:custGeom>
          <a:avLst/>
          <a:gdLst/>
          <a:ahLst/>
          <a:cxnLst/>
          <a:rect l="0" t="0" r="0" b="0"/>
          <a:pathLst>
            <a:path w="410845" h="112395">
              <a:moveTo>
                <a:pt x="5304366" y="-11455685"/>
              </a:moveTo>
              <a:lnTo>
                <a:pt x="5304366" y="-11530912"/>
              </a:lnTo>
              <a:lnTo>
                <a:pt x="5304459" y="-11530912"/>
              </a:lnTo>
            </a:path>
            <a:path w="410845" h="112395">
              <a:moveTo>
                <a:pt x="5304366" y="-11480733"/>
              </a:moveTo>
              <a:lnTo>
                <a:pt x="5331826" y="-11505865"/>
              </a:lnTo>
              <a:lnTo>
                <a:pt x="5345416" y="-11505865"/>
              </a:lnTo>
              <a:lnTo>
                <a:pt x="5359100" y="-11493256"/>
              </a:lnTo>
              <a:lnTo>
                <a:pt x="5359100" y="-11455685"/>
              </a:lnTo>
              <a:lnTo>
                <a:pt x="5359286" y="-11455685"/>
              </a:lnTo>
            </a:path>
            <a:path w="410845" h="112395">
              <a:moveTo>
                <a:pt x="5386466" y="-11493256"/>
              </a:moveTo>
              <a:lnTo>
                <a:pt x="5441107" y="-11493256"/>
              </a:lnTo>
              <a:lnTo>
                <a:pt x="5441200" y="-11493256"/>
              </a:lnTo>
            </a:path>
            <a:path w="410845" h="112395">
              <a:moveTo>
                <a:pt x="5468380" y="-11518389"/>
              </a:moveTo>
              <a:lnTo>
                <a:pt x="5482064" y="-11530912"/>
              </a:lnTo>
              <a:lnTo>
                <a:pt x="5509523" y="-11530912"/>
              </a:lnTo>
              <a:lnTo>
                <a:pt x="5523207" y="-11518389"/>
              </a:lnTo>
              <a:lnTo>
                <a:pt x="5523207" y="-11505865"/>
              </a:lnTo>
              <a:lnTo>
                <a:pt x="5509523" y="-11493256"/>
              </a:lnTo>
              <a:lnTo>
                <a:pt x="5482064" y="-11493256"/>
              </a:lnTo>
              <a:lnTo>
                <a:pt x="5468380" y="-11480733"/>
              </a:lnTo>
              <a:lnTo>
                <a:pt x="5468380" y="-11455685"/>
              </a:lnTo>
              <a:lnTo>
                <a:pt x="5523207" y="-11455685"/>
              </a:lnTo>
            </a:path>
            <a:path w="410845" h="112395">
              <a:moveTo>
                <a:pt x="5605121" y="-11505865"/>
              </a:moveTo>
              <a:lnTo>
                <a:pt x="5564164" y="-11505865"/>
              </a:lnTo>
              <a:lnTo>
                <a:pt x="5550480" y="-11493256"/>
              </a:lnTo>
              <a:lnTo>
                <a:pt x="5550480" y="-11468209"/>
              </a:lnTo>
              <a:lnTo>
                <a:pt x="5564164" y="-11455685"/>
              </a:lnTo>
              <a:lnTo>
                <a:pt x="5605121" y="-11455685"/>
              </a:lnTo>
              <a:lnTo>
                <a:pt x="5605307" y="-11455685"/>
              </a:lnTo>
            </a:path>
          </a:pathLst>
        </a:custGeom>
        <a:ln w="3175">
          <a:solidFill>
            <a:srgbClr val="000000"/>
          </a:solidFill>
        </a:ln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9F27-2DF1-477A-8902-E533FD2190F7}">
  <sheetPr>
    <pageSetUpPr fitToPage="1"/>
  </sheetPr>
  <dimension ref="A1:AE71"/>
  <sheetViews>
    <sheetView showGridLines="0" tabSelected="1" view="pageBreakPreview" topLeftCell="A7" zoomScale="60" zoomScaleNormal="100" workbookViewId="0">
      <selection activeCell="O23" sqref="O23"/>
    </sheetView>
  </sheetViews>
  <sheetFormatPr defaultRowHeight="18" x14ac:dyDescent="0.2"/>
  <cols>
    <col min="1" max="1" width="12.625" style="31" bestFit="1" customWidth="1"/>
    <col min="2" max="2" width="9" style="31"/>
    <col min="3" max="3" width="15.875" style="31" bestFit="1" customWidth="1"/>
    <col min="4" max="4" width="9" style="31"/>
    <col min="5" max="5" width="14.25" style="31" bestFit="1" customWidth="1"/>
    <col min="6" max="6" width="9" style="31" customWidth="1"/>
    <col min="7" max="7" width="11.125" style="31" customWidth="1"/>
    <col min="8" max="8" width="9" style="31"/>
    <col min="9" max="9" width="9" style="31" customWidth="1"/>
    <col min="10" max="10" width="10.875" style="31" customWidth="1"/>
    <col min="11" max="11" width="9" style="31"/>
    <col min="12" max="12" width="13.375" style="31" customWidth="1"/>
    <col min="13" max="14" width="9" style="31"/>
    <col min="15" max="15" width="9.375" style="31" customWidth="1"/>
    <col min="16" max="16384" width="9" style="31"/>
  </cols>
  <sheetData>
    <row r="1" spans="1:31" x14ac:dyDescent="0.2">
      <c r="A1" s="32">
        <v>37</v>
      </c>
      <c r="C1" s="32" t="s">
        <v>44</v>
      </c>
      <c r="E1" s="32">
        <v>0.1</v>
      </c>
      <c r="F1" s="32" t="s">
        <v>102</v>
      </c>
      <c r="Q1" s="33"/>
      <c r="R1" s="33"/>
      <c r="S1" s="33"/>
      <c r="T1" s="33"/>
      <c r="U1" s="89" t="s">
        <v>5</v>
      </c>
      <c r="V1" s="89"/>
      <c r="W1" s="33"/>
      <c r="X1" s="33"/>
      <c r="Y1" s="33"/>
      <c r="Z1" s="33"/>
      <c r="AA1" s="33"/>
      <c r="AB1" s="33"/>
      <c r="AC1" s="33"/>
      <c r="AD1" s="33"/>
      <c r="AE1" s="33"/>
    </row>
    <row r="2" spans="1:31" x14ac:dyDescent="0.2">
      <c r="A2" s="32">
        <v>44</v>
      </c>
      <c r="C2" s="32" t="s">
        <v>45</v>
      </c>
      <c r="E2" s="32">
        <v>0.25</v>
      </c>
      <c r="F2" s="32" t="s">
        <v>103</v>
      </c>
      <c r="Q2" s="34" t="s">
        <v>6</v>
      </c>
      <c r="R2" s="34" t="s">
        <v>7</v>
      </c>
      <c r="S2" s="34" t="s">
        <v>8</v>
      </c>
      <c r="T2" s="87" t="s">
        <v>9</v>
      </c>
      <c r="U2" s="87"/>
      <c r="V2" s="87"/>
      <c r="W2" s="87"/>
      <c r="X2" s="87"/>
      <c r="Y2" s="87"/>
      <c r="Z2" s="87" t="s">
        <v>10</v>
      </c>
      <c r="AA2" s="87"/>
      <c r="AB2" s="87"/>
      <c r="AC2" s="87" t="s">
        <v>11</v>
      </c>
      <c r="AD2" s="87"/>
      <c r="AE2" s="87"/>
    </row>
    <row r="3" spans="1:31" ht="42" x14ac:dyDescent="0.2">
      <c r="A3" s="32">
        <v>52</v>
      </c>
      <c r="C3" s="32" t="s">
        <v>46</v>
      </c>
      <c r="Q3" s="34" t="s">
        <v>12</v>
      </c>
      <c r="R3" s="34" t="s">
        <v>13</v>
      </c>
      <c r="S3" s="34" t="s">
        <v>14</v>
      </c>
      <c r="T3" s="34" t="s">
        <v>15</v>
      </c>
      <c r="U3" s="34" t="s">
        <v>16</v>
      </c>
      <c r="V3" s="34" t="s">
        <v>17</v>
      </c>
      <c r="W3" s="34" t="s">
        <v>18</v>
      </c>
      <c r="X3" s="34" t="s">
        <v>19</v>
      </c>
      <c r="Y3" s="34" t="s">
        <v>20</v>
      </c>
      <c r="Z3" s="34" t="s">
        <v>21</v>
      </c>
      <c r="AA3" s="34" t="s">
        <v>22</v>
      </c>
      <c r="AB3" s="34" t="s">
        <v>23</v>
      </c>
      <c r="AC3" s="34" t="s">
        <v>24</v>
      </c>
      <c r="AD3" s="34" t="s">
        <v>25</v>
      </c>
      <c r="AE3" s="34" t="s">
        <v>26</v>
      </c>
    </row>
    <row r="4" spans="1:31" ht="18.75" x14ac:dyDescent="0.2">
      <c r="E4" s="91" t="s">
        <v>120</v>
      </c>
      <c r="F4" s="91"/>
      <c r="G4" s="91"/>
      <c r="H4" s="91"/>
      <c r="I4" s="91"/>
      <c r="J4" s="91"/>
      <c r="K4" s="91"/>
      <c r="M4" s="67">
        <v>10</v>
      </c>
      <c r="N4" s="67">
        <v>2</v>
      </c>
      <c r="O4" s="82" t="s">
        <v>203</v>
      </c>
      <c r="Q4" s="35">
        <v>100</v>
      </c>
      <c r="R4" s="35">
        <v>26</v>
      </c>
      <c r="S4" s="36">
        <v>20.399999999999999</v>
      </c>
      <c r="T4" s="35">
        <v>100</v>
      </c>
      <c r="U4" s="35">
        <v>100</v>
      </c>
      <c r="V4" s="35">
        <v>6</v>
      </c>
      <c r="W4" s="35">
        <v>10</v>
      </c>
      <c r="X4" s="35">
        <v>22</v>
      </c>
      <c r="Y4" s="35">
        <v>56</v>
      </c>
      <c r="Z4" s="35">
        <v>450</v>
      </c>
      <c r="AA4" s="36">
        <v>89.9</v>
      </c>
      <c r="AB4" s="37">
        <v>4.16</v>
      </c>
      <c r="AC4" s="35">
        <v>167</v>
      </c>
      <c r="AD4" s="36">
        <v>33.5</v>
      </c>
      <c r="AE4" s="37">
        <v>2.5299999999999998</v>
      </c>
    </row>
    <row r="5" spans="1:31" ht="18.75" x14ac:dyDescent="0.2">
      <c r="A5" s="46" t="s">
        <v>202</v>
      </c>
      <c r="B5" s="92">
        <v>37</v>
      </c>
      <c r="C5" s="92"/>
      <c r="D5" s="39"/>
      <c r="E5" s="88" t="s">
        <v>54</v>
      </c>
      <c r="F5" s="85"/>
      <c r="G5" s="39"/>
      <c r="H5" s="39"/>
      <c r="I5" s="39"/>
      <c r="J5" s="39"/>
      <c r="K5" s="39"/>
      <c r="L5" s="39"/>
      <c r="M5" s="81">
        <v>7.5</v>
      </c>
      <c r="N5" s="67">
        <v>2</v>
      </c>
      <c r="O5" s="82" t="s">
        <v>204</v>
      </c>
      <c r="Q5" s="35">
        <v>120</v>
      </c>
      <c r="R5" s="35">
        <v>34</v>
      </c>
      <c r="S5" s="36">
        <v>26.7</v>
      </c>
      <c r="T5" s="35">
        <v>120</v>
      </c>
      <c r="U5" s="35">
        <v>120</v>
      </c>
      <c r="V5" s="36">
        <v>6.5</v>
      </c>
      <c r="W5" s="35">
        <v>11</v>
      </c>
      <c r="X5" s="35">
        <v>23</v>
      </c>
      <c r="Y5" s="35">
        <v>74</v>
      </c>
      <c r="Z5" s="35">
        <v>864</v>
      </c>
      <c r="AA5" s="35">
        <v>144</v>
      </c>
      <c r="AB5" s="37">
        <v>5.04</v>
      </c>
      <c r="AC5" s="35">
        <v>318</v>
      </c>
      <c r="AD5" s="36">
        <v>52.9</v>
      </c>
      <c r="AE5" s="37">
        <v>3.06</v>
      </c>
    </row>
    <row r="6" spans="1:31" ht="21" x14ac:dyDescent="0.2">
      <c r="A6" s="46" t="s">
        <v>122</v>
      </c>
      <c r="B6" s="60">
        <f>IF(B5=A1,2.4,IF(B5=A2,2.8,3.6))</f>
        <v>2.4</v>
      </c>
      <c r="C6" s="60" t="s">
        <v>3</v>
      </c>
      <c r="D6" s="39"/>
      <c r="E6" s="48" t="s">
        <v>108</v>
      </c>
      <c r="F6" s="39">
        <f>B19*10^-3</f>
        <v>0.127</v>
      </c>
      <c r="G6" s="39" t="s">
        <v>208</v>
      </c>
      <c r="H6" s="39"/>
      <c r="I6" s="39"/>
      <c r="J6" s="39"/>
      <c r="K6" s="39"/>
      <c r="L6" s="39"/>
      <c r="M6" s="69">
        <f>M4-M5</f>
        <v>2.5</v>
      </c>
      <c r="N6" s="69">
        <v>2</v>
      </c>
      <c r="O6" s="83" t="s">
        <v>205</v>
      </c>
      <c r="Q6" s="35">
        <v>140</v>
      </c>
      <c r="R6" s="35">
        <v>43</v>
      </c>
      <c r="S6" s="36">
        <v>33.700000000000003</v>
      </c>
      <c r="T6" s="35">
        <v>140</v>
      </c>
      <c r="U6" s="35">
        <v>140</v>
      </c>
      <c r="V6" s="35">
        <v>7</v>
      </c>
      <c r="W6" s="35">
        <v>12</v>
      </c>
      <c r="X6" s="35">
        <v>24</v>
      </c>
      <c r="Y6" s="35">
        <v>92</v>
      </c>
      <c r="Z6" s="35">
        <v>1510</v>
      </c>
      <c r="AA6" s="35">
        <v>216</v>
      </c>
      <c r="AB6" s="37">
        <v>5.93</v>
      </c>
      <c r="AC6" s="35">
        <v>550</v>
      </c>
      <c r="AD6" s="36">
        <v>78.5</v>
      </c>
      <c r="AE6" s="37">
        <v>3.58</v>
      </c>
    </row>
    <row r="7" spans="1:31" ht="21" x14ac:dyDescent="0.2">
      <c r="A7" s="46" t="s">
        <v>123</v>
      </c>
      <c r="B7" s="60">
        <f>IF(B5=A1,3.7,IF(B5=A2,4.4,5.2))</f>
        <v>3.7</v>
      </c>
      <c r="C7" s="60" t="s">
        <v>3</v>
      </c>
      <c r="D7" s="39"/>
      <c r="E7" s="48" t="s">
        <v>109</v>
      </c>
      <c r="F7" s="39">
        <f>F6*((B10^2)/8)*0.01</f>
        <v>57.15</v>
      </c>
      <c r="G7" s="39" t="s">
        <v>56</v>
      </c>
      <c r="H7" s="39"/>
      <c r="I7" s="39"/>
      <c r="J7" s="39"/>
      <c r="K7" s="39"/>
      <c r="L7" s="39"/>
      <c r="M7" s="69"/>
      <c r="N7" s="69">
        <v>2</v>
      </c>
      <c r="O7" s="83" t="s">
        <v>206</v>
      </c>
      <c r="Q7" s="35">
        <v>160</v>
      </c>
      <c r="R7" s="36">
        <v>54.3</v>
      </c>
      <c r="S7" s="36">
        <v>42.6</v>
      </c>
      <c r="T7" s="35">
        <v>160</v>
      </c>
      <c r="U7" s="35">
        <v>160</v>
      </c>
      <c r="V7" s="35">
        <v>8</v>
      </c>
      <c r="W7" s="35">
        <v>13</v>
      </c>
      <c r="X7" s="35">
        <v>28</v>
      </c>
      <c r="Y7" s="35">
        <v>104</v>
      </c>
      <c r="Z7" s="35">
        <v>2490</v>
      </c>
      <c r="AA7" s="35">
        <v>311</v>
      </c>
      <c r="AB7" s="37">
        <v>6.78</v>
      </c>
      <c r="AC7" s="35">
        <v>889</v>
      </c>
      <c r="AD7" s="35">
        <v>111</v>
      </c>
      <c r="AE7" s="37">
        <v>4.05</v>
      </c>
    </row>
    <row r="8" spans="1:31" ht="21" x14ac:dyDescent="0.2">
      <c r="A8" s="45"/>
      <c r="B8" s="39"/>
      <c r="C8" s="39"/>
      <c r="D8" s="39"/>
      <c r="E8" s="48" t="s">
        <v>110</v>
      </c>
      <c r="F8" s="39">
        <f>F6*0.5*B10*0.01</f>
        <v>0.38100000000000001</v>
      </c>
      <c r="G8" s="39" t="s">
        <v>57</v>
      </c>
      <c r="H8" s="39"/>
      <c r="I8" s="85" t="s">
        <v>105</v>
      </c>
      <c r="J8" s="85"/>
      <c r="K8" s="85"/>
      <c r="L8" s="39"/>
      <c r="M8" s="69"/>
      <c r="N8" s="69">
        <v>2</v>
      </c>
      <c r="O8" s="83" t="s">
        <v>207</v>
      </c>
      <c r="Q8" s="35">
        <v>180</v>
      </c>
      <c r="R8" s="36">
        <v>65.3</v>
      </c>
      <c r="S8" s="36">
        <v>51.2</v>
      </c>
      <c r="T8" s="35">
        <v>180</v>
      </c>
      <c r="U8" s="35">
        <v>180</v>
      </c>
      <c r="V8" s="36">
        <v>8.5</v>
      </c>
      <c r="W8" s="35">
        <v>14</v>
      </c>
      <c r="X8" s="35">
        <v>29</v>
      </c>
      <c r="Y8" s="35">
        <v>122</v>
      </c>
      <c r="Z8" s="35">
        <v>3830</v>
      </c>
      <c r="AA8" s="35">
        <v>426</v>
      </c>
      <c r="AB8" s="37">
        <v>7.66</v>
      </c>
      <c r="AC8" s="35">
        <v>1360</v>
      </c>
      <c r="AD8" s="35">
        <v>151</v>
      </c>
      <c r="AE8" s="37">
        <v>4.57</v>
      </c>
    </row>
    <row r="9" spans="1:31" ht="21" x14ac:dyDescent="0.2">
      <c r="A9" s="90" t="s">
        <v>119</v>
      </c>
      <c r="B9" s="90"/>
      <c r="C9" s="90"/>
      <c r="D9" s="39"/>
      <c r="E9" s="38"/>
      <c r="F9" s="39"/>
      <c r="G9" s="39"/>
      <c r="H9" s="39"/>
      <c r="I9" s="39" t="s">
        <v>128</v>
      </c>
      <c r="J9" s="39">
        <f>1.2*F7+1.6*F12*(1+B11)</f>
        <v>3068.58</v>
      </c>
      <c r="K9" s="39" t="s">
        <v>56</v>
      </c>
      <c r="L9" s="39"/>
      <c r="M9" s="39"/>
      <c r="N9" s="39"/>
      <c r="O9" s="39"/>
      <c r="Q9" s="35">
        <v>200</v>
      </c>
      <c r="R9" s="36">
        <v>78.099999999999994</v>
      </c>
      <c r="S9" s="36">
        <v>61.3</v>
      </c>
      <c r="T9" s="35">
        <v>200</v>
      </c>
      <c r="U9" s="35">
        <v>200</v>
      </c>
      <c r="V9" s="35">
        <v>9</v>
      </c>
      <c r="W9" s="35">
        <v>15</v>
      </c>
      <c r="X9" s="35">
        <v>33</v>
      </c>
      <c r="Y9" s="35">
        <v>134</v>
      </c>
      <c r="Z9" s="35">
        <v>5700</v>
      </c>
      <c r="AA9" s="35">
        <v>570</v>
      </c>
      <c r="AB9" s="37">
        <v>8.5399999999999991</v>
      </c>
      <c r="AC9" s="35">
        <v>2000</v>
      </c>
      <c r="AD9" s="35">
        <v>200</v>
      </c>
      <c r="AE9" s="37">
        <v>5.07</v>
      </c>
    </row>
    <row r="10" spans="1:31" ht="21" x14ac:dyDescent="0.2">
      <c r="A10" s="47" t="s">
        <v>30</v>
      </c>
      <c r="B10" s="61">
        <v>600</v>
      </c>
      <c r="C10" s="60" t="s">
        <v>31</v>
      </c>
      <c r="D10" s="39"/>
      <c r="E10" s="88" t="s">
        <v>58</v>
      </c>
      <c r="F10" s="85"/>
      <c r="G10" s="39"/>
      <c r="H10" s="39"/>
      <c r="I10" s="39" t="s">
        <v>127</v>
      </c>
      <c r="J10" s="39">
        <f>1.6*0.1*F12</f>
        <v>240.00000000000006</v>
      </c>
      <c r="K10" s="39" t="s">
        <v>56</v>
      </c>
      <c r="L10" s="39"/>
      <c r="M10" s="39"/>
      <c r="N10" s="39"/>
      <c r="O10" s="39"/>
      <c r="Q10" s="35">
        <v>220</v>
      </c>
      <c r="R10" s="35">
        <v>91</v>
      </c>
      <c r="S10" s="36">
        <v>71.5</v>
      </c>
      <c r="T10" s="35">
        <v>220</v>
      </c>
      <c r="U10" s="35">
        <v>220</v>
      </c>
      <c r="V10" s="36">
        <v>9.5</v>
      </c>
      <c r="W10" s="35">
        <v>16</v>
      </c>
      <c r="X10" s="35">
        <v>34</v>
      </c>
      <c r="Y10" s="35">
        <v>152</v>
      </c>
      <c r="Z10" s="35">
        <v>8090</v>
      </c>
      <c r="AA10" s="35">
        <v>736</v>
      </c>
      <c r="AB10" s="37">
        <v>9.43</v>
      </c>
      <c r="AC10" s="35">
        <v>2840</v>
      </c>
      <c r="AD10" s="35">
        <v>258</v>
      </c>
      <c r="AE10" s="37">
        <v>5.59</v>
      </c>
    </row>
    <row r="11" spans="1:31" ht="36" x14ac:dyDescent="0.2">
      <c r="A11" s="47" t="s">
        <v>59</v>
      </c>
      <c r="B11" s="61">
        <v>0.25</v>
      </c>
      <c r="C11" s="60" t="s">
        <v>43</v>
      </c>
      <c r="D11" s="39"/>
      <c r="E11" s="48" t="s">
        <v>111</v>
      </c>
      <c r="F11" s="39">
        <f>(B12*(0.5*B10+0.25*B13)+B12*(0.5*B10-0.75*B13))/B10</f>
        <v>6.666666666666667</v>
      </c>
      <c r="G11" s="39" t="s">
        <v>57</v>
      </c>
      <c r="H11" s="39"/>
      <c r="I11" s="39" t="s">
        <v>126</v>
      </c>
      <c r="J11" s="39">
        <f>1.2*F8+1.6*F13*(1+B11)</f>
        <v>27.123866666666672</v>
      </c>
      <c r="K11" s="39" t="s">
        <v>57</v>
      </c>
      <c r="L11" s="39"/>
      <c r="M11" s="39"/>
      <c r="N11" s="39"/>
      <c r="O11" s="39"/>
      <c r="Q11" s="35">
        <v>240</v>
      </c>
      <c r="R11" s="35">
        <v>106</v>
      </c>
      <c r="S11" s="36">
        <v>83.2</v>
      </c>
      <c r="T11" s="35">
        <v>240</v>
      </c>
      <c r="U11" s="35">
        <v>240</v>
      </c>
      <c r="V11" s="35">
        <v>10</v>
      </c>
      <c r="W11" s="35">
        <v>17</v>
      </c>
      <c r="X11" s="35">
        <v>38</v>
      </c>
      <c r="Y11" s="35">
        <v>164</v>
      </c>
      <c r="Z11" s="35">
        <v>11260</v>
      </c>
      <c r="AA11" s="35">
        <v>938</v>
      </c>
      <c r="AB11" s="36">
        <v>10.3</v>
      </c>
      <c r="AC11" s="35">
        <v>3920</v>
      </c>
      <c r="AD11" s="35">
        <v>327</v>
      </c>
      <c r="AE11" s="37">
        <v>6.08</v>
      </c>
    </row>
    <row r="12" spans="1:31" ht="21" x14ac:dyDescent="0.2">
      <c r="A12" s="47" t="s">
        <v>89</v>
      </c>
      <c r="B12" s="61">
        <v>10</v>
      </c>
      <c r="C12" s="60" t="s">
        <v>57</v>
      </c>
      <c r="D12" s="39"/>
      <c r="E12" s="48" t="s">
        <v>112</v>
      </c>
      <c r="F12" s="39">
        <f>MAX(F11*(0.5*B10-0.25*B13),B12*0.25*B10)</f>
        <v>1500</v>
      </c>
      <c r="G12" s="39" t="s">
        <v>56</v>
      </c>
      <c r="H12" s="39"/>
      <c r="I12" s="39"/>
      <c r="J12" s="39"/>
      <c r="K12" s="39"/>
      <c r="L12" s="39"/>
      <c r="M12" s="39"/>
      <c r="N12" s="39"/>
      <c r="O12" s="39"/>
      <c r="Q12" s="35">
        <v>260</v>
      </c>
      <c r="R12" s="35">
        <v>118</v>
      </c>
      <c r="S12" s="35">
        <v>93</v>
      </c>
      <c r="T12" s="35">
        <v>260</v>
      </c>
      <c r="U12" s="35">
        <v>260</v>
      </c>
      <c r="V12" s="35">
        <v>10</v>
      </c>
      <c r="W12" s="36">
        <v>17.5</v>
      </c>
      <c r="X12" s="36">
        <v>41.5</v>
      </c>
      <c r="Y12" s="35">
        <v>177</v>
      </c>
      <c r="Z12" s="35">
        <v>14920</v>
      </c>
      <c r="AA12" s="35">
        <v>1150</v>
      </c>
      <c r="AB12" s="36">
        <v>11.2</v>
      </c>
      <c r="AC12" s="35">
        <v>5130</v>
      </c>
      <c r="AD12" s="35">
        <v>395</v>
      </c>
      <c r="AE12" s="37">
        <v>6.58</v>
      </c>
    </row>
    <row r="13" spans="1:31" ht="54.75" thickBot="1" x14ac:dyDescent="0.25">
      <c r="A13" s="47" t="s">
        <v>104</v>
      </c>
      <c r="B13" s="61">
        <v>400</v>
      </c>
      <c r="C13" s="60" t="s">
        <v>31</v>
      </c>
      <c r="D13" s="39"/>
      <c r="E13" s="49" t="s">
        <v>113</v>
      </c>
      <c r="F13" s="40">
        <f>(B12*B10+B12*(B10-B13))/B10</f>
        <v>13.333333333333334</v>
      </c>
      <c r="G13" s="40" t="s">
        <v>57</v>
      </c>
      <c r="H13" s="40"/>
      <c r="I13" s="40"/>
      <c r="J13" s="40"/>
      <c r="K13" s="40"/>
      <c r="L13" s="39"/>
      <c r="M13" s="39"/>
      <c r="N13" s="39"/>
      <c r="O13" s="39"/>
      <c r="Q13" s="35">
        <v>280</v>
      </c>
      <c r="R13" s="35">
        <v>131</v>
      </c>
      <c r="S13" s="35">
        <v>103</v>
      </c>
      <c r="T13" s="35">
        <v>280</v>
      </c>
      <c r="U13" s="35">
        <v>280</v>
      </c>
      <c r="V13" s="36">
        <v>10.5</v>
      </c>
      <c r="W13" s="35">
        <v>18</v>
      </c>
      <c r="X13" s="35">
        <v>42</v>
      </c>
      <c r="Y13" s="35">
        <v>196</v>
      </c>
      <c r="Z13" s="35">
        <v>19270</v>
      </c>
      <c r="AA13" s="35">
        <v>1380</v>
      </c>
      <c r="AB13" s="36">
        <v>12.1</v>
      </c>
      <c r="AC13" s="35">
        <v>6590</v>
      </c>
      <c r="AD13" s="35">
        <v>471</v>
      </c>
      <c r="AE13" s="37">
        <v>7.09</v>
      </c>
    </row>
    <row r="14" spans="1:31" ht="21" x14ac:dyDescent="0.2">
      <c r="A14" s="47" t="s">
        <v>90</v>
      </c>
      <c r="B14" s="61">
        <v>5</v>
      </c>
      <c r="C14" s="60" t="s">
        <v>31</v>
      </c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Q14" s="35">
        <v>300</v>
      </c>
      <c r="R14" s="35">
        <v>149</v>
      </c>
      <c r="S14" s="35">
        <v>117</v>
      </c>
      <c r="T14" s="35">
        <v>300</v>
      </c>
      <c r="U14" s="35">
        <v>300</v>
      </c>
      <c r="V14" s="35">
        <v>11</v>
      </c>
      <c r="W14" s="35">
        <v>19</v>
      </c>
      <c r="X14" s="35">
        <v>46</v>
      </c>
      <c r="Y14" s="35">
        <v>208</v>
      </c>
      <c r="Z14" s="35">
        <v>25170</v>
      </c>
      <c r="AA14" s="35">
        <v>1680</v>
      </c>
      <c r="AB14" s="35">
        <v>13</v>
      </c>
      <c r="AC14" s="35">
        <v>8560</v>
      </c>
      <c r="AD14" s="35">
        <v>571</v>
      </c>
      <c r="AE14" s="37">
        <v>7.58</v>
      </c>
    </row>
    <row r="15" spans="1:31" ht="21" x14ac:dyDescent="0.2">
      <c r="A15" s="47" t="s">
        <v>91</v>
      </c>
      <c r="B15" s="61">
        <v>30</v>
      </c>
      <c r="C15" s="60" t="s">
        <v>31</v>
      </c>
      <c r="D15" s="39"/>
      <c r="F15" s="50"/>
      <c r="G15" s="39"/>
      <c r="H15" s="39"/>
      <c r="I15" s="39"/>
      <c r="J15" s="39"/>
      <c r="K15" s="39"/>
      <c r="L15" s="39"/>
      <c r="M15" s="39"/>
      <c r="N15" s="39"/>
      <c r="O15" s="39"/>
      <c r="Q15" s="35">
        <v>320</v>
      </c>
      <c r="R15" s="35">
        <v>161</v>
      </c>
      <c r="S15" s="35">
        <v>127</v>
      </c>
      <c r="T15" s="35">
        <v>320</v>
      </c>
      <c r="U15" s="35">
        <v>300</v>
      </c>
      <c r="V15" s="36">
        <v>11.5</v>
      </c>
      <c r="W15" s="36">
        <v>20.5</v>
      </c>
      <c r="X15" s="36">
        <v>47.5</v>
      </c>
      <c r="Y15" s="35">
        <v>225</v>
      </c>
      <c r="Z15" s="35">
        <v>30820</v>
      </c>
      <c r="AA15" s="35">
        <v>1930</v>
      </c>
      <c r="AB15" s="36">
        <v>13.8</v>
      </c>
      <c r="AC15" s="35">
        <v>9240</v>
      </c>
      <c r="AD15" s="35">
        <v>616</v>
      </c>
      <c r="AE15" s="37">
        <v>7.57</v>
      </c>
    </row>
    <row r="16" spans="1:31" x14ac:dyDescent="0.2">
      <c r="A16" s="47"/>
      <c r="B16" s="41"/>
      <c r="C16" s="39"/>
      <c r="D16" s="39"/>
      <c r="E16" s="50"/>
      <c r="F16" s="50"/>
      <c r="G16" s="39"/>
      <c r="H16" s="39"/>
      <c r="I16" s="39"/>
      <c r="J16" s="39"/>
      <c r="K16" s="39"/>
      <c r="L16" s="39"/>
      <c r="M16" s="39"/>
      <c r="N16" s="39"/>
      <c r="O16" s="39"/>
      <c r="Q16" s="35">
        <v>340</v>
      </c>
      <c r="R16" s="35">
        <v>171</v>
      </c>
      <c r="S16" s="35">
        <v>134</v>
      </c>
      <c r="T16" s="35">
        <v>340</v>
      </c>
      <c r="U16" s="35">
        <v>300</v>
      </c>
      <c r="V16" s="35">
        <v>12</v>
      </c>
      <c r="W16" s="36">
        <v>21.5</v>
      </c>
      <c r="X16" s="36">
        <v>48.5</v>
      </c>
      <c r="Y16" s="35">
        <v>243</v>
      </c>
      <c r="Z16" s="35">
        <v>36660</v>
      </c>
      <c r="AA16" s="35">
        <v>2160</v>
      </c>
      <c r="AB16" s="36">
        <v>14.6</v>
      </c>
      <c r="AC16" s="35">
        <v>9690</v>
      </c>
      <c r="AD16" s="35">
        <v>646</v>
      </c>
      <c r="AE16" s="37">
        <v>7.53</v>
      </c>
    </row>
    <row r="17" spans="1:31" ht="27" customHeight="1" x14ac:dyDescent="0.2">
      <c r="A17" s="90" t="s">
        <v>117</v>
      </c>
      <c r="B17" s="90"/>
      <c r="C17" s="90"/>
      <c r="D17" s="39"/>
      <c r="E17" s="90" t="s">
        <v>47</v>
      </c>
      <c r="F17" s="90"/>
      <c r="G17" s="39"/>
      <c r="H17" s="39"/>
      <c r="I17" s="39"/>
      <c r="J17" s="39"/>
      <c r="K17" s="39"/>
      <c r="L17" s="39"/>
      <c r="M17" s="39"/>
      <c r="N17" s="39"/>
      <c r="O17" s="39"/>
      <c r="Q17" s="35">
        <v>360</v>
      </c>
      <c r="R17" s="35">
        <v>181</v>
      </c>
      <c r="S17" s="35">
        <v>142</v>
      </c>
      <c r="T17" s="35">
        <v>360</v>
      </c>
      <c r="U17" s="35">
        <v>300</v>
      </c>
      <c r="V17" s="36">
        <v>12.5</v>
      </c>
      <c r="W17" s="36">
        <v>22.5</v>
      </c>
      <c r="X17" s="36">
        <v>49.5</v>
      </c>
      <c r="Y17" s="35">
        <v>261</v>
      </c>
      <c r="Z17" s="35">
        <v>43190</v>
      </c>
      <c r="AA17" s="35">
        <v>2400</v>
      </c>
      <c r="AB17" s="36">
        <v>15.6</v>
      </c>
      <c r="AC17" s="35">
        <v>10140</v>
      </c>
      <c r="AD17" s="35">
        <v>676</v>
      </c>
      <c r="AE17" s="37">
        <v>7.49</v>
      </c>
    </row>
    <row r="18" spans="1:31" x14ac:dyDescent="0.2">
      <c r="A18" s="60" t="s">
        <v>5</v>
      </c>
      <c r="B18" s="92">
        <v>320</v>
      </c>
      <c r="C18" s="92"/>
      <c r="D18" s="39"/>
      <c r="E18" s="85" t="s">
        <v>48</v>
      </c>
      <c r="F18" s="85"/>
      <c r="G18" s="39"/>
      <c r="H18" s="39"/>
      <c r="I18" s="39"/>
      <c r="J18" s="39"/>
      <c r="K18" s="39"/>
      <c r="L18" s="39"/>
      <c r="M18" s="39"/>
      <c r="N18" s="39"/>
      <c r="O18" s="39"/>
      <c r="Q18" s="35">
        <v>400</v>
      </c>
      <c r="R18" s="35">
        <v>198</v>
      </c>
      <c r="S18" s="35">
        <v>155</v>
      </c>
      <c r="T18" s="35">
        <v>400</v>
      </c>
      <c r="U18" s="35">
        <v>300</v>
      </c>
      <c r="V18" s="36">
        <v>13.5</v>
      </c>
      <c r="W18" s="35">
        <v>24</v>
      </c>
      <c r="X18" s="35">
        <v>51</v>
      </c>
      <c r="Y18" s="35">
        <v>298</v>
      </c>
      <c r="Z18" s="35">
        <v>57680</v>
      </c>
      <c r="AA18" s="35">
        <v>2880</v>
      </c>
      <c r="AB18" s="36">
        <v>17.100000000000001</v>
      </c>
      <c r="AC18" s="35">
        <v>10820</v>
      </c>
      <c r="AD18" s="35">
        <v>721</v>
      </c>
      <c r="AE18" s="36">
        <v>7.4</v>
      </c>
    </row>
    <row r="19" spans="1:31" x14ac:dyDescent="0.2">
      <c r="A19" s="60" t="s">
        <v>8</v>
      </c>
      <c r="B19" s="60">
        <f>VLOOKUP(B18,table,3,FALSE)</f>
        <v>127</v>
      </c>
      <c r="C19" s="60" t="s">
        <v>27</v>
      </c>
      <c r="D19" s="39"/>
      <c r="E19" s="46" t="s">
        <v>49</v>
      </c>
      <c r="F19" s="39">
        <f>B25/B22</f>
        <v>19.565217391304348</v>
      </c>
      <c r="G19" s="39" t="str">
        <f>IF(F19&lt;127/SQRT(B6),C1,C2)</f>
        <v>Compact</v>
      </c>
      <c r="H19" s="84" t="s">
        <v>51</v>
      </c>
      <c r="I19" s="84" t="str">
        <f>IF(AND(G19=C1,G20=C1),C1,C2)</f>
        <v>Compact</v>
      </c>
      <c r="J19" s="84" t="s">
        <v>4</v>
      </c>
      <c r="K19" s="45"/>
      <c r="M19" s="39"/>
      <c r="N19" s="39"/>
      <c r="O19" s="39"/>
      <c r="Q19" s="35">
        <v>450</v>
      </c>
      <c r="R19" s="35">
        <v>218</v>
      </c>
      <c r="S19" s="35">
        <v>171</v>
      </c>
      <c r="T19" s="35">
        <v>450</v>
      </c>
      <c r="U19" s="35">
        <v>300</v>
      </c>
      <c r="V19" s="35">
        <v>14</v>
      </c>
      <c r="W19" s="35">
        <v>26</v>
      </c>
      <c r="X19" s="35">
        <v>53</v>
      </c>
      <c r="Y19" s="35">
        <v>344</v>
      </c>
      <c r="Z19" s="35">
        <v>79890</v>
      </c>
      <c r="AA19" s="35">
        <v>3550</v>
      </c>
      <c r="AB19" s="36">
        <v>19.100000000000001</v>
      </c>
      <c r="AC19" s="35">
        <v>11720</v>
      </c>
      <c r="AD19" s="35">
        <v>781</v>
      </c>
      <c r="AE19" s="37">
        <v>7.33</v>
      </c>
    </row>
    <row r="20" spans="1:31" x14ac:dyDescent="0.2">
      <c r="A20" s="60" t="s">
        <v>15</v>
      </c>
      <c r="B20" s="60">
        <f>VLOOKUP(B18,table,4,FALSE)</f>
        <v>320</v>
      </c>
      <c r="C20" s="60" t="s">
        <v>29</v>
      </c>
      <c r="D20" s="39"/>
      <c r="E20" s="46" t="s">
        <v>50</v>
      </c>
      <c r="F20" s="39">
        <f>(B21-B22-2*B23)/(2*B23)</f>
        <v>6.0365853658536581</v>
      </c>
      <c r="G20" s="39" t="str">
        <f>IF(F20&lt;=16.9/SQRT(B6),C1,C2)</f>
        <v>Compact</v>
      </c>
      <c r="H20" s="84"/>
      <c r="I20" s="84"/>
      <c r="J20" s="84"/>
      <c r="K20" s="45"/>
      <c r="L20" s="45"/>
      <c r="M20" s="39"/>
      <c r="N20" s="39"/>
      <c r="O20" s="39"/>
      <c r="Q20" s="35">
        <v>500</v>
      </c>
      <c r="R20" s="35">
        <v>239</v>
      </c>
      <c r="S20" s="35">
        <v>187</v>
      </c>
      <c r="T20" s="35">
        <v>500</v>
      </c>
      <c r="U20" s="35">
        <v>300</v>
      </c>
      <c r="V20" s="36">
        <v>14.5</v>
      </c>
      <c r="W20" s="35">
        <v>28</v>
      </c>
      <c r="X20" s="35">
        <v>655</v>
      </c>
      <c r="Y20" s="35">
        <v>390</v>
      </c>
      <c r="Z20" s="35">
        <v>107200</v>
      </c>
      <c r="AA20" s="35">
        <v>4290</v>
      </c>
      <c r="AB20" s="36">
        <v>21.2</v>
      </c>
      <c r="AC20" s="35">
        <v>12620</v>
      </c>
      <c r="AD20" s="35">
        <v>842</v>
      </c>
      <c r="AE20" s="37">
        <v>7.27</v>
      </c>
    </row>
    <row r="21" spans="1:31" x14ac:dyDescent="0.2">
      <c r="A21" s="60" t="s">
        <v>16</v>
      </c>
      <c r="B21" s="60">
        <f>VLOOKUP(B18,table,5,FALSE)</f>
        <v>300</v>
      </c>
      <c r="C21" s="60" t="s">
        <v>29</v>
      </c>
      <c r="D21" s="39"/>
      <c r="E21" s="46"/>
      <c r="F21" s="39"/>
      <c r="G21" s="39"/>
      <c r="H21" s="39"/>
      <c r="I21" s="39"/>
      <c r="J21" s="39"/>
      <c r="K21" s="39"/>
      <c r="L21" s="39"/>
      <c r="M21" s="39"/>
      <c r="N21" s="39"/>
      <c r="O21" s="39"/>
      <c r="Q21" s="35">
        <v>550</v>
      </c>
      <c r="R21" s="35">
        <v>254</v>
      </c>
      <c r="S21" s="35">
        <v>199</v>
      </c>
      <c r="T21" s="35">
        <v>550</v>
      </c>
      <c r="U21" s="35">
        <v>300</v>
      </c>
      <c r="V21" s="35">
        <v>15</v>
      </c>
      <c r="W21" s="35">
        <v>29</v>
      </c>
      <c r="X21" s="35">
        <v>56</v>
      </c>
      <c r="Y21" s="35">
        <v>438</v>
      </c>
      <c r="Z21" s="35">
        <v>136700</v>
      </c>
      <c r="AA21" s="35">
        <v>4970</v>
      </c>
      <c r="AB21" s="36">
        <v>23.2</v>
      </c>
      <c r="AC21" s="35">
        <v>13080</v>
      </c>
      <c r="AD21" s="35">
        <v>872</v>
      </c>
      <c r="AE21" s="37">
        <v>7.17</v>
      </c>
    </row>
    <row r="22" spans="1:31" ht="18.75" thickBot="1" x14ac:dyDescent="0.25">
      <c r="A22" s="60" t="s">
        <v>17</v>
      </c>
      <c r="B22" s="60">
        <f>VLOOKUP(B18,table,6,FALSE)</f>
        <v>11.5</v>
      </c>
      <c r="C22" s="60" t="s">
        <v>29</v>
      </c>
      <c r="D22" s="39"/>
      <c r="E22" s="40"/>
      <c r="F22" s="40"/>
      <c r="G22" s="40"/>
      <c r="H22" s="40"/>
      <c r="I22" s="40"/>
      <c r="J22" s="40"/>
      <c r="K22" s="40"/>
      <c r="L22" s="39"/>
      <c r="M22" s="39"/>
      <c r="N22" s="39"/>
      <c r="O22" s="39"/>
      <c r="Q22" s="35">
        <v>600</v>
      </c>
      <c r="R22" s="35">
        <v>270</v>
      </c>
      <c r="S22" s="35">
        <v>212</v>
      </c>
      <c r="T22" s="35">
        <v>600</v>
      </c>
      <c r="U22" s="35">
        <v>300</v>
      </c>
      <c r="V22" s="36">
        <v>15.5</v>
      </c>
      <c r="W22" s="35">
        <v>30</v>
      </c>
      <c r="X22" s="35">
        <v>57</v>
      </c>
      <c r="Y22" s="35">
        <v>486</v>
      </c>
      <c r="Z22" s="35">
        <v>171000</v>
      </c>
      <c r="AA22" s="35">
        <v>5700</v>
      </c>
      <c r="AB22" s="36">
        <v>25.2</v>
      </c>
      <c r="AC22" s="35">
        <v>13530</v>
      </c>
      <c r="AD22" s="35">
        <v>902</v>
      </c>
      <c r="AE22" s="37">
        <v>7.08</v>
      </c>
    </row>
    <row r="23" spans="1:31" x14ac:dyDescent="0.2">
      <c r="A23" s="60" t="s">
        <v>28</v>
      </c>
      <c r="B23" s="60">
        <f>VLOOKUP(B18,table,7,FALSE)</f>
        <v>20.5</v>
      </c>
      <c r="C23" s="60" t="s">
        <v>29</v>
      </c>
      <c r="D23" s="39"/>
      <c r="E23" s="85" t="s">
        <v>53</v>
      </c>
      <c r="F23" s="85"/>
      <c r="G23" s="39"/>
      <c r="H23" s="39"/>
      <c r="I23" s="39"/>
      <c r="J23" s="39"/>
      <c r="K23" s="39"/>
      <c r="L23" s="39"/>
      <c r="M23" s="39"/>
      <c r="N23" s="39"/>
      <c r="O23" s="39"/>
      <c r="Q23" s="35">
        <v>650</v>
      </c>
      <c r="R23" s="35">
        <v>286</v>
      </c>
      <c r="S23" s="35">
        <v>225</v>
      </c>
      <c r="T23" s="35">
        <v>650</v>
      </c>
      <c r="U23" s="35">
        <v>300</v>
      </c>
      <c r="V23" s="35">
        <v>16</v>
      </c>
      <c r="W23" s="35">
        <v>31</v>
      </c>
      <c r="X23" s="35">
        <v>58</v>
      </c>
      <c r="Y23" s="35">
        <v>534</v>
      </c>
      <c r="Z23" s="35">
        <v>210600</v>
      </c>
      <c r="AA23" s="35">
        <v>6480</v>
      </c>
      <c r="AB23" s="36">
        <v>27.1</v>
      </c>
      <c r="AC23" s="35">
        <v>13980</v>
      </c>
      <c r="AD23" s="35">
        <v>932</v>
      </c>
      <c r="AE23" s="37">
        <v>6.99</v>
      </c>
    </row>
    <row r="24" spans="1:31" ht="21" x14ac:dyDescent="0.2">
      <c r="A24" s="60" t="s">
        <v>19</v>
      </c>
      <c r="B24" s="60">
        <f>VLOOKUP(B18,table,8,FALSE)</f>
        <v>47.5</v>
      </c>
      <c r="C24" s="60" t="s">
        <v>29</v>
      </c>
      <c r="D24" s="39"/>
      <c r="E24" s="60" t="s">
        <v>66</v>
      </c>
      <c r="F24" s="60">
        <f>B30*B6</f>
        <v>5234.1599999999989</v>
      </c>
      <c r="G24" s="60" t="s">
        <v>56</v>
      </c>
      <c r="H24" s="60"/>
      <c r="I24" s="60"/>
      <c r="J24" s="60"/>
      <c r="K24" s="60"/>
      <c r="L24" s="60"/>
      <c r="M24" s="60"/>
      <c r="N24" s="60"/>
      <c r="O24" s="60"/>
      <c r="Q24" s="35">
        <v>700</v>
      </c>
      <c r="R24" s="35">
        <v>306</v>
      </c>
      <c r="S24" s="35">
        <v>241</v>
      </c>
      <c r="T24" s="35">
        <v>700</v>
      </c>
      <c r="U24" s="35">
        <v>300</v>
      </c>
      <c r="V24" s="35">
        <v>17</v>
      </c>
      <c r="W24" s="35">
        <v>32</v>
      </c>
      <c r="X24" s="35">
        <v>59</v>
      </c>
      <c r="Y24" s="35">
        <v>582</v>
      </c>
      <c r="Z24" s="35">
        <v>256900</v>
      </c>
      <c r="AA24" s="35">
        <v>7340</v>
      </c>
      <c r="AB24" s="35">
        <v>29</v>
      </c>
      <c r="AC24" s="35">
        <v>14440</v>
      </c>
      <c r="AD24" s="35">
        <v>963</v>
      </c>
      <c r="AE24" s="37">
        <v>6.87</v>
      </c>
    </row>
    <row r="25" spans="1:31" x14ac:dyDescent="0.2">
      <c r="A25" s="60" t="s">
        <v>20</v>
      </c>
      <c r="B25" s="60">
        <f>VLOOKUP(B18,table,9,FALSE)</f>
        <v>225</v>
      </c>
      <c r="C25" s="60" t="s">
        <v>29</v>
      </c>
      <c r="D25" s="39"/>
      <c r="E25" s="60" t="str">
        <f>IF(B10&lt;=B33,"Lb &lt;= Lp","")</f>
        <v/>
      </c>
      <c r="F25" s="39" t="str">
        <f>IF(B10&lt;=B33,"Mnx =","")</f>
        <v/>
      </c>
      <c r="G25" s="39" t="str">
        <f>IF(B10&lt;=B33,F24,"")</f>
        <v/>
      </c>
      <c r="H25" s="39" t="str">
        <f>IF(B10&lt;=B33,"cm.t","")</f>
        <v/>
      </c>
      <c r="I25" s="84" t="s">
        <v>51</v>
      </c>
      <c r="M25" s="39"/>
      <c r="N25" s="39"/>
      <c r="O25" s="39"/>
      <c r="Q25" s="35">
        <v>800</v>
      </c>
      <c r="R25" s="35">
        <v>334</v>
      </c>
      <c r="S25" s="35">
        <v>262</v>
      </c>
      <c r="T25" s="35">
        <v>800</v>
      </c>
      <c r="U25" s="35">
        <v>300</v>
      </c>
      <c r="V25" s="36">
        <v>17.5</v>
      </c>
      <c r="W25" s="35">
        <v>33</v>
      </c>
      <c r="X25" s="35">
        <v>63</v>
      </c>
      <c r="Y25" s="35">
        <v>674</v>
      </c>
      <c r="Z25" s="35">
        <v>359100</v>
      </c>
      <c r="AA25" s="35">
        <v>9890</v>
      </c>
      <c r="AB25" s="36">
        <v>32.799999999999997</v>
      </c>
      <c r="AC25" s="35">
        <v>14900</v>
      </c>
      <c r="AD25" s="35">
        <v>994</v>
      </c>
      <c r="AE25" s="37">
        <v>6.68</v>
      </c>
    </row>
    <row r="26" spans="1:31" ht="21" x14ac:dyDescent="0.2">
      <c r="A26" s="39"/>
      <c r="B26" s="39"/>
      <c r="C26" s="39"/>
      <c r="D26" s="39"/>
      <c r="E26" s="60" t="str">
        <f>IF(AND(B10&gt;B33,B10&lt;=B36),"Lp &lt; Lb &lt;= Lr","")</f>
        <v>Lp &lt; Lb &lt;= Lr</v>
      </c>
      <c r="F26" s="39" t="str">
        <f>IF(AND(B10&gt;B33,B10&lt;=B36),"Mnx =","")</f>
        <v>Mnx =</v>
      </c>
      <c r="G26" s="39">
        <f>IF(AND(B10&gt;B33,B10&lt;=B36),F24-(F24-0.75*B6*B29)*((B10-B33)/(B36-B33)),"")</f>
        <v>4918.861588306635</v>
      </c>
      <c r="H26" s="39" t="str">
        <f>IF(AND(B10&gt;B33,B10&lt;=B36),"cm.t","")</f>
        <v>cm.t</v>
      </c>
      <c r="I26" s="84"/>
      <c r="J26" s="60" t="s">
        <v>64</v>
      </c>
      <c r="K26" s="60">
        <f>IF(B10&lt;=B33,G25,IF(AND(B10&gt;B33,B10&lt;=B36),G26,G27))</f>
        <v>4918.861588306635</v>
      </c>
      <c r="L26" s="60" t="s">
        <v>56</v>
      </c>
      <c r="M26" s="39"/>
      <c r="N26" s="39"/>
      <c r="O26" s="39"/>
      <c r="Q26" s="35">
        <v>900</v>
      </c>
      <c r="R26" s="35">
        <v>371</v>
      </c>
      <c r="S26" s="35">
        <v>291</v>
      </c>
      <c r="T26" s="35">
        <v>900</v>
      </c>
      <c r="U26" s="35">
        <v>300</v>
      </c>
      <c r="V26" s="36">
        <v>18.5</v>
      </c>
      <c r="W26" s="35">
        <v>35</v>
      </c>
      <c r="X26" s="35">
        <v>65</v>
      </c>
      <c r="Y26" s="35">
        <v>770</v>
      </c>
      <c r="Z26" s="35">
        <v>494100</v>
      </c>
      <c r="AA26" s="35">
        <v>10980</v>
      </c>
      <c r="AB26" s="36">
        <v>36.5</v>
      </c>
      <c r="AC26" s="35">
        <v>15820</v>
      </c>
      <c r="AD26" s="35">
        <v>1050</v>
      </c>
      <c r="AE26" s="37">
        <v>6.53</v>
      </c>
    </row>
    <row r="27" spans="1:31" ht="21" x14ac:dyDescent="0.2">
      <c r="A27" s="90" t="s">
        <v>121</v>
      </c>
      <c r="B27" s="90"/>
      <c r="C27" s="90"/>
      <c r="D27" s="39"/>
      <c r="E27" s="60" t="str">
        <f>IF(B10&gt;B36,"Lb &gt; Lr","")</f>
        <v/>
      </c>
      <c r="F27" s="39" t="str">
        <f>IF(B10&gt;B36,"Mnx =","")</f>
        <v/>
      </c>
      <c r="G27" s="39" t="str">
        <f>IF(B10&gt;B36,B29*SQRT(((1380*0.1*B21*0.1*B23)/(0.1*B20*B10))^2+(20700/(B10/B34)^2)^2),"")</f>
        <v/>
      </c>
      <c r="H27" s="39" t="str">
        <f>IF(B10&gt;B36,"cm.t","")</f>
        <v/>
      </c>
      <c r="I27" s="84"/>
      <c r="J27" s="60" t="s">
        <v>65</v>
      </c>
      <c r="K27" s="60">
        <f>1.5*0.5*B32*B6</f>
        <v>1108.8</v>
      </c>
      <c r="L27" s="60" t="s">
        <v>56</v>
      </c>
      <c r="M27" s="39"/>
      <c r="N27" s="39"/>
      <c r="O27" s="39"/>
      <c r="Q27" s="35">
        <v>1000</v>
      </c>
      <c r="R27" s="35">
        <v>400</v>
      </c>
      <c r="S27" s="35">
        <v>314</v>
      </c>
      <c r="T27" s="35">
        <v>1000</v>
      </c>
      <c r="U27" s="35">
        <v>300</v>
      </c>
      <c r="V27" s="35">
        <v>19</v>
      </c>
      <c r="W27" s="35">
        <v>36</v>
      </c>
      <c r="X27" s="35">
        <v>66</v>
      </c>
      <c r="Y27" s="35">
        <v>868</v>
      </c>
      <c r="Z27" s="35">
        <v>644700</v>
      </c>
      <c r="AA27" s="35">
        <v>12890</v>
      </c>
      <c r="AB27" s="36">
        <v>40.1</v>
      </c>
      <c r="AC27" s="35">
        <v>16280</v>
      </c>
      <c r="AD27" s="35">
        <v>1090</v>
      </c>
      <c r="AE27" s="37">
        <v>6.38</v>
      </c>
    </row>
    <row r="28" spans="1:31" ht="21" x14ac:dyDescent="0.2">
      <c r="A28" s="60" t="s">
        <v>32</v>
      </c>
      <c r="B28" s="60">
        <f>VLOOKUP(B18,table,10,FALSE)</f>
        <v>30820</v>
      </c>
      <c r="C28" s="60" t="s">
        <v>37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</row>
    <row r="29" spans="1:31" ht="21" x14ac:dyDescent="0.2">
      <c r="A29" s="60" t="s">
        <v>33</v>
      </c>
      <c r="B29" s="60">
        <f>VLOOKUP(B18,table,11,FALSE)</f>
        <v>1930</v>
      </c>
      <c r="C29" s="60" t="s">
        <v>38</v>
      </c>
      <c r="D29" s="39"/>
      <c r="E29" s="84" t="s">
        <v>124</v>
      </c>
      <c r="F29" s="84"/>
      <c r="G29" s="39">
        <f>(J9/(0.85*K26))+(J10/(0.85*K27))</f>
        <v>0.98857610021067632</v>
      </c>
      <c r="H29" s="59" t="str">
        <f>IF(G29&lt;=1,"Safe","Unsafe")</f>
        <v>Safe</v>
      </c>
      <c r="I29" s="39"/>
      <c r="J29" s="39"/>
      <c r="K29" s="39"/>
      <c r="L29" s="39"/>
      <c r="M29" s="39"/>
      <c r="N29" s="39"/>
      <c r="O29" s="39"/>
    </row>
    <row r="30" spans="1:31" ht="21" x14ac:dyDescent="0.2">
      <c r="A30" s="60" t="s">
        <v>34</v>
      </c>
      <c r="B30" s="60">
        <f>1.13*B29</f>
        <v>2180.8999999999996</v>
      </c>
      <c r="C30" s="60" t="s">
        <v>38</v>
      </c>
      <c r="D30" s="39"/>
      <c r="E30" s="84" t="s">
        <v>125</v>
      </c>
      <c r="F30" s="84"/>
      <c r="G30" s="39">
        <f>J9/(0.85*F24)</f>
        <v>0.68971795238339284</v>
      </c>
      <c r="H30" s="42" t="str">
        <f>IF(G30&lt;=1,"Safe","Unsafe")</f>
        <v>Safe</v>
      </c>
      <c r="I30" s="39"/>
      <c r="J30" s="39"/>
      <c r="K30" s="39"/>
      <c r="L30" s="39"/>
      <c r="M30" s="39"/>
      <c r="N30" s="39"/>
      <c r="O30" s="39"/>
    </row>
    <row r="31" spans="1:31" ht="21" x14ac:dyDescent="0.2">
      <c r="A31" s="60" t="s">
        <v>35</v>
      </c>
      <c r="B31" s="60">
        <f>VLOOKUP(B18,table,15,FALSE)</f>
        <v>7.57</v>
      </c>
      <c r="C31" s="60" t="s">
        <v>31</v>
      </c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</row>
    <row r="32" spans="1:31" ht="21.75" thickBot="1" x14ac:dyDescent="0.25">
      <c r="A32" s="60" t="s">
        <v>36</v>
      </c>
      <c r="B32" s="60">
        <f>VLOOKUP(B18,table,14,FALSE)</f>
        <v>616</v>
      </c>
      <c r="C32" s="60" t="s">
        <v>38</v>
      </c>
      <c r="D32" s="39"/>
      <c r="E32" s="40"/>
      <c r="F32" s="40"/>
      <c r="G32" s="40"/>
      <c r="H32" s="40"/>
      <c r="I32" s="40"/>
      <c r="J32" s="40"/>
      <c r="K32" s="40"/>
      <c r="L32" s="39"/>
    </row>
    <row r="33" spans="1:15" ht="21" x14ac:dyDescent="0.2">
      <c r="A33" s="60" t="s">
        <v>39</v>
      </c>
      <c r="B33" s="60">
        <f>(80*B31)/SQRT(B6)</f>
        <v>390.91311907720194</v>
      </c>
      <c r="C33" s="60" t="s">
        <v>31</v>
      </c>
      <c r="D33" s="39"/>
      <c r="E33" s="85" t="s">
        <v>67</v>
      </c>
      <c r="F33" s="85"/>
      <c r="G33" s="39"/>
      <c r="H33" s="39"/>
      <c r="I33" s="39"/>
      <c r="J33" s="39"/>
    </row>
    <row r="34" spans="1:15" ht="21" x14ac:dyDescent="0.2">
      <c r="A34" s="60" t="s">
        <v>40</v>
      </c>
      <c r="B34" s="60">
        <f>0.1*SQRT(((B23*(B21)^3)/12)/(B23*B21+(1/6)*(B20-2*B23)*B22))</f>
        <v>8.3066441230504005</v>
      </c>
      <c r="C34" s="60" t="s">
        <v>31</v>
      </c>
      <c r="D34" s="39"/>
      <c r="E34" s="51" t="s">
        <v>148</v>
      </c>
      <c r="F34" s="39">
        <f>J11/(0.85*0.6*B6*0.1*B20*0.1*B22)</f>
        <v>0.60217450506772763</v>
      </c>
      <c r="G34" s="42" t="str">
        <f>IF(F34&lt;=1,"Safe","Unsafe")</f>
        <v>Safe</v>
      </c>
      <c r="H34" s="39"/>
      <c r="I34" s="39"/>
      <c r="J34" s="39"/>
    </row>
    <row r="35" spans="1:15" x14ac:dyDescent="0.2">
      <c r="A35" s="60" t="s">
        <v>41</v>
      </c>
      <c r="B35" s="60">
        <f>((0.104*B34*0.1*B20)/(0.1*B21*0.1*B23))^2</f>
        <v>0.20205407466393757</v>
      </c>
      <c r="C35" s="60" t="s">
        <v>43</v>
      </c>
      <c r="D35" s="39"/>
      <c r="E35" s="46"/>
      <c r="F35" s="39"/>
      <c r="G35" s="42"/>
      <c r="H35" s="39"/>
      <c r="I35" s="39"/>
      <c r="J35" s="39"/>
    </row>
    <row r="36" spans="1:15" ht="21.75" thickBot="1" x14ac:dyDescent="0.25">
      <c r="A36" s="60" t="s">
        <v>42</v>
      </c>
      <c r="B36" s="60">
        <f>((1380*0.1*B21*0.1*B23)/(0.1*B20*0.75*B6))*SQRT(0.5*(1+SQRT(1+(2*0.75*B6*B35)^2)))</f>
        <v>1558.1450196393509</v>
      </c>
      <c r="C36" s="60" t="s">
        <v>31</v>
      </c>
      <c r="D36" s="39"/>
      <c r="E36" s="40"/>
      <c r="F36" s="40"/>
      <c r="G36" s="40"/>
      <c r="H36" s="40"/>
      <c r="I36" s="40"/>
      <c r="J36" s="40"/>
      <c r="K36" s="40"/>
    </row>
    <row r="37" spans="1:15" x14ac:dyDescent="0.2">
      <c r="A37" s="39"/>
      <c r="B37" s="39"/>
      <c r="C37" s="39"/>
      <c r="D37" s="39"/>
      <c r="E37" s="85" t="s">
        <v>68</v>
      </c>
      <c r="F37" s="85"/>
      <c r="G37" s="39"/>
      <c r="H37" s="39"/>
      <c r="I37" s="39"/>
      <c r="J37" s="39"/>
    </row>
    <row r="38" spans="1:15" ht="21" x14ac:dyDescent="0.2">
      <c r="A38" s="39"/>
      <c r="B38" s="39"/>
      <c r="C38" s="39"/>
      <c r="E38" s="84" t="s">
        <v>69</v>
      </c>
      <c r="F38" s="84"/>
      <c r="G38" s="39" t="s">
        <v>92</v>
      </c>
      <c r="H38" s="39">
        <f>1.6*B12*(1+B11)</f>
        <v>20</v>
      </c>
      <c r="I38" s="39" t="s">
        <v>57</v>
      </c>
      <c r="J38" s="39"/>
    </row>
    <row r="39" spans="1:15" ht="21" x14ac:dyDescent="0.2">
      <c r="A39" s="39"/>
      <c r="B39" s="39"/>
      <c r="D39" s="39"/>
      <c r="E39" s="39" t="s">
        <v>70</v>
      </c>
      <c r="F39" s="39">
        <f>0.95*(2*B14+2.5*B24*0.1)*0.1*B22*B6</f>
        <v>57.356249999999996</v>
      </c>
      <c r="G39" s="39" t="s">
        <v>57</v>
      </c>
      <c r="H39" s="42" t="str">
        <f>IF(F39&gt;=H38,"Safe","Unsafe")</f>
        <v>Safe</v>
      </c>
      <c r="I39" s="39"/>
      <c r="J39" s="39"/>
    </row>
    <row r="40" spans="1:15" x14ac:dyDescent="0.2">
      <c r="A40" s="39"/>
      <c r="B40" s="39"/>
      <c r="D40" s="39"/>
      <c r="E40" s="86" t="str">
        <f>IF(H39=F2,"Increase web thickness","")</f>
        <v/>
      </c>
      <c r="F40" s="86"/>
      <c r="G40" s="86"/>
      <c r="H40" s="86"/>
      <c r="I40" s="39"/>
      <c r="J40" s="39"/>
    </row>
    <row r="41" spans="1:15" ht="21" x14ac:dyDescent="0.2">
      <c r="A41" s="39"/>
      <c r="B41" s="39"/>
      <c r="E41" s="46" t="s">
        <v>145</v>
      </c>
      <c r="F41" s="41"/>
      <c r="G41" s="39" t="s">
        <v>31</v>
      </c>
      <c r="H41" s="39"/>
      <c r="I41" s="39"/>
      <c r="J41" s="39"/>
    </row>
    <row r="42" spans="1:15" ht="21" x14ac:dyDescent="0.2">
      <c r="A42" s="39"/>
      <c r="B42" s="39"/>
      <c r="E42" s="46" t="s">
        <v>144</v>
      </c>
      <c r="F42" s="39" t="str">
        <f>IF(H39=F2,0.95*(2*B14+5*B24*0.1)*(0.1*B22+F41)*B6,"")</f>
        <v/>
      </c>
      <c r="G42" s="39" t="s">
        <v>57</v>
      </c>
      <c r="H42" s="42" t="str">
        <f>IF(F42&gt;=H38,"Safe","Unsafe")</f>
        <v>Safe</v>
      </c>
      <c r="I42" s="39"/>
      <c r="J42" s="39"/>
    </row>
    <row r="43" spans="1:15" x14ac:dyDescent="0.2">
      <c r="A43" s="39"/>
      <c r="B43" s="39"/>
      <c r="E43" s="39"/>
      <c r="F43" s="39"/>
      <c r="G43" s="39"/>
      <c r="H43" s="39"/>
      <c r="I43" s="39"/>
      <c r="J43" s="39"/>
    </row>
    <row r="44" spans="1:15" ht="21" x14ac:dyDescent="0.2">
      <c r="A44" s="39"/>
      <c r="B44" s="39"/>
      <c r="E44" s="84" t="s">
        <v>71</v>
      </c>
      <c r="F44" s="84"/>
      <c r="G44" s="39" t="s">
        <v>92</v>
      </c>
      <c r="H44" s="39">
        <f>J11</f>
        <v>27.123866666666672</v>
      </c>
      <c r="I44" s="39" t="s">
        <v>57</v>
      </c>
      <c r="J44" s="39"/>
      <c r="M44" s="39"/>
      <c r="N44" s="39"/>
      <c r="O44" s="39"/>
    </row>
    <row r="45" spans="1:15" ht="21" x14ac:dyDescent="0.2">
      <c r="A45" s="39"/>
      <c r="B45" s="39"/>
      <c r="E45" s="46" t="s">
        <v>70</v>
      </c>
      <c r="F45" s="39">
        <f>0.95*(0.5*B15+2.5*B24*0.1)*0.1*B22*B6</f>
        <v>70.466250000000002</v>
      </c>
      <c r="G45" s="39" t="s">
        <v>57</v>
      </c>
      <c r="H45" s="42" t="str">
        <f>IF(F45&gt;=H44,"Safe","Unsafe")</f>
        <v>Safe</v>
      </c>
      <c r="I45" s="39"/>
      <c r="J45" s="39"/>
      <c r="M45" s="39"/>
      <c r="N45" s="39"/>
      <c r="O45" s="39"/>
    </row>
    <row r="46" spans="1:15" x14ac:dyDescent="0.2">
      <c r="A46" s="39"/>
      <c r="B46" s="39"/>
      <c r="E46" s="86" t="str">
        <f>IF(H45=F2,"Use Doubler Plate","")</f>
        <v/>
      </c>
      <c r="F46" s="86"/>
      <c r="G46" s="86"/>
      <c r="H46" s="86"/>
      <c r="I46" s="39"/>
      <c r="J46" s="39"/>
      <c r="K46" s="39"/>
      <c r="L46" s="39"/>
    </row>
    <row r="47" spans="1:15" ht="21" x14ac:dyDescent="0.2">
      <c r="A47" s="39"/>
      <c r="B47" s="39"/>
      <c r="E47" s="46" t="s">
        <v>145</v>
      </c>
      <c r="F47" s="41"/>
      <c r="G47" s="39" t="s">
        <v>31</v>
      </c>
      <c r="H47" s="39"/>
      <c r="I47" s="39"/>
      <c r="J47" s="39"/>
      <c r="K47" s="39"/>
      <c r="L47" s="39"/>
    </row>
    <row r="48" spans="1:15" ht="21" x14ac:dyDescent="0.2">
      <c r="A48" s="39"/>
      <c r="B48" s="39"/>
      <c r="E48" s="46" t="s">
        <v>144</v>
      </c>
      <c r="F48" s="39" t="str">
        <f>IF(H45=F2,0.95*(0.5*B15+2.5*B24*0.1)*(0.1*B22+F47)*B6,"")</f>
        <v/>
      </c>
      <c r="G48" s="39" t="s">
        <v>57</v>
      </c>
      <c r="H48" s="42" t="str">
        <f>IF(F48&gt;=H44,"Safe","Unsafe")</f>
        <v>Safe</v>
      </c>
      <c r="I48" s="39"/>
      <c r="J48" s="39"/>
    </row>
    <row r="49" spans="1:15" x14ac:dyDescent="0.2">
      <c r="A49" s="39"/>
      <c r="B49" s="39"/>
      <c r="E49" s="46"/>
      <c r="F49" s="39"/>
      <c r="G49" s="39"/>
      <c r="H49" s="42"/>
      <c r="I49" s="39"/>
      <c r="J49" s="39"/>
      <c r="M49" s="39"/>
      <c r="N49" s="39"/>
      <c r="O49" s="39"/>
    </row>
    <row r="50" spans="1:15" ht="18.75" thickBot="1" x14ac:dyDescent="0.25">
      <c r="A50" s="39"/>
      <c r="B50" s="39"/>
      <c r="E50" s="40"/>
      <c r="F50" s="40"/>
      <c r="G50" s="40"/>
      <c r="H50" s="40"/>
      <c r="I50" s="40"/>
      <c r="J50" s="40"/>
      <c r="K50" s="40"/>
      <c r="M50" s="39"/>
      <c r="N50" s="39"/>
      <c r="O50" s="39"/>
    </row>
    <row r="51" spans="1:15" x14ac:dyDescent="0.2">
      <c r="A51" s="39"/>
      <c r="B51" s="39"/>
      <c r="E51" s="85" t="s">
        <v>95</v>
      </c>
      <c r="F51" s="85"/>
      <c r="G51" s="39"/>
      <c r="H51" s="39"/>
      <c r="J51" s="39"/>
      <c r="K51" s="39"/>
      <c r="L51" s="39"/>
    </row>
    <row r="52" spans="1:15" ht="21" x14ac:dyDescent="0.2">
      <c r="A52" s="39"/>
      <c r="B52" s="39"/>
      <c r="C52" s="39"/>
      <c r="E52" s="39" t="s">
        <v>98</v>
      </c>
      <c r="F52" s="41">
        <v>67.31</v>
      </c>
      <c r="G52" s="39" t="s">
        <v>99</v>
      </c>
      <c r="H52" s="39"/>
      <c r="J52" s="39"/>
      <c r="K52" s="39"/>
      <c r="L52" s="39"/>
    </row>
    <row r="53" spans="1:15" ht="18.75" x14ac:dyDescent="0.2">
      <c r="A53" s="39"/>
      <c r="B53" s="39"/>
      <c r="C53" s="39"/>
      <c r="E53" s="43" t="s">
        <v>75</v>
      </c>
      <c r="F53" s="39">
        <f>(F52*10^6)/(2100*B28)</f>
        <v>1.0399864033867927</v>
      </c>
      <c r="G53" s="39" t="s">
        <v>31</v>
      </c>
      <c r="H53" s="42" t="str">
        <f>IF(F53&lt;= (B10/800),"Safe","Unsafe")</f>
        <v>Unsafe</v>
      </c>
    </row>
    <row r="54" spans="1:15" x14ac:dyDescent="0.2">
      <c r="A54" s="39"/>
      <c r="B54" s="39"/>
      <c r="C54" s="39"/>
      <c r="D54" s="39"/>
    </row>
    <row r="55" spans="1:15" ht="18.75" thickBot="1" x14ac:dyDescent="0.25">
      <c r="C55" s="39"/>
      <c r="D55" s="39"/>
      <c r="E55" s="40"/>
      <c r="F55" s="40"/>
      <c r="G55" s="40"/>
      <c r="H55" s="40"/>
      <c r="I55" s="40"/>
      <c r="J55" s="40"/>
      <c r="K55" s="40"/>
    </row>
    <row r="56" spans="1:15" x14ac:dyDescent="0.2">
      <c r="C56" s="46" t="s">
        <v>93</v>
      </c>
      <c r="D56" s="39">
        <f>(2*B14)/(0.1*B20)</f>
        <v>0.3125</v>
      </c>
      <c r="E56" s="85" t="s">
        <v>96</v>
      </c>
      <c r="F56" s="85"/>
      <c r="G56" s="39"/>
      <c r="H56" s="39"/>
      <c r="I56" s="39"/>
    </row>
    <row r="57" spans="1:15" ht="21" x14ac:dyDescent="0.2">
      <c r="C57" s="39"/>
      <c r="D57" s="39"/>
      <c r="E57" s="84" t="s">
        <v>69</v>
      </c>
      <c r="F57" s="84"/>
      <c r="G57" s="39" t="s">
        <v>92</v>
      </c>
      <c r="H57" s="39">
        <f>1.6*B12*(1+B11)</f>
        <v>20</v>
      </c>
      <c r="I57" s="39" t="s">
        <v>57</v>
      </c>
    </row>
    <row r="58" spans="1:15" ht="21" x14ac:dyDescent="0.2">
      <c r="C58" s="39"/>
      <c r="E58" s="46" t="s">
        <v>70</v>
      </c>
      <c r="F58" s="39">
        <f>IF(D56&lt;=0.2,0.7*(0.1813*(0.1*B22)^2*(1+3*D56)*(B22/B23)^1.5)*SQRT(2100*B6*(B23/B22)),0.7*(0.1813*(0.1*B22)^2*(1+((4*2*B14)/(0.1*B20-0.2))*(B22/B23)^1.5)*SQRT(2100*B6*(B23/B22))))</f>
        <v>24.316528686268889</v>
      </c>
      <c r="G58" s="39" t="s">
        <v>57</v>
      </c>
      <c r="H58" s="59" t="str">
        <f>IF(F58&gt;=H57,"Safe","Unsafe")</f>
        <v>Safe</v>
      </c>
      <c r="I58" s="39"/>
    </row>
    <row r="59" spans="1:15" x14ac:dyDescent="0.2">
      <c r="C59" s="39"/>
      <c r="D59" s="39"/>
      <c r="E59" s="84" t="str">
        <f>IF(H58=F2,"Increase web thickness","")</f>
        <v/>
      </c>
      <c r="F59" s="84"/>
      <c r="G59" s="84"/>
      <c r="H59" s="84"/>
      <c r="I59" s="39"/>
    </row>
    <row r="60" spans="1:15" ht="21" x14ac:dyDescent="0.2">
      <c r="C60" s="39"/>
      <c r="D60" s="39"/>
      <c r="E60" s="46" t="s">
        <v>100</v>
      </c>
      <c r="F60" s="41"/>
      <c r="G60" s="39" t="s">
        <v>31</v>
      </c>
      <c r="H60" s="39"/>
      <c r="I60" s="39"/>
    </row>
    <row r="61" spans="1:15" ht="21" x14ac:dyDescent="0.2">
      <c r="C61" s="39"/>
      <c r="D61" s="39"/>
      <c r="E61" s="46" t="s">
        <v>101</v>
      </c>
      <c r="F61" s="39" t="str">
        <f>IF(H58=F2,IF(D56&lt;=0.2,0.7*(0.1813*(0.1*B22+F60)^2*(1+3*D56)*((10*F60+B22)/B23)^1.5)*SQRT(2100*B6*(B23/(10*F60+B22))),0.7*(0.1813*(0.1*B22+F60)^2*(1+((4*2*B14)/(0.1*B20-0.2))*((10*F60+B22)/B23)^1.5)*SQRT(2100*B6*(B23/(10*F60+B22))))),"")</f>
        <v/>
      </c>
      <c r="G61" s="39" t="s">
        <v>57</v>
      </c>
      <c r="H61" s="42" t="str">
        <f>IF(F61&gt;=H57,"Safe","Unsafe")</f>
        <v>Safe</v>
      </c>
      <c r="I61" s="39"/>
    </row>
    <row r="62" spans="1:15" x14ac:dyDescent="0.2">
      <c r="C62" s="46" t="s">
        <v>93</v>
      </c>
      <c r="D62" s="39">
        <f>(0.5*B15)/(0.1*B20)</f>
        <v>0.46875</v>
      </c>
      <c r="E62" s="39"/>
      <c r="F62" s="39"/>
      <c r="G62" s="39"/>
      <c r="H62" s="39"/>
      <c r="I62" s="39"/>
    </row>
    <row r="63" spans="1:15" ht="21" x14ac:dyDescent="0.2">
      <c r="C63" s="39"/>
      <c r="D63" s="39"/>
      <c r="E63" s="84" t="s">
        <v>71</v>
      </c>
      <c r="F63" s="84"/>
      <c r="G63" s="39" t="s">
        <v>92</v>
      </c>
      <c r="H63" s="39">
        <f>J11</f>
        <v>27.123866666666672</v>
      </c>
      <c r="I63" s="39" t="s">
        <v>57</v>
      </c>
    </row>
    <row r="64" spans="1:15" ht="21" x14ac:dyDescent="0.2">
      <c r="C64" s="39"/>
      <c r="D64" s="39"/>
      <c r="E64" s="46" t="s">
        <v>70</v>
      </c>
      <c r="F64" s="39">
        <f>IF(D62&lt;=0.2,0.7*(0.1813*(0.1*B22)^2*(1+3*D62)*(B22/B23)^1.5)*SQRT(2100*B6*(B23/B22)),0.7*(0.1813*(0.1*B22)^2*(1+((4*0.5*B15)/(0.1*B20-0.2))*(B22/B23)^1.5)*SQRT(2100*B6*(B23/B22))))</f>
        <v>28.52044099216797</v>
      </c>
      <c r="G64" s="39" t="s">
        <v>57</v>
      </c>
      <c r="H64" s="59" t="str">
        <f>IF(F64&gt;=H63,"Safe","Unsafe")</f>
        <v>Safe</v>
      </c>
      <c r="I64" s="39"/>
    </row>
    <row r="65" spans="3:11" x14ac:dyDescent="0.2">
      <c r="C65" s="39"/>
      <c r="D65" s="39"/>
      <c r="E65" s="84" t="str">
        <f>IF(H64=F2,"Use Doubler Plate","")</f>
        <v/>
      </c>
      <c r="F65" s="84"/>
      <c r="G65" s="84"/>
      <c r="H65" s="84"/>
      <c r="I65" s="39"/>
    </row>
    <row r="66" spans="3:11" ht="21" x14ac:dyDescent="0.2">
      <c r="C66" s="39"/>
      <c r="D66" s="39"/>
      <c r="E66" s="46" t="s">
        <v>100</v>
      </c>
      <c r="F66" s="41"/>
      <c r="G66" s="39" t="s">
        <v>31</v>
      </c>
      <c r="H66" s="39"/>
      <c r="I66" s="39"/>
    </row>
    <row r="67" spans="3:11" ht="21" x14ac:dyDescent="0.2">
      <c r="E67" s="46" t="s">
        <v>101</v>
      </c>
      <c r="F67" s="39" t="str">
        <f>IF(H64=F2,IF(D62&lt;=0.2,0.7*(0.1813*(F66+0.1*B22)^2*(1+3*D62)*((10*F66+B22)/B23)^1.5)*SQRT(2100*B6*(B23/(10*F66+B22))),0.7*(0.1813*(F66+0.1*B22)^2*(1+((4*0.5*B15)/(0.1*B20-0.2))*((10*F66+B22)/B23)^1.5)*SQRT(2100*B6*(B23/(10*F66+B22))))),"")</f>
        <v/>
      </c>
      <c r="G67" s="39" t="s">
        <v>57</v>
      </c>
      <c r="H67" s="42" t="str">
        <f>IF(F67&gt;=H63,"Safe","Unsafe")</f>
        <v>Safe</v>
      </c>
      <c r="I67" s="39"/>
    </row>
    <row r="69" spans="3:11" ht="18.75" thickBot="1" x14ac:dyDescent="0.25">
      <c r="E69" s="40"/>
      <c r="F69" s="40"/>
      <c r="G69" s="40"/>
      <c r="H69" s="40"/>
      <c r="I69" s="40"/>
      <c r="J69" s="40"/>
      <c r="K69" s="40"/>
    </row>
    <row r="70" spans="3:11" x14ac:dyDescent="0.2">
      <c r="E70" s="85" t="s">
        <v>97</v>
      </c>
      <c r="F70" s="85"/>
      <c r="G70" s="39"/>
      <c r="H70" s="39"/>
      <c r="I70" s="39"/>
    </row>
    <row r="71" spans="3:11" ht="21" x14ac:dyDescent="0.2">
      <c r="E71" s="84" t="s">
        <v>74</v>
      </c>
      <c r="F71" s="84"/>
      <c r="G71" s="39">
        <f>(F12*(1+B11))/B29</f>
        <v>0.97150259067357514</v>
      </c>
      <c r="H71" s="39" t="s">
        <v>3</v>
      </c>
      <c r="I71" s="42" t="str">
        <f>IF(G71&lt;=1.68,"Safe","Unsafe")</f>
        <v>Safe</v>
      </c>
    </row>
  </sheetData>
  <mergeCells count="36">
    <mergeCell ref="A9:C9"/>
    <mergeCell ref="E4:K4"/>
    <mergeCell ref="E17:F17"/>
    <mergeCell ref="A27:C27"/>
    <mergeCell ref="B5:C5"/>
    <mergeCell ref="A17:C17"/>
    <mergeCell ref="B18:C18"/>
    <mergeCell ref="I25:I27"/>
    <mergeCell ref="J19:J20"/>
    <mergeCell ref="I19:I20"/>
    <mergeCell ref="E23:F23"/>
    <mergeCell ref="U1:V1"/>
    <mergeCell ref="T2:Y2"/>
    <mergeCell ref="E18:F18"/>
    <mergeCell ref="H19:H20"/>
    <mergeCell ref="Z2:AB2"/>
    <mergeCell ref="AC2:AE2"/>
    <mergeCell ref="E5:F5"/>
    <mergeCell ref="E10:F10"/>
    <mergeCell ref="I8:K8"/>
    <mergeCell ref="E29:F29"/>
    <mergeCell ref="E30:F30"/>
    <mergeCell ref="E56:F56"/>
    <mergeCell ref="E57:F57"/>
    <mergeCell ref="E33:F33"/>
    <mergeCell ref="E40:H40"/>
    <mergeCell ref="E46:H46"/>
    <mergeCell ref="E37:F37"/>
    <mergeCell ref="E71:F71"/>
    <mergeCell ref="E51:F51"/>
    <mergeCell ref="E38:F38"/>
    <mergeCell ref="E44:F44"/>
    <mergeCell ref="E63:F63"/>
    <mergeCell ref="E70:F70"/>
    <mergeCell ref="E59:H59"/>
    <mergeCell ref="E65:H65"/>
  </mergeCells>
  <phoneticPr fontId="5" type="noConversion"/>
  <conditionalFormatting sqref="H29:H30 H39 H45 H58 H64 I71 H53 G34:G35">
    <cfRule type="cellIs" dxfId="27" priority="9" operator="equal">
      <formula>"Safe"</formula>
    </cfRule>
  </conditionalFormatting>
  <conditionalFormatting sqref="H29:H30 H39 H45 H58 H64 I71 H53 G34:G35">
    <cfRule type="cellIs" dxfId="26" priority="8" operator="equal">
      <formula>"Unsafe"</formula>
    </cfRule>
  </conditionalFormatting>
  <conditionalFormatting sqref="H42 H48:H49">
    <cfRule type="cellIs" dxfId="25" priority="6" operator="equal">
      <formula>"Unsafe"</formula>
    </cfRule>
    <cfRule type="cellIs" dxfId="24" priority="7" operator="equal">
      <formula>"Safe"</formula>
    </cfRule>
  </conditionalFormatting>
  <conditionalFormatting sqref="E40 E59">
    <cfRule type="cellIs" dxfId="23" priority="5" operator="equal">
      <formula>"Increase web thickness"</formula>
    </cfRule>
  </conditionalFormatting>
  <conditionalFormatting sqref="E46 E65">
    <cfRule type="cellIs" dxfId="22" priority="4" operator="equal">
      <formula>"Use Doubler Plate"</formula>
    </cfRule>
  </conditionalFormatting>
  <conditionalFormatting sqref="H61 H67">
    <cfRule type="cellIs" dxfId="21" priority="1" operator="equal">
      <formula>"Unsafe"</formula>
    </cfRule>
    <cfRule type="cellIs" dxfId="20" priority="2" operator="equal">
      <formula>"Safe"</formula>
    </cfRule>
  </conditionalFormatting>
  <dataValidations disablePrompts="1" count="3">
    <dataValidation type="list" allowBlank="1" showInputMessage="1" showErrorMessage="1" sqref="B18:C18" xr:uid="{FBAAC5A5-0A06-47F3-9BB9-DDF5B84CFCD4}">
      <formula1>$Q$4:$Q$27</formula1>
    </dataValidation>
    <dataValidation type="list" allowBlank="1" showInputMessage="1" showErrorMessage="1" sqref="B11" xr:uid="{EB8F8F23-F8A5-4F6D-AE5B-4D79321CCB2E}">
      <formula1>$E$1:$E$2</formula1>
    </dataValidation>
    <dataValidation type="list" allowBlank="1" showInputMessage="1" showErrorMessage="1" sqref="B5:C5" xr:uid="{16292ED7-F1BE-4731-92B6-4898371724B6}">
      <formula1>$A$1:$A$3</formula1>
    </dataValidation>
  </dataValidations>
  <pageMargins left="0.7" right="0.7" top="0.75" bottom="0.75" header="0.3" footer="0.3"/>
  <pageSetup paperSize="8" scale="8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6A6EE-11CA-438E-8F58-557B56F12F37}">
  <sheetPr>
    <pageSetUpPr fitToPage="1"/>
  </sheetPr>
  <dimension ref="A1:AF71"/>
  <sheetViews>
    <sheetView showGridLines="0" topLeftCell="A4" zoomScaleNormal="100" workbookViewId="0">
      <selection activeCell="F67" sqref="F67"/>
    </sheetView>
  </sheetViews>
  <sheetFormatPr defaultRowHeight="18.75" x14ac:dyDescent="0.2"/>
  <cols>
    <col min="1" max="1" width="13.875" style="67" customWidth="1"/>
    <col min="2" max="2" width="9" style="67"/>
    <col min="3" max="3" width="15.875" style="67" bestFit="1" customWidth="1"/>
    <col min="4" max="4" width="9" style="67"/>
    <col min="5" max="5" width="14.25" style="67" bestFit="1" customWidth="1"/>
    <col min="6" max="6" width="9" style="67" customWidth="1"/>
    <col min="7" max="7" width="11.125" style="67" customWidth="1"/>
    <col min="8" max="8" width="9" style="67"/>
    <col min="9" max="9" width="9" style="67" customWidth="1"/>
    <col min="10" max="10" width="7" style="67" customWidth="1"/>
    <col min="11" max="11" width="9" style="67"/>
    <col min="12" max="12" width="13.375" style="67" customWidth="1"/>
    <col min="13" max="14" width="9" style="67"/>
    <col min="15" max="15" width="9.375" style="67" customWidth="1"/>
    <col min="16" max="16" width="9" style="67"/>
    <col min="17" max="17" width="9.375" style="67" bestFit="1" customWidth="1"/>
    <col min="18" max="18" width="8.875" style="67" bestFit="1" customWidth="1"/>
    <col min="19" max="19" width="13.5" style="67" customWidth="1"/>
    <col min="20" max="20" width="7.75" style="67" bestFit="1" customWidth="1"/>
    <col min="21" max="21" width="6.5" style="67" bestFit="1" customWidth="1"/>
    <col min="22" max="23" width="7.25" style="67" bestFit="1" customWidth="1"/>
    <col min="24" max="25" width="6.5" style="67" bestFit="1" customWidth="1"/>
    <col min="26" max="26" width="6.875" style="67" bestFit="1" customWidth="1"/>
    <col min="27" max="27" width="11.25" style="67" bestFit="1" customWidth="1"/>
    <col min="28" max="28" width="9.625" style="67" bestFit="1" customWidth="1"/>
    <col min="29" max="29" width="8.875" style="67" bestFit="1" customWidth="1"/>
    <col min="30" max="30" width="9.625" style="67" bestFit="1" customWidth="1"/>
    <col min="31" max="31" width="8.75" style="67" bestFit="1" customWidth="1"/>
    <col min="32" max="32" width="7.25" style="67" bestFit="1" customWidth="1"/>
    <col min="33" max="16384" width="9" style="67"/>
  </cols>
  <sheetData>
    <row r="1" spans="1:32" x14ac:dyDescent="0.2">
      <c r="A1" s="66">
        <v>37</v>
      </c>
      <c r="C1" s="66" t="s">
        <v>44</v>
      </c>
      <c r="E1" s="66">
        <v>0.1</v>
      </c>
      <c r="F1" s="66" t="s">
        <v>102</v>
      </c>
      <c r="Q1" s="68"/>
      <c r="R1" s="68"/>
      <c r="S1" s="68"/>
      <c r="T1" s="93" t="s">
        <v>149</v>
      </c>
      <c r="U1" s="93"/>
      <c r="V1" s="68"/>
      <c r="W1" s="68"/>
      <c r="X1" s="68"/>
      <c r="Y1" s="68"/>
      <c r="Z1" s="68"/>
      <c r="AA1" s="68"/>
      <c r="AB1" s="68"/>
      <c r="AC1" s="68"/>
    </row>
    <row r="2" spans="1:32" ht="18" customHeight="1" x14ac:dyDescent="0.2">
      <c r="A2" s="66">
        <v>44</v>
      </c>
      <c r="C2" s="66" t="s">
        <v>45</v>
      </c>
      <c r="E2" s="66">
        <v>0.25</v>
      </c>
      <c r="F2" s="66" t="s">
        <v>103</v>
      </c>
      <c r="Q2" s="103" t="s">
        <v>150</v>
      </c>
      <c r="R2" s="103" t="s">
        <v>7</v>
      </c>
      <c r="S2" s="103" t="s">
        <v>8</v>
      </c>
      <c r="T2" s="98" t="s">
        <v>151</v>
      </c>
      <c r="U2" s="99"/>
      <c r="V2" s="99"/>
      <c r="W2" s="99"/>
      <c r="X2" s="99"/>
      <c r="Y2" s="99"/>
      <c r="Z2" s="100"/>
      <c r="AA2" s="98" t="s">
        <v>152</v>
      </c>
      <c r="AB2" s="99"/>
      <c r="AC2" s="100"/>
      <c r="AD2" s="98" t="s">
        <v>153</v>
      </c>
      <c r="AE2" s="99"/>
      <c r="AF2" s="100"/>
    </row>
    <row r="3" spans="1:32" ht="26.25" x14ac:dyDescent="0.2">
      <c r="A3" s="66">
        <v>52</v>
      </c>
      <c r="C3" s="66" t="s">
        <v>46</v>
      </c>
      <c r="M3" s="67">
        <v>10</v>
      </c>
      <c r="N3" s="67">
        <v>2</v>
      </c>
      <c r="O3" s="82" t="s">
        <v>203</v>
      </c>
      <c r="Q3" s="104"/>
      <c r="R3" s="105"/>
      <c r="S3" s="105"/>
      <c r="T3" s="62" t="s">
        <v>15</v>
      </c>
      <c r="U3" s="62" t="s">
        <v>16</v>
      </c>
      <c r="V3" s="62" t="s">
        <v>17</v>
      </c>
      <c r="W3" s="62" t="s">
        <v>18</v>
      </c>
      <c r="X3" s="62" t="s">
        <v>155</v>
      </c>
      <c r="Y3" s="62" t="s">
        <v>19</v>
      </c>
      <c r="Z3" s="62" t="s">
        <v>20</v>
      </c>
      <c r="AA3" s="62" t="s">
        <v>156</v>
      </c>
      <c r="AB3" s="62" t="s">
        <v>157</v>
      </c>
      <c r="AC3" s="62" t="s">
        <v>158</v>
      </c>
      <c r="AD3" s="62" t="s">
        <v>159</v>
      </c>
      <c r="AE3" s="62" t="s">
        <v>160</v>
      </c>
      <c r="AF3" s="62" t="s">
        <v>161</v>
      </c>
    </row>
    <row r="4" spans="1:32" ht="26.25" x14ac:dyDescent="0.2">
      <c r="E4" s="94" t="s">
        <v>120</v>
      </c>
      <c r="F4" s="94"/>
      <c r="G4" s="94"/>
      <c r="H4" s="94"/>
      <c r="I4" s="94"/>
      <c r="J4" s="94"/>
      <c r="K4" s="94"/>
      <c r="M4" s="81">
        <v>4.5</v>
      </c>
      <c r="N4" s="67">
        <v>2</v>
      </c>
      <c r="O4" s="82" t="s">
        <v>204</v>
      </c>
      <c r="Q4" s="105"/>
      <c r="R4" s="62" t="s">
        <v>162</v>
      </c>
      <c r="S4" s="62" t="s">
        <v>154</v>
      </c>
      <c r="T4" s="62" t="s">
        <v>29</v>
      </c>
      <c r="U4" s="62" t="s">
        <v>29</v>
      </c>
      <c r="V4" s="62" t="s">
        <v>29</v>
      </c>
      <c r="W4" s="62" t="s">
        <v>29</v>
      </c>
      <c r="X4" s="62" t="s">
        <v>29</v>
      </c>
      <c r="Y4" s="62" t="s">
        <v>29</v>
      </c>
      <c r="Z4" s="62" t="s">
        <v>29</v>
      </c>
      <c r="AA4" s="62" t="s">
        <v>163</v>
      </c>
      <c r="AB4" s="62" t="s">
        <v>164</v>
      </c>
      <c r="AC4" s="62" t="s">
        <v>31</v>
      </c>
      <c r="AD4" s="62" t="s">
        <v>163</v>
      </c>
      <c r="AE4" s="62" t="s">
        <v>164</v>
      </c>
      <c r="AF4" s="62" t="s">
        <v>31</v>
      </c>
    </row>
    <row r="5" spans="1:32" ht="23.25" x14ac:dyDescent="0.2">
      <c r="A5" s="77" t="s">
        <v>202</v>
      </c>
      <c r="B5" s="95">
        <v>37</v>
      </c>
      <c r="C5" s="95"/>
      <c r="D5" s="69"/>
      <c r="E5" s="96" t="s">
        <v>54</v>
      </c>
      <c r="F5" s="97"/>
      <c r="G5" s="69"/>
      <c r="H5" s="69"/>
      <c r="I5" s="69"/>
      <c r="J5" s="69"/>
      <c r="K5" s="69"/>
      <c r="L5" s="69"/>
      <c r="M5" s="69">
        <f>M3-M4</f>
        <v>5.5</v>
      </c>
      <c r="N5" s="69">
        <v>2</v>
      </c>
      <c r="O5" s="83" t="s">
        <v>205</v>
      </c>
      <c r="Q5" s="63">
        <v>100</v>
      </c>
      <c r="R5" s="64">
        <v>21.2</v>
      </c>
      <c r="S5" s="64">
        <v>16.7</v>
      </c>
      <c r="T5" s="63">
        <v>96</v>
      </c>
      <c r="U5" s="63">
        <v>100</v>
      </c>
      <c r="V5" s="64">
        <v>5</v>
      </c>
      <c r="W5" s="64">
        <v>8</v>
      </c>
      <c r="X5" s="63">
        <v>12</v>
      </c>
      <c r="Y5" s="63">
        <v>20</v>
      </c>
      <c r="Z5" s="63">
        <v>56</v>
      </c>
      <c r="AA5" s="63">
        <v>349</v>
      </c>
      <c r="AB5" s="63">
        <v>73</v>
      </c>
      <c r="AC5" s="65">
        <v>4.0599999999999996</v>
      </c>
      <c r="AD5" s="63">
        <v>134</v>
      </c>
      <c r="AE5" s="64">
        <v>26.8</v>
      </c>
      <c r="AF5" s="65">
        <v>2.5099999999999998</v>
      </c>
    </row>
    <row r="6" spans="1:32" ht="23.25" x14ac:dyDescent="0.2">
      <c r="A6" s="77" t="s">
        <v>165</v>
      </c>
      <c r="B6" s="78">
        <f>IF(B5=A1,2.4,IF(B5=A2,2.8,3.6))</f>
        <v>2.4</v>
      </c>
      <c r="C6" s="78" t="s">
        <v>166</v>
      </c>
      <c r="D6" s="69"/>
      <c r="E6" s="70" t="s">
        <v>167</v>
      </c>
      <c r="F6" s="69">
        <f>B19*10^-5</f>
        <v>9.7599999999999998E-4</v>
      </c>
      <c r="G6" s="69" t="s">
        <v>55</v>
      </c>
      <c r="H6" s="69"/>
      <c r="I6" s="69"/>
      <c r="J6" s="69"/>
      <c r="K6" s="69"/>
      <c r="L6" s="69"/>
      <c r="M6" s="69"/>
      <c r="N6" s="69">
        <v>2</v>
      </c>
      <c r="O6" s="83" t="s">
        <v>206</v>
      </c>
      <c r="Q6" s="63">
        <v>120</v>
      </c>
      <c r="R6" s="64">
        <v>25.3</v>
      </c>
      <c r="S6" s="64">
        <v>19.899999999999999</v>
      </c>
      <c r="T6" s="63">
        <v>114</v>
      </c>
      <c r="U6" s="63">
        <v>120</v>
      </c>
      <c r="V6" s="64">
        <v>5</v>
      </c>
      <c r="W6" s="64">
        <v>8</v>
      </c>
      <c r="X6" s="63">
        <v>12</v>
      </c>
      <c r="Y6" s="63">
        <v>20</v>
      </c>
      <c r="Z6" s="63">
        <v>74</v>
      </c>
      <c r="AA6" s="63">
        <v>606</v>
      </c>
      <c r="AB6" s="63">
        <v>106</v>
      </c>
      <c r="AC6" s="65">
        <v>4.8899999999999997</v>
      </c>
      <c r="AD6" s="63">
        <v>231</v>
      </c>
      <c r="AE6" s="64">
        <v>38.5</v>
      </c>
      <c r="AF6" s="65">
        <v>3.02</v>
      </c>
    </row>
    <row r="7" spans="1:32" ht="23.25" x14ac:dyDescent="0.2">
      <c r="A7" s="77" t="s">
        <v>168</v>
      </c>
      <c r="B7" s="78">
        <f>IF(B5=A1,3.7,IF(B5=A2,4.4,5.2))</f>
        <v>3.7</v>
      </c>
      <c r="C7" s="78" t="s">
        <v>166</v>
      </c>
      <c r="D7" s="69"/>
      <c r="E7" s="70" t="s">
        <v>169</v>
      </c>
      <c r="F7" s="69">
        <f>F6*((B10^2)/8)</f>
        <v>43.92</v>
      </c>
      <c r="G7" s="69" t="s">
        <v>56</v>
      </c>
      <c r="H7" s="69"/>
      <c r="I7" s="69"/>
      <c r="J7" s="69"/>
      <c r="K7" s="69"/>
      <c r="L7" s="69"/>
      <c r="M7" s="69"/>
      <c r="N7" s="69">
        <v>2</v>
      </c>
      <c r="O7" s="83" t="s">
        <v>207</v>
      </c>
      <c r="Q7" s="63">
        <v>140</v>
      </c>
      <c r="R7" s="64">
        <v>31.4</v>
      </c>
      <c r="S7" s="64">
        <v>24.7</v>
      </c>
      <c r="T7" s="63">
        <v>133</v>
      </c>
      <c r="U7" s="63">
        <v>140</v>
      </c>
      <c r="V7" s="64">
        <v>5.5</v>
      </c>
      <c r="W7" s="64">
        <v>8.5</v>
      </c>
      <c r="X7" s="63">
        <v>12</v>
      </c>
      <c r="Y7" s="63">
        <v>21</v>
      </c>
      <c r="Z7" s="63">
        <v>91</v>
      </c>
      <c r="AA7" s="63">
        <v>1030</v>
      </c>
      <c r="AB7" s="63">
        <v>155</v>
      </c>
      <c r="AC7" s="65">
        <v>5.73</v>
      </c>
      <c r="AD7" s="63">
        <v>389</v>
      </c>
      <c r="AE7" s="64">
        <v>55.6</v>
      </c>
      <c r="AF7" s="65">
        <v>3.52</v>
      </c>
    </row>
    <row r="8" spans="1:32" ht="23.25" x14ac:dyDescent="0.2">
      <c r="A8" s="73"/>
      <c r="B8" s="69"/>
      <c r="C8" s="69"/>
      <c r="D8" s="69"/>
      <c r="E8" s="70" t="s">
        <v>170</v>
      </c>
      <c r="F8" s="69">
        <f>F6*0.5*B10</f>
        <v>0.2928</v>
      </c>
      <c r="G8" s="69" t="s">
        <v>57</v>
      </c>
      <c r="H8" s="69"/>
      <c r="I8" s="97" t="s">
        <v>105</v>
      </c>
      <c r="J8" s="97"/>
      <c r="K8" s="97"/>
      <c r="L8" s="69"/>
      <c r="M8" s="69"/>
      <c r="N8" s="69"/>
      <c r="O8" s="69"/>
      <c r="Q8" s="63">
        <v>160</v>
      </c>
      <c r="R8" s="64">
        <v>38.799999999999997</v>
      </c>
      <c r="S8" s="64">
        <v>30.4</v>
      </c>
      <c r="T8" s="63">
        <v>152</v>
      </c>
      <c r="U8" s="63">
        <v>160</v>
      </c>
      <c r="V8" s="64">
        <v>6</v>
      </c>
      <c r="W8" s="64">
        <v>9</v>
      </c>
      <c r="X8" s="63">
        <v>15</v>
      </c>
      <c r="Y8" s="63">
        <v>24</v>
      </c>
      <c r="Z8" s="63">
        <v>104</v>
      </c>
      <c r="AA8" s="63">
        <v>1670</v>
      </c>
      <c r="AB8" s="63">
        <v>220</v>
      </c>
      <c r="AC8" s="65">
        <v>6.57</v>
      </c>
      <c r="AD8" s="63">
        <v>616</v>
      </c>
      <c r="AE8" s="64">
        <v>76.900000000000006</v>
      </c>
      <c r="AF8" s="65">
        <v>3.98</v>
      </c>
    </row>
    <row r="9" spans="1:32" ht="23.25" x14ac:dyDescent="0.2">
      <c r="A9" s="97" t="s">
        <v>119</v>
      </c>
      <c r="B9" s="97"/>
      <c r="C9" s="97"/>
      <c r="D9" s="69"/>
      <c r="E9" s="74"/>
      <c r="F9" s="69"/>
      <c r="G9" s="69"/>
      <c r="H9" s="69"/>
      <c r="I9" s="69" t="s">
        <v>171</v>
      </c>
      <c r="J9" s="69">
        <f>1.2*F7+1.6*F12*(1+B11)</f>
        <v>4219.3706666666676</v>
      </c>
      <c r="K9" s="69" t="s">
        <v>56</v>
      </c>
      <c r="L9" s="69"/>
      <c r="M9" s="69"/>
      <c r="N9" s="69"/>
      <c r="O9" s="69"/>
      <c r="Q9" s="63">
        <v>180</v>
      </c>
      <c r="R9" s="64">
        <v>45.3</v>
      </c>
      <c r="S9" s="64">
        <v>35.5</v>
      </c>
      <c r="T9" s="63">
        <v>171</v>
      </c>
      <c r="U9" s="63">
        <v>180</v>
      </c>
      <c r="V9" s="64">
        <v>6</v>
      </c>
      <c r="W9" s="64">
        <v>9.5</v>
      </c>
      <c r="X9" s="63">
        <v>15</v>
      </c>
      <c r="Y9" s="63">
        <v>25</v>
      </c>
      <c r="Z9" s="63">
        <v>121</v>
      </c>
      <c r="AA9" s="63">
        <v>2510</v>
      </c>
      <c r="AB9" s="63">
        <v>294</v>
      </c>
      <c r="AC9" s="65">
        <v>7.45</v>
      </c>
      <c r="AD9" s="63">
        <v>925</v>
      </c>
      <c r="AE9" s="63">
        <v>103</v>
      </c>
      <c r="AF9" s="65">
        <v>4.5199999999999996</v>
      </c>
    </row>
    <row r="10" spans="1:32" ht="23.25" x14ac:dyDescent="0.2">
      <c r="A10" s="76" t="s">
        <v>172</v>
      </c>
      <c r="B10" s="75">
        <v>600</v>
      </c>
      <c r="C10" s="78" t="s">
        <v>31</v>
      </c>
      <c r="D10" s="69"/>
      <c r="E10" s="96" t="s">
        <v>58</v>
      </c>
      <c r="F10" s="97"/>
      <c r="G10" s="69"/>
      <c r="H10" s="69"/>
      <c r="I10" s="69" t="s">
        <v>173</v>
      </c>
      <c r="J10" s="69">
        <f>1.6*0.1*F12</f>
        <v>333.33333333333343</v>
      </c>
      <c r="K10" s="69" t="s">
        <v>56</v>
      </c>
      <c r="L10" s="69"/>
      <c r="M10" s="69"/>
      <c r="N10" s="69"/>
      <c r="O10" s="69"/>
      <c r="Q10" s="63">
        <v>200</v>
      </c>
      <c r="R10" s="64">
        <v>53.8</v>
      </c>
      <c r="S10" s="64">
        <v>42.3</v>
      </c>
      <c r="T10" s="63">
        <v>190</v>
      </c>
      <c r="U10" s="63">
        <v>200</v>
      </c>
      <c r="V10" s="64">
        <v>6.5</v>
      </c>
      <c r="W10" s="64">
        <v>10</v>
      </c>
      <c r="X10" s="63">
        <v>18</v>
      </c>
      <c r="Y10" s="63">
        <v>28</v>
      </c>
      <c r="Z10" s="63">
        <v>134</v>
      </c>
      <c r="AA10" s="63">
        <v>3690</v>
      </c>
      <c r="AB10" s="63">
        <v>389</v>
      </c>
      <c r="AC10" s="65">
        <v>8.2799999999999994</v>
      </c>
      <c r="AD10" s="63">
        <v>1340</v>
      </c>
      <c r="AE10" s="63">
        <v>134</v>
      </c>
      <c r="AF10" s="65">
        <v>4.9800000000000004</v>
      </c>
    </row>
    <row r="11" spans="1:32" ht="37.5" x14ac:dyDescent="0.2">
      <c r="A11" s="76" t="s">
        <v>59</v>
      </c>
      <c r="B11" s="75">
        <v>0.25</v>
      </c>
      <c r="C11" s="78" t="s">
        <v>43</v>
      </c>
      <c r="D11" s="69"/>
      <c r="E11" s="70" t="s">
        <v>111</v>
      </c>
      <c r="F11" s="69">
        <f>(B12*(0.5*B10+0.25*B13)+B12*(0.5*B10-0.75*B13))/B10</f>
        <v>8.3333333333333339</v>
      </c>
      <c r="G11" s="69" t="s">
        <v>57</v>
      </c>
      <c r="H11" s="69"/>
      <c r="I11" s="69" t="s">
        <v>174</v>
      </c>
      <c r="J11" s="69">
        <f>1.2*F8+1.6*F13*(1+B11)</f>
        <v>33.684693333333342</v>
      </c>
      <c r="K11" s="69" t="s">
        <v>57</v>
      </c>
      <c r="L11" s="69"/>
      <c r="M11" s="69"/>
      <c r="N11" s="69"/>
      <c r="O11" s="69"/>
      <c r="Q11" s="63">
        <v>220</v>
      </c>
      <c r="R11" s="64">
        <v>64.3</v>
      </c>
      <c r="S11" s="64">
        <v>50.5</v>
      </c>
      <c r="T11" s="63">
        <v>210</v>
      </c>
      <c r="U11" s="63">
        <v>220</v>
      </c>
      <c r="V11" s="64">
        <v>7</v>
      </c>
      <c r="W11" s="64">
        <v>11</v>
      </c>
      <c r="X11" s="63">
        <v>18</v>
      </c>
      <c r="Y11" s="63">
        <v>29</v>
      </c>
      <c r="Z11" s="63">
        <v>152</v>
      </c>
      <c r="AA11" s="63">
        <v>5410</v>
      </c>
      <c r="AB11" s="63">
        <v>515</v>
      </c>
      <c r="AC11" s="65">
        <v>9.17</v>
      </c>
      <c r="AD11" s="63">
        <v>1950</v>
      </c>
      <c r="AE11" s="63">
        <v>178</v>
      </c>
      <c r="AF11" s="65">
        <v>5.51</v>
      </c>
    </row>
    <row r="12" spans="1:32" ht="23.25" x14ac:dyDescent="0.2">
      <c r="A12" s="76" t="s">
        <v>89</v>
      </c>
      <c r="B12" s="75">
        <v>10</v>
      </c>
      <c r="C12" s="78" t="s">
        <v>57</v>
      </c>
      <c r="D12" s="69"/>
      <c r="E12" s="70" t="s">
        <v>175</v>
      </c>
      <c r="F12" s="69">
        <f>MAX(F11*(0.5*B10-0.25*B13),B12*0.25*B10)</f>
        <v>2083.3333333333335</v>
      </c>
      <c r="G12" s="69" t="s">
        <v>56</v>
      </c>
      <c r="H12" s="69"/>
      <c r="I12" s="69"/>
      <c r="J12" s="69"/>
      <c r="K12" s="69"/>
      <c r="L12" s="69"/>
      <c r="M12" s="69"/>
      <c r="N12" s="69"/>
      <c r="O12" s="69"/>
      <c r="Q12" s="63">
        <v>240</v>
      </c>
      <c r="R12" s="64">
        <v>76.8</v>
      </c>
      <c r="S12" s="64">
        <v>60.3</v>
      </c>
      <c r="T12" s="63">
        <v>230</v>
      </c>
      <c r="U12" s="63">
        <v>240</v>
      </c>
      <c r="V12" s="64">
        <v>7.5</v>
      </c>
      <c r="W12" s="64">
        <v>12</v>
      </c>
      <c r="X12" s="63">
        <v>21</v>
      </c>
      <c r="Y12" s="63">
        <v>33</v>
      </c>
      <c r="Z12" s="63">
        <v>164</v>
      </c>
      <c r="AA12" s="63">
        <v>7760</v>
      </c>
      <c r="AB12" s="63">
        <v>675</v>
      </c>
      <c r="AC12" s="65">
        <v>10.1</v>
      </c>
      <c r="AD12" s="63">
        <v>2770</v>
      </c>
      <c r="AE12" s="63">
        <v>231</v>
      </c>
      <c r="AF12" s="65">
        <v>6</v>
      </c>
    </row>
    <row r="13" spans="1:32" ht="38.25" thickBot="1" x14ac:dyDescent="0.25">
      <c r="A13" s="76" t="s">
        <v>104</v>
      </c>
      <c r="B13" s="75">
        <v>200</v>
      </c>
      <c r="C13" s="78" t="s">
        <v>31</v>
      </c>
      <c r="D13" s="69"/>
      <c r="E13" s="71" t="s">
        <v>176</v>
      </c>
      <c r="F13" s="72">
        <f>(B12*B10+B12*(B10-B13))/B10</f>
        <v>16.666666666666668</v>
      </c>
      <c r="G13" s="72" t="s">
        <v>57</v>
      </c>
      <c r="H13" s="72"/>
      <c r="I13" s="72"/>
      <c r="J13" s="72"/>
      <c r="K13" s="72"/>
      <c r="L13" s="69"/>
      <c r="M13" s="69"/>
      <c r="N13" s="69"/>
      <c r="O13" s="69"/>
      <c r="Q13" s="63">
        <v>260</v>
      </c>
      <c r="R13" s="64">
        <v>86.8</v>
      </c>
      <c r="S13" s="64">
        <v>68.2</v>
      </c>
      <c r="T13" s="63">
        <v>250</v>
      </c>
      <c r="U13" s="63">
        <v>260</v>
      </c>
      <c r="V13" s="64">
        <v>7.5</v>
      </c>
      <c r="W13" s="64">
        <v>12.5</v>
      </c>
      <c r="X13" s="63">
        <v>24</v>
      </c>
      <c r="Y13" s="63">
        <v>37</v>
      </c>
      <c r="Z13" s="63">
        <v>176</v>
      </c>
      <c r="AA13" s="63">
        <v>10450</v>
      </c>
      <c r="AB13" s="63">
        <v>836</v>
      </c>
      <c r="AC13" s="65">
        <v>11</v>
      </c>
      <c r="AD13" s="63">
        <v>3670</v>
      </c>
      <c r="AE13" s="63">
        <v>282</v>
      </c>
      <c r="AF13" s="65">
        <v>6.5</v>
      </c>
    </row>
    <row r="14" spans="1:32" ht="23.25" x14ac:dyDescent="0.2">
      <c r="A14" s="76" t="s">
        <v>177</v>
      </c>
      <c r="B14" s="75">
        <v>5</v>
      </c>
      <c r="C14" s="78" t="s">
        <v>31</v>
      </c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Q14" s="63">
        <v>280</v>
      </c>
      <c r="R14" s="64">
        <v>97.3</v>
      </c>
      <c r="S14" s="64">
        <v>76.400000000000006</v>
      </c>
      <c r="T14" s="63">
        <v>270</v>
      </c>
      <c r="U14" s="63">
        <v>280</v>
      </c>
      <c r="V14" s="64">
        <v>8</v>
      </c>
      <c r="W14" s="64">
        <v>13</v>
      </c>
      <c r="X14" s="63">
        <v>24</v>
      </c>
      <c r="Y14" s="63">
        <v>37</v>
      </c>
      <c r="Z14" s="63">
        <v>196</v>
      </c>
      <c r="AA14" s="63">
        <v>13670</v>
      </c>
      <c r="AB14" s="63">
        <v>1010</v>
      </c>
      <c r="AC14" s="65">
        <v>11.9</v>
      </c>
      <c r="AD14" s="63">
        <v>4760</v>
      </c>
      <c r="AE14" s="63">
        <v>340</v>
      </c>
      <c r="AF14" s="65">
        <v>7</v>
      </c>
    </row>
    <row r="15" spans="1:32" ht="23.25" x14ac:dyDescent="0.2">
      <c r="A15" s="76" t="s">
        <v>178</v>
      </c>
      <c r="B15" s="75">
        <v>30</v>
      </c>
      <c r="C15" s="78" t="s">
        <v>31</v>
      </c>
      <c r="D15" s="69"/>
      <c r="F15" s="73"/>
      <c r="G15" s="69"/>
      <c r="H15" s="69"/>
      <c r="I15" s="69"/>
      <c r="J15" s="69"/>
      <c r="K15" s="69"/>
      <c r="L15" s="69"/>
      <c r="M15" s="69"/>
      <c r="N15" s="69"/>
      <c r="O15" s="69"/>
      <c r="Q15" s="63">
        <v>300</v>
      </c>
      <c r="R15" s="63">
        <v>113</v>
      </c>
      <c r="S15" s="64">
        <v>88.3</v>
      </c>
      <c r="T15" s="63">
        <v>290</v>
      </c>
      <c r="U15" s="63">
        <v>300</v>
      </c>
      <c r="V15" s="64">
        <v>8.5</v>
      </c>
      <c r="W15" s="64">
        <v>14</v>
      </c>
      <c r="X15" s="63">
        <v>27</v>
      </c>
      <c r="Y15" s="63">
        <v>41</v>
      </c>
      <c r="Z15" s="63">
        <v>208</v>
      </c>
      <c r="AA15" s="63">
        <v>18260</v>
      </c>
      <c r="AB15" s="63">
        <v>1260</v>
      </c>
      <c r="AC15" s="65">
        <v>12.7</v>
      </c>
      <c r="AD15" s="63">
        <v>6310</v>
      </c>
      <c r="AE15" s="63">
        <v>421</v>
      </c>
      <c r="AF15" s="65">
        <v>7.49</v>
      </c>
    </row>
    <row r="16" spans="1:32" ht="23.25" x14ac:dyDescent="0.2">
      <c r="A16" s="76"/>
      <c r="B16" s="75"/>
      <c r="C16" s="69"/>
      <c r="D16" s="69"/>
      <c r="E16" s="73"/>
      <c r="F16" s="73"/>
      <c r="G16" s="69"/>
      <c r="H16" s="69"/>
      <c r="I16" s="69"/>
      <c r="J16" s="69"/>
      <c r="K16" s="69"/>
      <c r="L16" s="69"/>
      <c r="M16" s="69"/>
      <c r="N16" s="69"/>
      <c r="O16" s="69"/>
      <c r="Q16" s="63">
        <v>320</v>
      </c>
      <c r="R16" s="63">
        <v>124</v>
      </c>
      <c r="S16" s="64">
        <v>97.6</v>
      </c>
      <c r="T16" s="63">
        <v>310</v>
      </c>
      <c r="U16" s="63">
        <v>300</v>
      </c>
      <c r="V16" s="64">
        <v>9</v>
      </c>
      <c r="W16" s="64">
        <v>15.5</v>
      </c>
      <c r="X16" s="63">
        <v>27</v>
      </c>
      <c r="Y16" s="63">
        <v>43</v>
      </c>
      <c r="Z16" s="63">
        <v>224</v>
      </c>
      <c r="AA16" s="63">
        <v>22930</v>
      </c>
      <c r="AB16" s="63">
        <v>1480</v>
      </c>
      <c r="AC16" s="65">
        <v>13.6</v>
      </c>
      <c r="AD16" s="63">
        <v>6990</v>
      </c>
      <c r="AE16" s="63">
        <v>466</v>
      </c>
      <c r="AF16" s="65">
        <v>7.49</v>
      </c>
    </row>
    <row r="17" spans="1:32" ht="27" customHeight="1" x14ac:dyDescent="0.2">
      <c r="A17" s="97" t="s">
        <v>117</v>
      </c>
      <c r="B17" s="97"/>
      <c r="C17" s="97"/>
      <c r="D17" s="69"/>
      <c r="E17" s="97" t="s">
        <v>47</v>
      </c>
      <c r="F17" s="97"/>
      <c r="G17" s="69"/>
      <c r="H17" s="69"/>
      <c r="I17" s="69"/>
      <c r="J17" s="69"/>
      <c r="K17" s="69"/>
      <c r="L17" s="69"/>
      <c r="M17" s="69"/>
      <c r="N17" s="69"/>
      <c r="O17" s="69"/>
      <c r="Q17" s="63">
        <v>340</v>
      </c>
      <c r="R17" s="63">
        <v>133</v>
      </c>
      <c r="S17" s="63">
        <v>105</v>
      </c>
      <c r="T17" s="63">
        <v>330</v>
      </c>
      <c r="U17" s="63">
        <v>300</v>
      </c>
      <c r="V17" s="64">
        <v>9.5</v>
      </c>
      <c r="W17" s="64">
        <v>16.5</v>
      </c>
      <c r="X17" s="63">
        <v>27</v>
      </c>
      <c r="Y17" s="63">
        <v>44</v>
      </c>
      <c r="Z17" s="63">
        <v>242</v>
      </c>
      <c r="AA17" s="63">
        <v>27690</v>
      </c>
      <c r="AB17" s="63">
        <v>1680</v>
      </c>
      <c r="AC17" s="65">
        <v>14.4</v>
      </c>
      <c r="AD17" s="63">
        <v>7440</v>
      </c>
      <c r="AE17" s="63">
        <v>496</v>
      </c>
      <c r="AF17" s="65">
        <v>7.46</v>
      </c>
    </row>
    <row r="18" spans="1:32" ht="23.25" x14ac:dyDescent="0.2">
      <c r="A18" s="78" t="s">
        <v>149</v>
      </c>
      <c r="B18" s="95">
        <v>320</v>
      </c>
      <c r="C18" s="95"/>
      <c r="D18" s="69"/>
      <c r="E18" s="97" t="s">
        <v>48</v>
      </c>
      <c r="F18" s="97"/>
      <c r="G18" s="69"/>
      <c r="H18" s="69"/>
      <c r="I18" s="69"/>
      <c r="J18" s="69"/>
      <c r="K18" s="69"/>
      <c r="L18" s="69"/>
      <c r="M18" s="69"/>
      <c r="N18" s="69"/>
      <c r="O18" s="69"/>
      <c r="Q18" s="63">
        <v>360</v>
      </c>
      <c r="R18" s="63">
        <v>143</v>
      </c>
      <c r="S18" s="63">
        <v>112</v>
      </c>
      <c r="T18" s="63">
        <v>350</v>
      </c>
      <c r="U18" s="63">
        <v>300</v>
      </c>
      <c r="V18" s="64">
        <v>10</v>
      </c>
      <c r="W18" s="64">
        <v>17.5</v>
      </c>
      <c r="X18" s="63">
        <v>27</v>
      </c>
      <c r="Y18" s="63">
        <v>45</v>
      </c>
      <c r="Z18" s="63">
        <v>260</v>
      </c>
      <c r="AA18" s="63">
        <v>33090</v>
      </c>
      <c r="AB18" s="63">
        <v>1890</v>
      </c>
      <c r="AC18" s="65">
        <v>15.2</v>
      </c>
      <c r="AD18" s="63">
        <v>7890</v>
      </c>
      <c r="AE18" s="63">
        <v>526</v>
      </c>
      <c r="AF18" s="65">
        <v>7.43</v>
      </c>
    </row>
    <row r="19" spans="1:32" ht="23.25" x14ac:dyDescent="0.2">
      <c r="A19" s="78" t="s">
        <v>8</v>
      </c>
      <c r="B19" s="78">
        <f>VLOOKUP(B18,Q2:AF28,3,FALSE)</f>
        <v>97.6</v>
      </c>
      <c r="C19" s="78" t="s">
        <v>27</v>
      </c>
      <c r="D19" s="69"/>
      <c r="E19" s="77" t="s">
        <v>49</v>
      </c>
      <c r="F19" s="69">
        <f>B26/B22</f>
        <v>24.888888888888889</v>
      </c>
      <c r="G19" s="69" t="str">
        <f>IF(F19&lt;127/SQRT(B6),C1,C2)</f>
        <v>Compact</v>
      </c>
      <c r="H19" s="101" t="s">
        <v>51</v>
      </c>
      <c r="I19" s="101" t="s">
        <v>52</v>
      </c>
      <c r="J19" s="101"/>
      <c r="K19" s="101"/>
      <c r="L19" s="101" t="str">
        <f>IF(AND(G19=C1,G20=C1),C1,C2)</f>
        <v>Compact</v>
      </c>
      <c r="M19" s="69"/>
      <c r="N19" s="69"/>
      <c r="O19" s="69"/>
      <c r="Q19" s="63">
        <v>400</v>
      </c>
      <c r="R19" s="63">
        <v>159</v>
      </c>
      <c r="S19" s="63">
        <v>125</v>
      </c>
      <c r="T19" s="63">
        <v>390</v>
      </c>
      <c r="U19" s="63">
        <v>300</v>
      </c>
      <c r="V19" s="64">
        <v>11</v>
      </c>
      <c r="W19" s="64">
        <v>19</v>
      </c>
      <c r="X19" s="63">
        <v>27</v>
      </c>
      <c r="Y19" s="63">
        <v>46</v>
      </c>
      <c r="Z19" s="63">
        <v>298</v>
      </c>
      <c r="AA19" s="63">
        <v>45070</v>
      </c>
      <c r="AB19" s="63">
        <v>2310</v>
      </c>
      <c r="AC19" s="65">
        <v>16.8</v>
      </c>
      <c r="AD19" s="63">
        <v>8560</v>
      </c>
      <c r="AE19" s="63">
        <v>571</v>
      </c>
      <c r="AF19" s="65">
        <v>7.34</v>
      </c>
    </row>
    <row r="20" spans="1:32" ht="23.25" x14ac:dyDescent="0.2">
      <c r="A20" s="78" t="s">
        <v>15</v>
      </c>
      <c r="B20" s="78">
        <f>VLOOKUP(B18,Q2:AF28,4,FALSE)</f>
        <v>310</v>
      </c>
      <c r="C20" s="78" t="s">
        <v>29</v>
      </c>
      <c r="D20" s="69"/>
      <c r="E20" s="77" t="s">
        <v>50</v>
      </c>
      <c r="F20" s="69">
        <f>(B21-B22-2*B23)/(2*B23)</f>
        <v>8.387096774193548</v>
      </c>
      <c r="G20" s="69" t="str">
        <f>IF(F20&lt;=16.9/SQRT(B6),C1,C2)</f>
        <v>Compact</v>
      </c>
      <c r="H20" s="101"/>
      <c r="I20" s="101"/>
      <c r="J20" s="101"/>
      <c r="K20" s="101"/>
      <c r="L20" s="101"/>
      <c r="M20" s="69"/>
      <c r="N20" s="69"/>
      <c r="O20" s="69"/>
      <c r="Q20" s="63">
        <v>450</v>
      </c>
      <c r="R20" s="63">
        <v>178</v>
      </c>
      <c r="S20" s="63">
        <v>140</v>
      </c>
      <c r="T20" s="63">
        <v>440</v>
      </c>
      <c r="U20" s="63">
        <v>300</v>
      </c>
      <c r="V20" s="64">
        <v>11.5</v>
      </c>
      <c r="W20" s="64">
        <v>21</v>
      </c>
      <c r="X20" s="63">
        <v>27</v>
      </c>
      <c r="Y20" s="63">
        <v>48</v>
      </c>
      <c r="Z20" s="63">
        <v>344</v>
      </c>
      <c r="AA20" s="63">
        <v>63720</v>
      </c>
      <c r="AB20" s="63">
        <v>2900</v>
      </c>
      <c r="AC20" s="65">
        <v>18.899999999999999</v>
      </c>
      <c r="AD20" s="63">
        <v>9470</v>
      </c>
      <c r="AE20" s="63">
        <v>631</v>
      </c>
      <c r="AF20" s="65">
        <v>7.29</v>
      </c>
    </row>
    <row r="21" spans="1:32" ht="23.25" x14ac:dyDescent="0.2">
      <c r="A21" s="78" t="s">
        <v>16</v>
      </c>
      <c r="B21" s="78">
        <f>VLOOKUP(B18,Q2:AF28,5,FALSE)</f>
        <v>300</v>
      </c>
      <c r="C21" s="78" t="s">
        <v>29</v>
      </c>
      <c r="D21" s="69"/>
      <c r="E21" s="77"/>
      <c r="F21" s="69"/>
      <c r="G21" s="69"/>
      <c r="H21" s="69"/>
      <c r="I21" s="69"/>
      <c r="J21" s="69"/>
      <c r="K21" s="69"/>
      <c r="L21" s="69"/>
      <c r="M21" s="69"/>
      <c r="N21" s="69"/>
      <c r="O21" s="69"/>
      <c r="Q21" s="63">
        <v>500</v>
      </c>
      <c r="R21" s="63">
        <v>198</v>
      </c>
      <c r="S21" s="63">
        <v>155</v>
      </c>
      <c r="T21" s="63">
        <v>490</v>
      </c>
      <c r="U21" s="63">
        <v>300</v>
      </c>
      <c r="V21" s="64">
        <v>12</v>
      </c>
      <c r="W21" s="64">
        <v>23</v>
      </c>
      <c r="X21" s="63">
        <v>27</v>
      </c>
      <c r="Y21" s="63">
        <v>50</v>
      </c>
      <c r="Z21" s="63">
        <v>390</v>
      </c>
      <c r="AA21" s="63">
        <v>86970</v>
      </c>
      <c r="AB21" s="63">
        <v>3550</v>
      </c>
      <c r="AC21" s="65">
        <v>21</v>
      </c>
      <c r="AD21" s="63">
        <v>10370</v>
      </c>
      <c r="AE21" s="63">
        <v>691</v>
      </c>
      <c r="AF21" s="65">
        <v>7.24</v>
      </c>
    </row>
    <row r="22" spans="1:32" ht="24" thickBot="1" x14ac:dyDescent="0.25">
      <c r="A22" s="78" t="s">
        <v>17</v>
      </c>
      <c r="B22" s="78">
        <f>VLOOKUP(B18,Q2:AF28,6,FALSE)</f>
        <v>9</v>
      </c>
      <c r="C22" s="78" t="s">
        <v>29</v>
      </c>
      <c r="D22" s="69"/>
      <c r="E22" s="72"/>
      <c r="F22" s="72"/>
      <c r="G22" s="72"/>
      <c r="H22" s="72"/>
      <c r="I22" s="72"/>
      <c r="J22" s="72"/>
      <c r="K22" s="72"/>
      <c r="L22" s="69"/>
      <c r="M22" s="69"/>
      <c r="N22" s="69"/>
      <c r="O22" s="69"/>
      <c r="Q22" s="63">
        <v>550</v>
      </c>
      <c r="R22" s="63">
        <v>212</v>
      </c>
      <c r="S22" s="63">
        <v>166</v>
      </c>
      <c r="T22" s="63">
        <v>540</v>
      </c>
      <c r="U22" s="63">
        <v>300</v>
      </c>
      <c r="V22" s="64">
        <v>12.5</v>
      </c>
      <c r="W22" s="64">
        <v>24</v>
      </c>
      <c r="X22" s="63">
        <v>27</v>
      </c>
      <c r="Y22" s="63">
        <v>51</v>
      </c>
      <c r="Z22" s="63">
        <v>438</v>
      </c>
      <c r="AA22" s="63">
        <v>111900</v>
      </c>
      <c r="AB22" s="63">
        <v>4150</v>
      </c>
      <c r="AC22" s="65">
        <v>23</v>
      </c>
      <c r="AD22" s="63">
        <v>10820</v>
      </c>
      <c r="AE22" s="63">
        <v>721</v>
      </c>
      <c r="AF22" s="65">
        <v>7.15</v>
      </c>
    </row>
    <row r="23" spans="1:32" ht="23.25" x14ac:dyDescent="0.2">
      <c r="A23" s="78" t="s">
        <v>18</v>
      </c>
      <c r="B23" s="78">
        <f>VLOOKUP(B18,Q2:AF28,7,FALSE)</f>
        <v>15.5</v>
      </c>
      <c r="C23" s="78" t="s">
        <v>29</v>
      </c>
      <c r="D23" s="69"/>
      <c r="E23" s="97" t="s">
        <v>53</v>
      </c>
      <c r="F23" s="97"/>
      <c r="G23" s="69"/>
      <c r="H23" s="69"/>
      <c r="I23" s="69"/>
      <c r="J23" s="69"/>
      <c r="K23" s="69"/>
      <c r="L23" s="69"/>
      <c r="M23" s="69"/>
      <c r="N23" s="69"/>
      <c r="O23" s="69"/>
      <c r="Q23" s="63">
        <v>600</v>
      </c>
      <c r="R23" s="63">
        <v>226</v>
      </c>
      <c r="S23" s="63">
        <v>178</v>
      </c>
      <c r="T23" s="63">
        <v>590</v>
      </c>
      <c r="U23" s="63">
        <v>300</v>
      </c>
      <c r="V23" s="64">
        <v>13</v>
      </c>
      <c r="W23" s="64">
        <v>25</v>
      </c>
      <c r="X23" s="63">
        <v>27</v>
      </c>
      <c r="Y23" s="63">
        <v>52</v>
      </c>
      <c r="Z23" s="63">
        <v>486</v>
      </c>
      <c r="AA23" s="63">
        <v>141200</v>
      </c>
      <c r="AB23" s="63">
        <v>4790</v>
      </c>
      <c r="AC23" s="65">
        <v>25</v>
      </c>
      <c r="AD23" s="63">
        <v>11270</v>
      </c>
      <c r="AE23" s="63">
        <v>751</v>
      </c>
      <c r="AF23" s="65">
        <v>7.05</v>
      </c>
    </row>
    <row r="24" spans="1:32" ht="23.25" x14ac:dyDescent="0.2">
      <c r="A24" s="78" t="s">
        <v>132</v>
      </c>
      <c r="B24" s="78">
        <f>VLOOKUP(B18,Q2:AF28,8,FALSE)</f>
        <v>27</v>
      </c>
      <c r="C24" s="78" t="s">
        <v>29</v>
      </c>
      <c r="D24" s="69"/>
      <c r="E24" s="69" t="s">
        <v>179</v>
      </c>
      <c r="F24" s="69">
        <f>B31*B6</f>
        <v>4013.7599999999993</v>
      </c>
      <c r="G24" s="69" t="s">
        <v>56</v>
      </c>
      <c r="H24" s="69"/>
      <c r="I24" s="69"/>
      <c r="J24" s="69"/>
      <c r="K24" s="69"/>
      <c r="L24" s="69"/>
      <c r="M24" s="69"/>
      <c r="N24" s="69"/>
      <c r="O24" s="69"/>
      <c r="Q24" s="63">
        <v>650</v>
      </c>
      <c r="R24" s="63">
        <v>242</v>
      </c>
      <c r="S24" s="63">
        <v>190</v>
      </c>
      <c r="T24" s="63">
        <v>640</v>
      </c>
      <c r="U24" s="63">
        <v>300</v>
      </c>
      <c r="V24" s="64">
        <v>13.5</v>
      </c>
      <c r="W24" s="64">
        <v>26</v>
      </c>
      <c r="X24" s="63">
        <v>27</v>
      </c>
      <c r="Y24" s="63">
        <v>53</v>
      </c>
      <c r="Z24" s="63">
        <v>534</v>
      </c>
      <c r="AA24" s="63">
        <v>175200</v>
      </c>
      <c r="AB24" s="63">
        <v>5470</v>
      </c>
      <c r="AC24" s="65">
        <v>26.9</v>
      </c>
      <c r="AD24" s="63">
        <v>11720</v>
      </c>
      <c r="AE24" s="63">
        <v>782</v>
      </c>
      <c r="AF24" s="65">
        <v>6.97</v>
      </c>
    </row>
    <row r="25" spans="1:32" ht="23.25" x14ac:dyDescent="0.2">
      <c r="A25" s="78" t="s">
        <v>19</v>
      </c>
      <c r="B25" s="78">
        <f>VLOOKUP(B18,Q2:AF28,9,FALSE)</f>
        <v>43</v>
      </c>
      <c r="C25" s="78" t="s">
        <v>29</v>
      </c>
      <c r="D25" s="69"/>
      <c r="E25" s="69" t="str">
        <f>IF(B10&lt;=B34,"Lb &lt;= Lp","")</f>
        <v/>
      </c>
      <c r="F25" s="69" t="str">
        <f>IF(B10&lt;=B34,"Mnx =","")</f>
        <v/>
      </c>
      <c r="G25" s="69" t="str">
        <f>IF(B10&lt;=B34,F24,"")</f>
        <v/>
      </c>
      <c r="H25" s="69" t="str">
        <f>IF(B10&lt;=B34,"cm.t","")</f>
        <v/>
      </c>
      <c r="I25" s="101" t="s">
        <v>51</v>
      </c>
      <c r="M25" s="69"/>
      <c r="N25" s="69"/>
      <c r="O25" s="69"/>
      <c r="Q25" s="63">
        <v>700</v>
      </c>
      <c r="R25" s="63">
        <v>260</v>
      </c>
      <c r="S25" s="63">
        <v>204</v>
      </c>
      <c r="T25" s="63">
        <v>690</v>
      </c>
      <c r="U25" s="63">
        <v>300</v>
      </c>
      <c r="V25" s="64">
        <v>14.5</v>
      </c>
      <c r="W25" s="64">
        <v>27</v>
      </c>
      <c r="X25" s="63">
        <v>27</v>
      </c>
      <c r="Y25" s="63">
        <v>54</v>
      </c>
      <c r="Z25" s="63">
        <v>582</v>
      </c>
      <c r="AA25" s="63">
        <v>215300</v>
      </c>
      <c r="AB25" s="63">
        <v>6240</v>
      </c>
      <c r="AC25" s="65">
        <v>28.8</v>
      </c>
      <c r="AD25" s="63">
        <v>12180</v>
      </c>
      <c r="AE25" s="63">
        <v>812</v>
      </c>
      <c r="AF25" s="65">
        <v>6.84</v>
      </c>
    </row>
    <row r="26" spans="1:32" ht="23.25" x14ac:dyDescent="0.2">
      <c r="A26" s="78" t="s">
        <v>20</v>
      </c>
      <c r="B26" s="78">
        <f>VLOOKUP(B18,Q2:AF28,10,FALSE)</f>
        <v>224</v>
      </c>
      <c r="C26" s="78" t="s">
        <v>29</v>
      </c>
      <c r="D26" s="69"/>
      <c r="E26" s="69" t="str">
        <f>IF(AND(B10&gt;B34,B10&lt;=B37),"Lp &lt; Lb &lt;= Lr","")</f>
        <v>Lp &lt; Lb &lt;= Lr</v>
      </c>
      <c r="F26" s="69" t="str">
        <f>IF(AND(B10&gt;B34,B10&lt;=B37),"Mnx =","")</f>
        <v>Mnx =</v>
      </c>
      <c r="G26" s="69">
        <f>IF(AND(B10&gt;B34,B10&lt;=B37),F24-(F24-0.75*B6*B30)*((B10-B34)/(B37-B34)),"")</f>
        <v>3698.5471731812131</v>
      </c>
      <c r="H26" s="69" t="str">
        <f>IF(AND(B10&gt;B34,B10&lt;=B37),"cm.t","")</f>
        <v>cm.t</v>
      </c>
      <c r="I26" s="101"/>
      <c r="J26" s="69" t="s">
        <v>180</v>
      </c>
      <c r="K26" s="69">
        <f>IF(B10&lt;=B34,G25,IF(AND(B10&gt;B34,B10&lt;=B37),G26,G27))</f>
        <v>3698.5471731812131</v>
      </c>
      <c r="L26" s="69" t="s">
        <v>56</v>
      </c>
      <c r="M26" s="69"/>
      <c r="N26" s="69"/>
      <c r="O26" s="69"/>
      <c r="Q26" s="63">
        <v>800</v>
      </c>
      <c r="R26" s="63">
        <v>286</v>
      </c>
      <c r="S26" s="63">
        <v>224</v>
      </c>
      <c r="T26" s="63">
        <v>790</v>
      </c>
      <c r="U26" s="63">
        <v>300</v>
      </c>
      <c r="V26" s="64">
        <v>15</v>
      </c>
      <c r="W26" s="64">
        <v>28</v>
      </c>
      <c r="X26" s="63">
        <v>30</v>
      </c>
      <c r="Y26" s="63">
        <v>58</v>
      </c>
      <c r="Z26" s="63">
        <v>674</v>
      </c>
      <c r="AA26" s="63">
        <v>303400</v>
      </c>
      <c r="AB26" s="63">
        <v>7680</v>
      </c>
      <c r="AC26" s="65">
        <v>32.6</v>
      </c>
      <c r="AD26" s="63">
        <v>12640</v>
      </c>
      <c r="AE26" s="63">
        <v>843</v>
      </c>
      <c r="AF26" s="65">
        <v>6.65</v>
      </c>
    </row>
    <row r="27" spans="1:32" ht="23.25" x14ac:dyDescent="0.2">
      <c r="A27" s="69"/>
      <c r="B27" s="69"/>
      <c r="C27" s="69"/>
      <c r="D27" s="69"/>
      <c r="E27" s="69" t="str">
        <f>IF(B10&gt;B37,"Lb &gt; Lr","")</f>
        <v/>
      </c>
      <c r="F27" s="69" t="str">
        <f>IF(B10&gt;B37,"Mnx =","")</f>
        <v/>
      </c>
      <c r="G27" s="69" t="str">
        <f>IF(B10&gt;B37,B30*SQRT(((1380*0.1*B21*0.1*B23)/(0.1*B20*B10))^2+(20700/(B10/B35)^2)^2),"")</f>
        <v/>
      </c>
      <c r="H27" s="69" t="str">
        <f>IF(B10&gt;B37,"cm.t","")</f>
        <v/>
      </c>
      <c r="I27" s="101"/>
      <c r="J27" s="69" t="s">
        <v>181</v>
      </c>
      <c r="K27" s="69">
        <f>1.5*0.5*B33*B6</f>
        <v>838.8</v>
      </c>
      <c r="L27" s="69" t="s">
        <v>56</v>
      </c>
      <c r="M27" s="69"/>
      <c r="N27" s="69"/>
      <c r="O27" s="69"/>
      <c r="Q27" s="63">
        <v>900</v>
      </c>
      <c r="R27" s="63">
        <v>321</v>
      </c>
      <c r="S27" s="63">
        <v>252</v>
      </c>
      <c r="T27" s="63">
        <v>890</v>
      </c>
      <c r="U27" s="63">
        <v>300</v>
      </c>
      <c r="V27" s="64">
        <v>16</v>
      </c>
      <c r="W27" s="64">
        <v>30</v>
      </c>
      <c r="X27" s="63">
        <v>30</v>
      </c>
      <c r="Y27" s="63">
        <v>60</v>
      </c>
      <c r="Z27" s="63">
        <v>770</v>
      </c>
      <c r="AA27" s="63">
        <v>422100</v>
      </c>
      <c r="AB27" s="63">
        <v>9480</v>
      </c>
      <c r="AC27" s="65">
        <v>36.299999999999997</v>
      </c>
      <c r="AD27" s="63">
        <v>13550</v>
      </c>
      <c r="AE27" s="63">
        <v>903</v>
      </c>
      <c r="AF27" s="65">
        <v>6.5</v>
      </c>
    </row>
    <row r="28" spans="1:32" ht="23.25" x14ac:dyDescent="0.2">
      <c r="A28" s="97" t="s">
        <v>121</v>
      </c>
      <c r="B28" s="97"/>
      <c r="C28" s="97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Q28" s="63">
        <v>1000</v>
      </c>
      <c r="R28" s="63">
        <v>347</v>
      </c>
      <c r="S28" s="63">
        <v>272</v>
      </c>
      <c r="T28" s="63">
        <v>990</v>
      </c>
      <c r="U28" s="63">
        <v>300</v>
      </c>
      <c r="V28" s="64">
        <v>16.5</v>
      </c>
      <c r="W28" s="64">
        <v>31</v>
      </c>
      <c r="X28" s="63">
        <v>30</v>
      </c>
      <c r="Y28" s="63">
        <v>61</v>
      </c>
      <c r="Z28" s="63">
        <v>868</v>
      </c>
      <c r="AA28" s="63">
        <v>553800</v>
      </c>
      <c r="AB28" s="63">
        <v>11190</v>
      </c>
      <c r="AC28" s="65">
        <v>40</v>
      </c>
      <c r="AD28" s="63">
        <v>14000</v>
      </c>
      <c r="AE28" s="63">
        <v>934</v>
      </c>
      <c r="AF28" s="65">
        <v>6.35</v>
      </c>
    </row>
    <row r="29" spans="1:32" ht="21" x14ac:dyDescent="0.2">
      <c r="A29" s="78" t="s">
        <v>182</v>
      </c>
      <c r="B29" s="78">
        <f>VLOOKUP(B18,Q2:AF28,11,FALSE)</f>
        <v>22930</v>
      </c>
      <c r="C29" s="78" t="s">
        <v>183</v>
      </c>
      <c r="D29" s="69"/>
      <c r="E29" s="101" t="s">
        <v>124</v>
      </c>
      <c r="F29" s="101"/>
      <c r="G29" s="69">
        <f>(J9/(0.85*K26))+(J10/(0.85*K27))</f>
        <v>1.8096605891507727</v>
      </c>
      <c r="H29" s="79" t="str">
        <f>IF(G29&lt;=1,"Safe","Unsafe")</f>
        <v>Unsafe</v>
      </c>
      <c r="I29" s="69"/>
      <c r="J29" s="69"/>
      <c r="K29" s="69"/>
      <c r="L29" s="69"/>
      <c r="M29" s="69"/>
      <c r="N29" s="69"/>
      <c r="O29" s="69"/>
    </row>
    <row r="30" spans="1:32" ht="21" x14ac:dyDescent="0.2">
      <c r="A30" s="78" t="s">
        <v>184</v>
      </c>
      <c r="B30" s="78">
        <f>VLOOKUP(B18,Q2:AF28,12,FALSE)</f>
        <v>1480</v>
      </c>
      <c r="C30" s="78" t="s">
        <v>185</v>
      </c>
      <c r="D30" s="69"/>
      <c r="E30" s="101" t="s">
        <v>125</v>
      </c>
      <c r="F30" s="101"/>
      <c r="G30" s="69">
        <f>J9/(0.85*F24)</f>
        <v>1.2367369972783824</v>
      </c>
      <c r="H30" s="80" t="str">
        <f>IF(G30&lt;=1,"Safe","Unsafe")</f>
        <v>Unsafe</v>
      </c>
      <c r="I30" s="69"/>
      <c r="J30" s="69"/>
      <c r="K30" s="69"/>
      <c r="L30" s="69"/>
      <c r="M30" s="69"/>
      <c r="N30" s="69"/>
      <c r="O30" s="69"/>
    </row>
    <row r="31" spans="1:32" ht="21" x14ac:dyDescent="0.2">
      <c r="A31" s="78" t="s">
        <v>186</v>
      </c>
      <c r="B31" s="78">
        <f>1.13*B30</f>
        <v>1672.3999999999999</v>
      </c>
      <c r="C31" s="78" t="s">
        <v>185</v>
      </c>
      <c r="D31" s="69"/>
      <c r="E31" s="69"/>
      <c r="F31" s="69"/>
      <c r="G31" s="69"/>
      <c r="H31" s="69"/>
      <c r="I31" s="69"/>
      <c r="J31" s="69"/>
      <c r="K31" s="69"/>
      <c r="L31" s="69"/>
    </row>
    <row r="32" spans="1:32" ht="21" thickBot="1" x14ac:dyDescent="0.25">
      <c r="A32" s="78" t="s">
        <v>187</v>
      </c>
      <c r="B32" s="78">
        <f>VLOOKUP(B18,Q2:AF28,16,FALSE)</f>
        <v>7.49</v>
      </c>
      <c r="C32" s="78" t="s">
        <v>31</v>
      </c>
      <c r="D32" s="69"/>
      <c r="E32" s="72"/>
      <c r="F32" s="72"/>
      <c r="G32" s="72"/>
      <c r="H32" s="72"/>
      <c r="I32" s="72"/>
      <c r="J32" s="72"/>
      <c r="K32" s="72"/>
      <c r="L32" s="69"/>
    </row>
    <row r="33" spans="1:15" ht="21" x14ac:dyDescent="0.2">
      <c r="A33" s="78" t="s">
        <v>188</v>
      </c>
      <c r="B33" s="78">
        <f>VLOOKUP(B18,Q2:AF28,15,FALSE)</f>
        <v>466</v>
      </c>
      <c r="C33" s="78" t="s">
        <v>185</v>
      </c>
      <c r="D33" s="69"/>
      <c r="E33" s="97" t="s">
        <v>67</v>
      </c>
      <c r="F33" s="97"/>
      <c r="G33" s="69"/>
      <c r="H33" s="69"/>
      <c r="I33" s="69"/>
      <c r="J33" s="69"/>
    </row>
    <row r="34" spans="1:15" ht="20.25" x14ac:dyDescent="0.2">
      <c r="A34" s="78" t="s">
        <v>190</v>
      </c>
      <c r="B34" s="78">
        <f>(80*B32)/SQRT(B6)</f>
        <v>386.78193684124739</v>
      </c>
      <c r="C34" s="78" t="s">
        <v>31</v>
      </c>
      <c r="D34" s="69"/>
      <c r="E34" s="69" t="s">
        <v>189</v>
      </c>
      <c r="F34" s="69">
        <f>J11/(0.85*0.6*B6*0.1*B20*0.1*B22)</f>
        <v>0.98638617533831541</v>
      </c>
      <c r="G34" s="80" t="str">
        <f>IF(F34&lt;=1,"Safe","Unsafe")</f>
        <v>Safe</v>
      </c>
      <c r="H34" s="69"/>
      <c r="I34" s="69"/>
      <c r="J34" s="69"/>
    </row>
    <row r="35" spans="1:15" ht="20.25" x14ac:dyDescent="0.2">
      <c r="A35" s="78" t="s">
        <v>191</v>
      </c>
      <c r="B35" s="78">
        <f>0.1*SQRT(((B23*(B21)^3)/12)/(B23*B21+(1/6)*(B20-2*B23)*B22))</f>
        <v>8.2950189541399659</v>
      </c>
      <c r="C35" s="78" t="s">
        <v>31</v>
      </c>
      <c r="D35" s="69"/>
      <c r="E35" s="77"/>
      <c r="F35" s="69"/>
      <c r="G35" s="80"/>
      <c r="H35" s="69"/>
      <c r="I35" s="69"/>
      <c r="J35" s="69"/>
    </row>
    <row r="36" spans="1:15" ht="19.5" thickBot="1" x14ac:dyDescent="0.25">
      <c r="A36" s="78" t="s">
        <v>41</v>
      </c>
      <c r="B36" s="78">
        <f>((0.104*B35*0.1*B20)/(0.1*B21*0.1*B23))^2</f>
        <v>0.3307645259938839</v>
      </c>
      <c r="C36" s="78" t="s">
        <v>43</v>
      </c>
      <c r="D36" s="69"/>
      <c r="E36" s="72"/>
      <c r="F36" s="72"/>
      <c r="G36" s="72"/>
      <c r="H36" s="72"/>
      <c r="I36" s="72"/>
      <c r="J36" s="72"/>
      <c r="K36" s="72"/>
    </row>
    <row r="37" spans="1:15" ht="20.25" x14ac:dyDescent="0.2">
      <c r="A37" s="78" t="s">
        <v>192</v>
      </c>
      <c r="B37" s="78">
        <f>((1380*0.1*B21*0.1*B23)/(0.1*B20*0.75*B6))*SQRT(0.5*(1+SQRT(1+(2*0.75*B6*B36)^2)))</f>
        <v>1299.7943159174597</v>
      </c>
      <c r="C37" s="78" t="s">
        <v>31</v>
      </c>
      <c r="D37" s="69"/>
      <c r="E37" s="97" t="s">
        <v>68</v>
      </c>
      <c r="F37" s="97"/>
      <c r="G37" s="69"/>
      <c r="H37" s="69"/>
      <c r="I37" s="69"/>
      <c r="J37" s="69"/>
    </row>
    <row r="38" spans="1:15" ht="20.25" x14ac:dyDescent="0.2">
      <c r="A38" s="69"/>
      <c r="B38" s="69"/>
      <c r="C38" s="69"/>
      <c r="E38" s="101" t="s">
        <v>69</v>
      </c>
      <c r="F38" s="101"/>
      <c r="G38" s="69" t="s">
        <v>193</v>
      </c>
      <c r="H38" s="69">
        <f>1.6*B12*(1+B11)</f>
        <v>20</v>
      </c>
      <c r="I38" s="69" t="s">
        <v>57</v>
      </c>
      <c r="J38" s="69"/>
    </row>
    <row r="39" spans="1:15" ht="20.25" x14ac:dyDescent="0.2">
      <c r="A39" s="69"/>
      <c r="B39" s="69"/>
      <c r="C39" s="69"/>
      <c r="D39" s="69"/>
      <c r="E39" s="69" t="s">
        <v>194</v>
      </c>
      <c r="F39" s="69">
        <f>0.95*(2*B14+2.5*B25*0.1)*0.1*B22*B6</f>
        <v>42.579000000000001</v>
      </c>
      <c r="G39" s="69" t="s">
        <v>57</v>
      </c>
      <c r="H39" s="80" t="str">
        <f>IF(F39&gt;=H38,"Safe","Unsafe")</f>
        <v>Safe</v>
      </c>
      <c r="I39" s="69"/>
      <c r="J39" s="69"/>
    </row>
    <row r="40" spans="1:15" x14ac:dyDescent="0.2">
      <c r="A40" s="69"/>
      <c r="B40" s="69"/>
      <c r="D40" s="69"/>
      <c r="E40" s="102" t="str">
        <f>IF(H39=F2,"Increase web thickness","")</f>
        <v/>
      </c>
      <c r="F40" s="102"/>
      <c r="G40" s="102"/>
      <c r="H40" s="102"/>
      <c r="I40" s="69"/>
      <c r="J40" s="69"/>
    </row>
    <row r="41" spans="1:15" ht="20.25" x14ac:dyDescent="0.2">
      <c r="A41" s="69"/>
      <c r="B41" s="69"/>
      <c r="E41" s="77" t="s">
        <v>195</v>
      </c>
      <c r="F41" s="75"/>
      <c r="G41" s="69" t="s">
        <v>31</v>
      </c>
      <c r="H41" s="69"/>
      <c r="I41" s="69"/>
      <c r="J41" s="69"/>
    </row>
    <row r="42" spans="1:15" ht="20.25" x14ac:dyDescent="0.2">
      <c r="A42" s="69"/>
      <c r="B42" s="69"/>
      <c r="E42" s="77" t="s">
        <v>196</v>
      </c>
      <c r="F42" s="69" t="str">
        <f>IF(H39=F2,0.95*(2*B14+5*B25*0.1)*(0.1*B22+F41)*B6,"")</f>
        <v/>
      </c>
      <c r="G42" s="69" t="s">
        <v>57</v>
      </c>
      <c r="H42" s="80" t="str">
        <f>IF(F42&gt;=H38,"Safe","Unsafe")</f>
        <v>Safe</v>
      </c>
      <c r="I42" s="69"/>
      <c r="J42" s="69"/>
    </row>
    <row r="43" spans="1:15" x14ac:dyDescent="0.2">
      <c r="A43" s="69"/>
      <c r="B43" s="69"/>
      <c r="E43" s="69"/>
      <c r="F43" s="69"/>
      <c r="G43" s="69"/>
      <c r="H43" s="69"/>
      <c r="I43" s="69"/>
      <c r="J43" s="69"/>
      <c r="M43" s="69"/>
      <c r="N43" s="69"/>
      <c r="O43" s="69"/>
    </row>
    <row r="44" spans="1:15" ht="20.25" x14ac:dyDescent="0.2">
      <c r="A44" s="69"/>
      <c r="B44" s="69"/>
      <c r="E44" s="101" t="s">
        <v>71</v>
      </c>
      <c r="F44" s="101"/>
      <c r="G44" s="69" t="s">
        <v>193</v>
      </c>
      <c r="H44" s="69">
        <f>J11</f>
        <v>33.684693333333342</v>
      </c>
      <c r="I44" s="69" t="s">
        <v>57</v>
      </c>
      <c r="J44" s="69"/>
      <c r="M44" s="69"/>
      <c r="N44" s="69"/>
      <c r="O44" s="69"/>
    </row>
    <row r="45" spans="1:15" ht="20.25" x14ac:dyDescent="0.2">
      <c r="A45" s="69"/>
      <c r="B45" s="69"/>
      <c r="E45" s="77" t="s">
        <v>194</v>
      </c>
      <c r="F45" s="69">
        <f>0.95*(0.5*B15+2.5*B25*0.1)*0.1*B22*B6</f>
        <v>52.838999999999999</v>
      </c>
      <c r="G45" s="69" t="s">
        <v>57</v>
      </c>
      <c r="H45" s="80" t="str">
        <f>IF(F45&gt;=H44,"Safe","Unsafe")</f>
        <v>Safe</v>
      </c>
      <c r="I45" s="69"/>
      <c r="J45" s="69"/>
    </row>
    <row r="46" spans="1:15" x14ac:dyDescent="0.2">
      <c r="A46" s="69"/>
      <c r="B46" s="69"/>
      <c r="E46" s="102" t="str">
        <f>IF(H45=F2,"Use Doubler Plate","")</f>
        <v/>
      </c>
      <c r="F46" s="102"/>
      <c r="G46" s="102"/>
      <c r="H46" s="102"/>
      <c r="I46" s="69"/>
      <c r="J46" s="69"/>
      <c r="K46" s="69"/>
      <c r="L46" s="69"/>
    </row>
    <row r="47" spans="1:15" ht="20.25" x14ac:dyDescent="0.2">
      <c r="A47" s="69"/>
      <c r="B47" s="69"/>
      <c r="E47" s="77" t="s">
        <v>195</v>
      </c>
      <c r="F47" s="75"/>
      <c r="G47" s="69" t="s">
        <v>31</v>
      </c>
      <c r="H47" s="69"/>
      <c r="I47" s="69"/>
      <c r="J47" s="69"/>
      <c r="K47" s="69"/>
      <c r="L47" s="69"/>
    </row>
    <row r="48" spans="1:15" ht="20.25" x14ac:dyDescent="0.2">
      <c r="A48" s="69"/>
      <c r="B48" s="69"/>
      <c r="E48" s="77" t="s">
        <v>196</v>
      </c>
      <c r="F48" s="69" t="str">
        <f>IF(H45=F2,0.95*(0.5*B15+2.5*B25*0.1)*(0.1*B22+F47)*B6,"")</f>
        <v/>
      </c>
      <c r="G48" s="69" t="s">
        <v>57</v>
      </c>
      <c r="H48" s="80" t="str">
        <f>IF(F48&gt;=H44,"Safe","Unsafe")</f>
        <v>Safe</v>
      </c>
      <c r="I48" s="69"/>
      <c r="J48" s="69"/>
      <c r="M48" s="69"/>
      <c r="N48" s="69"/>
      <c r="O48" s="69"/>
    </row>
    <row r="49" spans="1:15" x14ac:dyDescent="0.2">
      <c r="A49" s="69"/>
      <c r="B49" s="69"/>
      <c r="E49" s="77"/>
      <c r="F49" s="69"/>
      <c r="G49" s="69"/>
      <c r="H49" s="80"/>
      <c r="I49" s="69"/>
      <c r="J49" s="69"/>
      <c r="M49" s="69"/>
      <c r="N49" s="69"/>
      <c r="O49" s="69"/>
    </row>
    <row r="50" spans="1:15" ht="19.5" thickBot="1" x14ac:dyDescent="0.25">
      <c r="A50" s="69"/>
      <c r="B50" s="69"/>
      <c r="E50" s="72"/>
      <c r="F50" s="72"/>
      <c r="G50" s="72"/>
      <c r="H50" s="72"/>
      <c r="I50" s="72"/>
      <c r="J50" s="72"/>
      <c r="K50" s="72"/>
    </row>
    <row r="51" spans="1:15" x14ac:dyDescent="0.2">
      <c r="A51" s="69"/>
      <c r="B51" s="69"/>
      <c r="E51" s="97" t="s">
        <v>95</v>
      </c>
      <c r="F51" s="97"/>
      <c r="G51" s="69"/>
      <c r="H51" s="69"/>
      <c r="J51" s="69"/>
      <c r="K51" s="69"/>
      <c r="L51" s="69"/>
    </row>
    <row r="52" spans="1:15" ht="21" x14ac:dyDescent="0.2">
      <c r="A52" s="69"/>
      <c r="B52" s="69"/>
      <c r="E52" s="69" t="s">
        <v>197</v>
      </c>
      <c r="F52" s="75">
        <v>30</v>
      </c>
      <c r="G52" s="69" t="s">
        <v>198</v>
      </c>
      <c r="H52" s="69"/>
      <c r="J52" s="69"/>
      <c r="K52" s="69"/>
      <c r="L52" s="69"/>
    </row>
    <row r="53" spans="1:15" x14ac:dyDescent="0.2">
      <c r="A53" s="69"/>
      <c r="B53" s="69"/>
      <c r="C53" s="69"/>
      <c r="E53" s="69" t="s">
        <v>199</v>
      </c>
      <c r="F53" s="69">
        <f>(F52*10^6)/(2100*B29)</f>
        <v>0.62301414242103292</v>
      </c>
      <c r="G53" s="69" t="s">
        <v>31</v>
      </c>
      <c r="H53" s="80" t="str">
        <f>IF(F53&lt;= (B10/800),"Safe","Unsafe")</f>
        <v>Safe</v>
      </c>
    </row>
    <row r="54" spans="1:15" x14ac:dyDescent="0.2">
      <c r="A54" s="69"/>
      <c r="B54" s="69"/>
      <c r="C54" s="69"/>
      <c r="D54" s="69"/>
    </row>
    <row r="55" spans="1:15" ht="19.5" thickBot="1" x14ac:dyDescent="0.25">
      <c r="A55" s="69"/>
      <c r="B55" s="69"/>
      <c r="C55" s="69"/>
      <c r="D55" s="69"/>
      <c r="E55" s="72"/>
      <c r="F55" s="72"/>
      <c r="G55" s="72"/>
      <c r="H55" s="72"/>
      <c r="I55" s="72"/>
      <c r="J55" s="72"/>
      <c r="K55" s="72"/>
    </row>
    <row r="56" spans="1:15" x14ac:dyDescent="0.2">
      <c r="E56" s="97" t="s">
        <v>96</v>
      </c>
      <c r="F56" s="97"/>
      <c r="G56" s="69"/>
      <c r="H56" s="69"/>
      <c r="I56" s="69"/>
    </row>
    <row r="57" spans="1:15" ht="20.25" x14ac:dyDescent="0.2">
      <c r="C57" s="77" t="s">
        <v>93</v>
      </c>
      <c r="D57" s="69">
        <f>(2*B14)/(0.1*B20)</f>
        <v>0.32258064516129031</v>
      </c>
      <c r="E57" s="101" t="s">
        <v>69</v>
      </c>
      <c r="F57" s="101"/>
      <c r="G57" s="69" t="s">
        <v>193</v>
      </c>
      <c r="H57" s="69">
        <f>1.6*B12*(1+B11)</f>
        <v>20</v>
      </c>
      <c r="I57" s="69" t="s">
        <v>57</v>
      </c>
    </row>
    <row r="58" spans="1:15" ht="20.25" x14ac:dyDescent="0.2">
      <c r="C58" s="69"/>
      <c r="E58" s="77" t="s">
        <v>194</v>
      </c>
      <c r="F58" s="69">
        <f>IF(D57&lt;=0.2,0.7*(0.1813*(0.1*B22)^2*(1+3*D57)*(B22/B23)^1.5)*SQRT(2100*B6*(B23/B22)),0.7*(0.1813*(0.1*B22)^2*(1+((4*2*B14)/(0.1*B20-0.2))*(B22/B23)^1.5)*SQRT(2100*B6*(B23/B22))))</f>
        <v>15.08045949428265</v>
      </c>
      <c r="G58" s="69" t="s">
        <v>57</v>
      </c>
      <c r="H58" s="79" t="str">
        <f>IF(F58&gt;=H57,"Safe","Unsafe")</f>
        <v>Unsafe</v>
      </c>
      <c r="I58" s="69"/>
    </row>
    <row r="59" spans="1:15" x14ac:dyDescent="0.2">
      <c r="C59" s="69"/>
      <c r="D59" s="69"/>
      <c r="E59" s="101" t="str">
        <f>IF(H58=F2,"Increase web thickness","")</f>
        <v>Increase web thickness</v>
      </c>
      <c r="F59" s="101"/>
      <c r="G59" s="101"/>
      <c r="H59" s="101"/>
      <c r="I59" s="69"/>
    </row>
    <row r="60" spans="1:15" ht="20.25" x14ac:dyDescent="0.2">
      <c r="C60" s="69"/>
      <c r="D60" s="69"/>
      <c r="E60" s="77" t="s">
        <v>200</v>
      </c>
      <c r="F60" s="75">
        <v>0.5</v>
      </c>
      <c r="G60" s="69" t="s">
        <v>31</v>
      </c>
      <c r="H60" s="69"/>
      <c r="I60" s="69"/>
    </row>
    <row r="61" spans="1:15" ht="20.25" x14ac:dyDescent="0.2">
      <c r="C61" s="69"/>
      <c r="D61" s="69"/>
      <c r="E61" s="77" t="s">
        <v>201</v>
      </c>
      <c r="F61" s="69">
        <f>IF(H58=F2,IF(D57&lt;=0.2,0.7*(0.1813*(0.1*B22+F60)^2*(1+3*D57)*((10*F60+B22)/B23)^1.5)*SQRT(2100*B6*(B23/(10*F60+B22))),0.7*(0.1813*(0.1*B22+F60)^2*(1+((4*2*B14)/(0.1*B20-0.2))*((10*F60+B22)/B23)^1.5)*SQRT(2100*B6*(B23/(10*F60+B22))))),"")</f>
        <v>39.295417950833098</v>
      </c>
      <c r="G61" s="69" t="s">
        <v>57</v>
      </c>
      <c r="H61" s="80" t="str">
        <f>IF(F61&gt;=H57,"Safe","Unsafe")</f>
        <v>Safe</v>
      </c>
      <c r="I61" s="69"/>
    </row>
    <row r="62" spans="1:15" x14ac:dyDescent="0.2">
      <c r="E62" s="69"/>
      <c r="F62" s="69"/>
      <c r="G62" s="69"/>
      <c r="H62" s="69"/>
      <c r="I62" s="69"/>
    </row>
    <row r="63" spans="1:15" ht="20.25" x14ac:dyDescent="0.2">
      <c r="C63" s="77" t="s">
        <v>93</v>
      </c>
      <c r="D63" s="69">
        <f>(0.5*B15)/(0.1*B20)</f>
        <v>0.4838709677419355</v>
      </c>
      <c r="E63" s="101" t="s">
        <v>71</v>
      </c>
      <c r="F63" s="101"/>
      <c r="G63" s="69" t="s">
        <v>193</v>
      </c>
      <c r="H63" s="69">
        <f>J11</f>
        <v>33.684693333333342</v>
      </c>
      <c r="I63" s="69" t="s">
        <v>57</v>
      </c>
    </row>
    <row r="64" spans="1:15" ht="20.25" x14ac:dyDescent="0.2">
      <c r="C64" s="69"/>
      <c r="D64" s="69"/>
      <c r="E64" s="77" t="s">
        <v>194</v>
      </c>
      <c r="F64" s="69">
        <f>IF(D63&lt;=0.2,0.7*(0.1813*(0.1*B22)^2*(1+3*D63)*(B22/B23)^1.5)*SQRT(2100*B6*(B23/B22)),0.7*(0.1813*(0.1*B22)^2*(1+((4*0.5*B15)/(0.1*B20-0.2))*(B22/B23)^1.5)*SQRT(2100*B6*(B23/B22))))</f>
        <v>17.832065328706495</v>
      </c>
      <c r="G64" s="69" t="s">
        <v>57</v>
      </c>
      <c r="H64" s="79" t="str">
        <f>IF(F64&gt;=H63,"Safe","Unsafe")</f>
        <v>Unsafe</v>
      </c>
      <c r="I64" s="69"/>
    </row>
    <row r="65" spans="3:11" x14ac:dyDescent="0.2">
      <c r="C65" s="69"/>
      <c r="D65" s="69"/>
      <c r="E65" s="101" t="str">
        <f>IF(H64=F2,"Use Doubler Plate","")</f>
        <v>Use Doubler Plate</v>
      </c>
      <c r="F65" s="101"/>
      <c r="G65" s="101"/>
      <c r="H65" s="101"/>
      <c r="I65" s="69"/>
    </row>
    <row r="66" spans="3:11" ht="20.25" x14ac:dyDescent="0.2">
      <c r="C66" s="69"/>
      <c r="D66" s="69"/>
      <c r="E66" s="77" t="s">
        <v>200</v>
      </c>
      <c r="F66" s="75">
        <v>0.5</v>
      </c>
      <c r="G66" s="69" t="s">
        <v>31</v>
      </c>
      <c r="H66" s="69"/>
      <c r="I66" s="69"/>
    </row>
    <row r="67" spans="3:11" ht="20.25" x14ac:dyDescent="0.2">
      <c r="C67" s="69"/>
      <c r="E67" s="77" t="s">
        <v>201</v>
      </c>
      <c r="F67" s="69">
        <f>IF(H64=F2,IF(D63&lt;=0.2,0.7*(0.1813*(F66+0.1*B22)^2*(1+3*D63)*((10*F66+B22)/B23)^1.5)*SQRT(2100*B6*(B23/(10*F66+B22))),0.7*(0.1813*(F66+0.1*B22)^2*(1+((4*0.5*B15)/(0.1*B20-0.2))*((10*F66+B22)/B23)^1.5)*SQRT(2100*B6*(B23/(10*F66+B22))))),"")</f>
        <v>49.652628389322842</v>
      </c>
      <c r="G67" s="69" t="s">
        <v>57</v>
      </c>
      <c r="H67" s="80" t="str">
        <f>IF(F67&gt;=H63,"Safe","Unsafe")</f>
        <v>Safe</v>
      </c>
      <c r="I67" s="69"/>
    </row>
    <row r="69" spans="3:11" ht="19.5" thickBot="1" x14ac:dyDescent="0.25">
      <c r="E69" s="72"/>
      <c r="F69" s="72"/>
      <c r="G69" s="72"/>
      <c r="H69" s="72"/>
      <c r="I69" s="72"/>
      <c r="J69" s="72"/>
      <c r="K69" s="72"/>
    </row>
    <row r="70" spans="3:11" x14ac:dyDescent="0.2">
      <c r="E70" s="97" t="s">
        <v>97</v>
      </c>
      <c r="F70" s="97"/>
      <c r="G70" s="69"/>
      <c r="H70" s="69"/>
      <c r="I70" s="69"/>
    </row>
    <row r="71" spans="3:11" ht="21" x14ac:dyDescent="0.2">
      <c r="E71" s="101" t="s">
        <v>74</v>
      </c>
      <c r="F71" s="101"/>
      <c r="G71" s="69">
        <f>(F12*(1+B11))/B30</f>
        <v>1.7595720720720722</v>
      </c>
      <c r="H71" s="69" t="s">
        <v>166</v>
      </c>
      <c r="I71" s="80" t="str">
        <f>IF(G71&lt;=1.68,"Safe","Unsafe")</f>
        <v>Unsafe</v>
      </c>
    </row>
  </sheetData>
  <mergeCells count="39">
    <mergeCell ref="AD2:AF2"/>
    <mergeCell ref="Q2:Q4"/>
    <mergeCell ref="S2:S3"/>
    <mergeCell ref="R2:R3"/>
    <mergeCell ref="T2:Z2"/>
    <mergeCell ref="E63:F63"/>
    <mergeCell ref="E65:H65"/>
    <mergeCell ref="E70:F70"/>
    <mergeCell ref="E71:F71"/>
    <mergeCell ref="E44:F44"/>
    <mergeCell ref="E46:H46"/>
    <mergeCell ref="E51:F51"/>
    <mergeCell ref="E56:F56"/>
    <mergeCell ref="E57:F57"/>
    <mergeCell ref="E59:H59"/>
    <mergeCell ref="E40:H40"/>
    <mergeCell ref="H19:H20"/>
    <mergeCell ref="I19:K20"/>
    <mergeCell ref="L19:L20"/>
    <mergeCell ref="E23:F23"/>
    <mergeCell ref="E29:F29"/>
    <mergeCell ref="E30:F30"/>
    <mergeCell ref="E33:F33"/>
    <mergeCell ref="E37:F37"/>
    <mergeCell ref="E38:F38"/>
    <mergeCell ref="A28:C28"/>
    <mergeCell ref="I25:I27"/>
    <mergeCell ref="I8:K8"/>
    <mergeCell ref="A9:C9"/>
    <mergeCell ref="E10:F10"/>
    <mergeCell ref="A17:C17"/>
    <mergeCell ref="E17:F17"/>
    <mergeCell ref="B18:C18"/>
    <mergeCell ref="E18:F18"/>
    <mergeCell ref="T1:U1"/>
    <mergeCell ref="E4:K4"/>
    <mergeCell ref="B5:C5"/>
    <mergeCell ref="E5:F5"/>
    <mergeCell ref="AA2:AC2"/>
  </mergeCells>
  <conditionalFormatting sqref="H29:H30 H39 H45 H58 H64 I71 H53 G34:G35">
    <cfRule type="cellIs" dxfId="19" priority="8" operator="equal">
      <formula>"Safe"</formula>
    </cfRule>
  </conditionalFormatting>
  <conditionalFormatting sqref="H29:H30 H39 H45 H58 H64 I71 H53 G34:G35">
    <cfRule type="cellIs" dxfId="18" priority="7" operator="equal">
      <formula>"Unsafe"</formula>
    </cfRule>
  </conditionalFormatting>
  <conditionalFormatting sqref="H42 H48:H49">
    <cfRule type="cellIs" dxfId="17" priority="5" operator="equal">
      <formula>"Unsafe"</formula>
    </cfRule>
    <cfRule type="cellIs" dxfId="16" priority="6" operator="equal">
      <formula>"Safe"</formula>
    </cfRule>
  </conditionalFormatting>
  <conditionalFormatting sqref="E40 E59">
    <cfRule type="cellIs" dxfId="15" priority="4" operator="equal">
      <formula>"Increase web thickness"</formula>
    </cfRule>
  </conditionalFormatting>
  <conditionalFormatting sqref="E46 E65">
    <cfRule type="cellIs" dxfId="14" priority="3" operator="equal">
      <formula>"Use Doubler Plate"</formula>
    </cfRule>
  </conditionalFormatting>
  <conditionalFormatting sqref="H61 H67">
    <cfRule type="cellIs" dxfId="13" priority="1" operator="equal">
      <formula>"Unsafe"</formula>
    </cfRule>
    <cfRule type="cellIs" dxfId="12" priority="2" operator="equal">
      <formula>"Safe"</formula>
    </cfRule>
  </conditionalFormatting>
  <dataValidations count="3">
    <dataValidation type="list" allowBlank="1" showInputMessage="1" showErrorMessage="1" sqref="B5:C5" xr:uid="{63C7219E-FDC1-4899-955F-07F230A07A7D}">
      <formula1>$A$1:$A$3</formula1>
    </dataValidation>
    <dataValidation type="list" allowBlank="1" showInputMessage="1" showErrorMessage="1" sqref="B11" xr:uid="{467C7253-3E17-46FE-B72D-1862F8D0D64E}">
      <formula1>$E$1:$E$2</formula1>
    </dataValidation>
    <dataValidation type="list" allowBlank="1" showInputMessage="1" showErrorMessage="1" sqref="B18:C18" xr:uid="{D43E3432-D058-4A39-9E1D-2DDFE5DD8608}">
      <formula1>$Q$4:$Q$27</formula1>
    </dataValidation>
  </dataValidations>
  <pageMargins left="0.7" right="0.7" top="0.75" bottom="0.75" header="0.3" footer="0.3"/>
  <pageSetup paperSize="8" scale="8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1D6CF-BFC9-4FE3-BDD8-1752E94DABA7}">
  <sheetPr>
    <pageSetUpPr fitToPage="1"/>
  </sheetPr>
  <dimension ref="A1:AF67"/>
  <sheetViews>
    <sheetView showGridLines="0" zoomScaleNormal="100" workbookViewId="0">
      <selection activeCell="F12" sqref="F12"/>
    </sheetView>
  </sheetViews>
  <sheetFormatPr defaultRowHeight="18" x14ac:dyDescent="0.2"/>
  <cols>
    <col min="1" max="1" width="14.125" style="31" customWidth="1"/>
    <col min="2" max="2" width="9" style="31"/>
    <col min="3" max="3" width="15.875" style="31" bestFit="1" customWidth="1"/>
    <col min="4" max="4" width="9" style="31"/>
    <col min="5" max="5" width="14.25" style="31" bestFit="1" customWidth="1"/>
    <col min="6" max="6" width="9" style="31" customWidth="1"/>
    <col min="7" max="7" width="11.125" style="31" customWidth="1"/>
    <col min="8" max="8" width="9" style="31"/>
    <col min="9" max="9" width="11.25" style="31" customWidth="1"/>
    <col min="10" max="10" width="10.375" style="31" customWidth="1"/>
    <col min="11" max="11" width="9" style="31"/>
    <col min="12" max="12" width="13.375" style="31" customWidth="1"/>
    <col min="13" max="14" width="9" style="31"/>
    <col min="15" max="15" width="9.375" style="31" customWidth="1"/>
    <col min="16" max="16384" width="9" style="31"/>
  </cols>
  <sheetData>
    <row r="1" spans="1:32" ht="19.5" x14ac:dyDescent="0.2">
      <c r="A1" s="32">
        <v>37</v>
      </c>
      <c r="C1" s="32" t="s">
        <v>44</v>
      </c>
      <c r="E1" s="32">
        <v>0.1</v>
      </c>
      <c r="F1" s="32" t="s">
        <v>102</v>
      </c>
      <c r="Q1" s="54"/>
      <c r="R1" s="54"/>
      <c r="S1" s="54"/>
      <c r="T1" s="54"/>
      <c r="U1" s="107" t="s">
        <v>130</v>
      </c>
      <c r="V1" s="108"/>
      <c r="W1" s="54"/>
      <c r="X1" s="54"/>
      <c r="Y1" s="54"/>
      <c r="Z1" s="54"/>
      <c r="AA1" s="54"/>
      <c r="AB1" s="54"/>
      <c r="AC1" s="54"/>
      <c r="AD1" s="54"/>
      <c r="AE1" s="54"/>
      <c r="AF1" s="54"/>
    </row>
    <row r="2" spans="1:32" ht="18" customHeight="1" x14ac:dyDescent="0.2">
      <c r="A2" s="32">
        <v>44</v>
      </c>
      <c r="C2" s="32" t="s">
        <v>45</v>
      </c>
      <c r="E2" s="32">
        <v>0.25</v>
      </c>
      <c r="F2" s="32" t="s">
        <v>103</v>
      </c>
      <c r="Q2" s="55" t="s">
        <v>6</v>
      </c>
      <c r="R2" s="55" t="s">
        <v>7</v>
      </c>
      <c r="S2" s="55" t="s">
        <v>8</v>
      </c>
      <c r="T2" s="109" t="s">
        <v>9</v>
      </c>
      <c r="U2" s="110"/>
      <c r="V2" s="110"/>
      <c r="W2" s="110"/>
      <c r="X2" s="110"/>
      <c r="Y2" s="110"/>
      <c r="Z2" s="111"/>
      <c r="AA2" s="109" t="s">
        <v>10</v>
      </c>
      <c r="AB2" s="110"/>
      <c r="AC2" s="111"/>
      <c r="AD2" s="109" t="s">
        <v>11</v>
      </c>
      <c r="AE2" s="110"/>
      <c r="AF2" s="111"/>
    </row>
    <row r="3" spans="1:32" ht="22.5" x14ac:dyDescent="0.2">
      <c r="A3" s="32">
        <v>52</v>
      </c>
      <c r="C3" s="32" t="s">
        <v>46</v>
      </c>
      <c r="E3" s="112" t="s">
        <v>139</v>
      </c>
      <c r="F3" s="112"/>
      <c r="G3" s="112"/>
      <c r="H3" s="112"/>
      <c r="I3" s="112"/>
      <c r="J3" s="112"/>
      <c r="K3" s="112"/>
      <c r="Q3" s="55" t="s">
        <v>12</v>
      </c>
      <c r="R3" s="55" t="s">
        <v>131</v>
      </c>
      <c r="S3" s="55" t="s">
        <v>14</v>
      </c>
      <c r="T3" s="55" t="s">
        <v>15</v>
      </c>
      <c r="U3" s="55" t="s">
        <v>16</v>
      </c>
      <c r="V3" s="55" t="s">
        <v>17</v>
      </c>
      <c r="W3" s="55" t="s">
        <v>132</v>
      </c>
      <c r="X3" s="55" t="s">
        <v>18</v>
      </c>
      <c r="Y3" s="55" t="s">
        <v>19</v>
      </c>
      <c r="Z3" s="55" t="s">
        <v>20</v>
      </c>
      <c r="AA3" s="55" t="s">
        <v>133</v>
      </c>
      <c r="AB3" s="55" t="s">
        <v>134</v>
      </c>
      <c r="AC3" s="55" t="s">
        <v>135</v>
      </c>
      <c r="AD3" s="55" t="s">
        <v>136</v>
      </c>
      <c r="AE3" s="55" t="s">
        <v>137</v>
      </c>
      <c r="AF3" s="55" t="s">
        <v>138</v>
      </c>
    </row>
    <row r="4" spans="1:32" ht="19.5" x14ac:dyDescent="0.2">
      <c r="E4" s="91" t="s">
        <v>120</v>
      </c>
      <c r="F4" s="91"/>
      <c r="G4" s="91"/>
      <c r="H4" s="91"/>
      <c r="I4" s="91"/>
      <c r="J4" s="91"/>
      <c r="K4" s="91"/>
      <c r="Q4" s="56">
        <v>80</v>
      </c>
      <c r="R4" s="57">
        <v>7.64</v>
      </c>
      <c r="S4" s="56">
        <v>6</v>
      </c>
      <c r="T4" s="56">
        <v>80</v>
      </c>
      <c r="U4" s="56">
        <v>46</v>
      </c>
      <c r="V4" s="58">
        <v>3.8</v>
      </c>
      <c r="W4" s="56">
        <v>5</v>
      </c>
      <c r="X4" s="58">
        <v>5.2</v>
      </c>
      <c r="Y4" s="58">
        <v>10.199999999999999</v>
      </c>
      <c r="Z4" s="56">
        <v>59</v>
      </c>
      <c r="AA4" s="58">
        <v>80.099999999999994</v>
      </c>
      <c r="AB4" s="56">
        <v>20</v>
      </c>
      <c r="AC4" s="57">
        <v>3.24</v>
      </c>
      <c r="AD4" s="57">
        <v>8.49</v>
      </c>
      <c r="AE4" s="57">
        <v>3.69</v>
      </c>
      <c r="AF4" s="57">
        <v>1.05</v>
      </c>
    </row>
    <row r="5" spans="1:32" ht="19.5" x14ac:dyDescent="0.2">
      <c r="A5" s="46" t="s">
        <v>0</v>
      </c>
      <c r="B5" s="92">
        <v>37</v>
      </c>
      <c r="C5" s="92"/>
      <c r="D5" s="53"/>
      <c r="E5" s="88" t="s">
        <v>54</v>
      </c>
      <c r="F5" s="85"/>
      <c r="G5" s="53"/>
      <c r="H5" s="53"/>
      <c r="I5" s="53"/>
      <c r="J5" s="53"/>
      <c r="K5" s="53"/>
      <c r="L5" s="53"/>
      <c r="M5" s="53"/>
      <c r="N5" s="53"/>
      <c r="O5" s="53"/>
      <c r="Q5" s="56">
        <v>100</v>
      </c>
      <c r="R5" s="58">
        <v>10.3</v>
      </c>
      <c r="S5" s="58">
        <v>8.1</v>
      </c>
      <c r="T5" s="56">
        <v>100</v>
      </c>
      <c r="U5" s="56">
        <v>55</v>
      </c>
      <c r="V5" s="58">
        <v>4.0999999999999996</v>
      </c>
      <c r="W5" s="56">
        <v>7</v>
      </c>
      <c r="X5" s="58">
        <v>5.7</v>
      </c>
      <c r="Y5" s="58">
        <v>12.7</v>
      </c>
      <c r="Z5" s="56">
        <v>74</v>
      </c>
      <c r="AA5" s="56">
        <v>171</v>
      </c>
      <c r="AB5" s="58">
        <v>34.200000000000003</v>
      </c>
      <c r="AC5" s="57">
        <v>4.07</v>
      </c>
      <c r="AD5" s="58">
        <v>15.9</v>
      </c>
      <c r="AE5" s="57">
        <v>5.79</v>
      </c>
      <c r="AF5" s="57">
        <v>1.24</v>
      </c>
    </row>
    <row r="6" spans="1:32" ht="21" x14ac:dyDescent="0.2">
      <c r="A6" s="46" t="s">
        <v>122</v>
      </c>
      <c r="B6" s="53">
        <f>IF(B5=A1,2.4,IF(B5=A2,2.8,3.6))</f>
        <v>2.4</v>
      </c>
      <c r="C6" s="53" t="s">
        <v>3</v>
      </c>
      <c r="D6" s="53"/>
      <c r="E6" s="48" t="s">
        <v>108</v>
      </c>
      <c r="F6" s="53">
        <f>B19*10^-5</f>
        <v>9.0700000000000015E-4</v>
      </c>
      <c r="G6" s="53" t="s">
        <v>55</v>
      </c>
      <c r="H6" s="53"/>
      <c r="I6" s="53"/>
      <c r="J6" s="53"/>
      <c r="K6" s="53"/>
      <c r="L6" s="53"/>
      <c r="M6" s="53"/>
      <c r="N6" s="53"/>
      <c r="O6" s="53"/>
      <c r="Q6" s="56">
        <v>120</v>
      </c>
      <c r="R6" s="58">
        <v>13.2</v>
      </c>
      <c r="S6" s="58">
        <v>10.4</v>
      </c>
      <c r="T6" s="56">
        <v>120</v>
      </c>
      <c r="U6" s="56">
        <v>64</v>
      </c>
      <c r="V6" s="58">
        <v>4.4000000000000004</v>
      </c>
      <c r="W6" s="56">
        <v>7</v>
      </c>
      <c r="X6" s="58">
        <v>6.3</v>
      </c>
      <c r="Y6" s="58">
        <v>13.3</v>
      </c>
      <c r="Z6" s="56">
        <v>93</v>
      </c>
      <c r="AA6" s="56">
        <v>318</v>
      </c>
      <c r="AB6" s="56">
        <v>53</v>
      </c>
      <c r="AC6" s="58">
        <v>4.9000000000000004</v>
      </c>
      <c r="AD6" s="58">
        <v>27.7</v>
      </c>
      <c r="AE6" s="57">
        <v>8.65</v>
      </c>
      <c r="AF6" s="57">
        <v>1.45</v>
      </c>
    </row>
    <row r="7" spans="1:32" ht="21" x14ac:dyDescent="0.2">
      <c r="A7" s="46" t="s">
        <v>123</v>
      </c>
      <c r="B7" s="53">
        <f>IF(B5=A1,3.7,IF(B5=A2,4.4,5.2))</f>
        <v>3.7</v>
      </c>
      <c r="C7" s="53" t="s">
        <v>3</v>
      </c>
      <c r="D7" s="53"/>
      <c r="E7" s="48" t="s">
        <v>109</v>
      </c>
      <c r="F7" s="53">
        <f>F6*((B10^2)/8)</f>
        <v>72.560000000000016</v>
      </c>
      <c r="G7" s="53" t="s">
        <v>56</v>
      </c>
      <c r="H7" s="53"/>
      <c r="I7" s="53"/>
      <c r="J7" s="53"/>
      <c r="K7" s="53"/>
      <c r="L7" s="53"/>
      <c r="M7" s="53"/>
      <c r="N7" s="53"/>
      <c r="O7" s="53"/>
      <c r="Q7" s="56">
        <v>140</v>
      </c>
      <c r="R7" s="58">
        <v>16.399999999999999</v>
      </c>
      <c r="S7" s="58">
        <v>12.9</v>
      </c>
      <c r="T7" s="56">
        <v>140</v>
      </c>
      <c r="U7" s="56">
        <v>73</v>
      </c>
      <c r="V7" s="58">
        <v>4.7</v>
      </c>
      <c r="W7" s="56">
        <v>7</v>
      </c>
      <c r="X7" s="58">
        <v>6.9</v>
      </c>
      <c r="Y7" s="58">
        <v>13.9</v>
      </c>
      <c r="Z7" s="56">
        <v>112</v>
      </c>
      <c r="AA7" s="56">
        <v>541</v>
      </c>
      <c r="AB7" s="58">
        <v>77.3</v>
      </c>
      <c r="AC7" s="57">
        <v>5.74</v>
      </c>
      <c r="AD7" s="58">
        <v>44.9</v>
      </c>
      <c r="AE7" s="58">
        <v>12.3</v>
      </c>
      <c r="AF7" s="57">
        <v>1.65</v>
      </c>
    </row>
    <row r="8" spans="1:32" ht="21" x14ac:dyDescent="0.2">
      <c r="A8" s="45"/>
      <c r="B8" s="53"/>
      <c r="C8" s="53"/>
      <c r="D8" s="53"/>
      <c r="E8" s="48" t="s">
        <v>110</v>
      </c>
      <c r="F8" s="53">
        <f>F6*0.5*B10</f>
        <v>0.36280000000000007</v>
      </c>
      <c r="G8" s="53" t="s">
        <v>57</v>
      </c>
      <c r="H8" s="53"/>
      <c r="I8" s="85" t="s">
        <v>105</v>
      </c>
      <c r="J8" s="85"/>
      <c r="K8" s="85"/>
      <c r="L8" s="53"/>
      <c r="M8" s="53"/>
      <c r="N8" s="53"/>
      <c r="O8" s="53"/>
      <c r="Q8" s="56">
        <v>160</v>
      </c>
      <c r="R8" s="58">
        <v>20.100000000000001</v>
      </c>
      <c r="S8" s="58">
        <v>15.8</v>
      </c>
      <c r="T8" s="56">
        <v>160</v>
      </c>
      <c r="U8" s="56">
        <v>82</v>
      </c>
      <c r="V8" s="56">
        <v>5</v>
      </c>
      <c r="W8" s="56">
        <v>9</v>
      </c>
      <c r="X8" s="58">
        <v>7.4</v>
      </c>
      <c r="Y8" s="58">
        <v>16.399999999999999</v>
      </c>
      <c r="Z8" s="56">
        <v>127</v>
      </c>
      <c r="AA8" s="56">
        <v>869</v>
      </c>
      <c r="AB8" s="56">
        <v>109</v>
      </c>
      <c r="AC8" s="57">
        <v>6.58</v>
      </c>
      <c r="AD8" s="58">
        <v>68.3</v>
      </c>
      <c r="AE8" s="58">
        <v>16.7</v>
      </c>
      <c r="AF8" s="57">
        <v>1.84</v>
      </c>
    </row>
    <row r="9" spans="1:32" ht="21" x14ac:dyDescent="0.2">
      <c r="A9" s="90" t="s">
        <v>119</v>
      </c>
      <c r="B9" s="90"/>
      <c r="C9" s="90"/>
      <c r="D9" s="53"/>
      <c r="E9" s="38"/>
      <c r="F9" s="53"/>
      <c r="G9" s="53"/>
      <c r="H9" s="53"/>
      <c r="I9" s="53" t="s">
        <v>128</v>
      </c>
      <c r="J9" s="53">
        <f>1.2*F7+1.6*F12*(1+B11)</f>
        <v>2210.7457500000005</v>
      </c>
      <c r="K9" s="53" t="s">
        <v>56</v>
      </c>
      <c r="L9" s="53"/>
      <c r="M9" s="53"/>
      <c r="N9" s="53"/>
      <c r="O9" s="53"/>
      <c r="Q9" s="56">
        <v>180</v>
      </c>
      <c r="R9" s="58">
        <v>23.9</v>
      </c>
      <c r="S9" s="58">
        <v>18.8</v>
      </c>
      <c r="T9" s="56">
        <v>180</v>
      </c>
      <c r="U9" s="56">
        <v>91</v>
      </c>
      <c r="V9" s="58">
        <v>5.3</v>
      </c>
      <c r="W9" s="56">
        <v>9</v>
      </c>
      <c r="X9" s="56">
        <v>8</v>
      </c>
      <c r="Y9" s="56">
        <v>17</v>
      </c>
      <c r="Z9" s="56">
        <v>146</v>
      </c>
      <c r="AA9" s="56">
        <v>1320</v>
      </c>
      <c r="AB9" s="56">
        <v>146</v>
      </c>
      <c r="AC9" s="57">
        <v>7.42</v>
      </c>
      <c r="AD9" s="56">
        <v>101</v>
      </c>
      <c r="AE9" s="58">
        <v>22.2</v>
      </c>
      <c r="AF9" s="57">
        <v>2.0499999999999998</v>
      </c>
    </row>
    <row r="10" spans="1:32" ht="21" x14ac:dyDescent="0.2">
      <c r="A10" s="47" t="s">
        <v>129</v>
      </c>
      <c r="B10" s="41">
        <v>800</v>
      </c>
      <c r="C10" s="53" t="s">
        <v>31</v>
      </c>
      <c r="D10" s="53"/>
      <c r="E10" s="88" t="s">
        <v>58</v>
      </c>
      <c r="F10" s="85"/>
      <c r="G10" s="53"/>
      <c r="H10" s="53"/>
      <c r="I10" s="53" t="s">
        <v>126</v>
      </c>
      <c r="J10" s="53">
        <f>1.2*F8+1.6*F13*(1+B11)</f>
        <v>13.40436</v>
      </c>
      <c r="K10" s="53" t="s">
        <v>57</v>
      </c>
      <c r="L10" s="53"/>
      <c r="M10" s="53"/>
      <c r="N10" s="53"/>
      <c r="O10" s="53"/>
      <c r="Q10" s="56">
        <v>200</v>
      </c>
      <c r="R10" s="58">
        <v>28.5</v>
      </c>
      <c r="S10" s="58">
        <v>22.4</v>
      </c>
      <c r="T10" s="56">
        <v>200</v>
      </c>
      <c r="U10" s="56">
        <v>100</v>
      </c>
      <c r="V10" s="58">
        <v>5.6</v>
      </c>
      <c r="W10" s="56">
        <v>12</v>
      </c>
      <c r="X10" s="58">
        <v>8.5</v>
      </c>
      <c r="Y10" s="58">
        <v>20.5</v>
      </c>
      <c r="Z10" s="56">
        <v>159</v>
      </c>
      <c r="AA10" s="56">
        <v>1940</v>
      </c>
      <c r="AB10" s="56">
        <v>194</v>
      </c>
      <c r="AC10" s="57">
        <v>8.26</v>
      </c>
      <c r="AD10" s="56">
        <v>142</v>
      </c>
      <c r="AE10" s="58">
        <v>28.5</v>
      </c>
      <c r="AF10" s="57">
        <v>2.2400000000000002</v>
      </c>
    </row>
    <row r="11" spans="1:32" ht="36" x14ac:dyDescent="0.2">
      <c r="A11" s="47" t="s">
        <v>59</v>
      </c>
      <c r="B11" s="41">
        <v>0.25</v>
      </c>
      <c r="C11" s="53" t="s">
        <v>43</v>
      </c>
      <c r="D11" s="53"/>
      <c r="E11" s="48" t="s">
        <v>111</v>
      </c>
      <c r="F11" s="53">
        <f>(B12*(0.5*B10+0.25*B13)+B12*(0.5*B10-0.75*B13))/B10</f>
        <v>3.2422500000000003</v>
      </c>
      <c r="G11" s="53" t="s">
        <v>57</v>
      </c>
      <c r="H11" s="53"/>
      <c r="L11" s="53"/>
      <c r="M11" s="53"/>
      <c r="N11" s="53"/>
      <c r="O11" s="53"/>
      <c r="Q11" s="56">
        <v>220</v>
      </c>
      <c r="R11" s="58">
        <v>33.4</v>
      </c>
      <c r="S11" s="58">
        <v>26.2</v>
      </c>
      <c r="T11" s="56">
        <v>220</v>
      </c>
      <c r="U11" s="56">
        <v>110</v>
      </c>
      <c r="V11" s="58">
        <v>5.9</v>
      </c>
      <c r="W11" s="56">
        <v>12</v>
      </c>
      <c r="X11" s="58">
        <v>9.1999999999999993</v>
      </c>
      <c r="Y11" s="58">
        <v>21.2</v>
      </c>
      <c r="Z11" s="56">
        <v>177</v>
      </c>
      <c r="AA11" s="56">
        <v>2770</v>
      </c>
      <c r="AB11" s="56">
        <v>252</v>
      </c>
      <c r="AC11" s="57">
        <v>9.11</v>
      </c>
      <c r="AD11" s="56">
        <v>205</v>
      </c>
      <c r="AE11" s="58">
        <v>37.299999999999997</v>
      </c>
      <c r="AF11" s="57">
        <v>2.48</v>
      </c>
    </row>
    <row r="12" spans="1:32" ht="21" x14ac:dyDescent="0.2">
      <c r="A12" s="47" t="s">
        <v>89</v>
      </c>
      <c r="B12" s="41">
        <v>3.96</v>
      </c>
      <c r="C12" s="53" t="s">
        <v>57</v>
      </c>
      <c r="D12" s="53"/>
      <c r="E12" s="48" t="s">
        <v>112</v>
      </c>
      <c r="F12" s="53">
        <f>MAX(F11*(0.5*B10-0.25*B13),B12*0.25*B10)</f>
        <v>1061.8368750000002</v>
      </c>
      <c r="G12" s="53" t="s">
        <v>56</v>
      </c>
      <c r="H12" s="53"/>
      <c r="I12" s="53"/>
      <c r="J12" s="53"/>
      <c r="K12" s="53"/>
      <c r="L12" s="53"/>
      <c r="M12" s="53"/>
      <c r="N12" s="53"/>
      <c r="O12" s="53"/>
      <c r="Q12" s="56">
        <v>240</v>
      </c>
      <c r="R12" s="58">
        <v>39.1</v>
      </c>
      <c r="S12" s="58">
        <v>30.7</v>
      </c>
      <c r="T12" s="56">
        <v>240</v>
      </c>
      <c r="U12" s="56">
        <v>120</v>
      </c>
      <c r="V12" s="58">
        <v>6.2</v>
      </c>
      <c r="W12" s="56">
        <v>15</v>
      </c>
      <c r="X12" s="58">
        <v>9.8000000000000007</v>
      </c>
      <c r="Y12" s="58">
        <v>24.8</v>
      </c>
      <c r="Z12" s="56">
        <v>190</v>
      </c>
      <c r="AA12" s="56">
        <v>3890</v>
      </c>
      <c r="AB12" s="56">
        <v>324</v>
      </c>
      <c r="AC12" s="57">
        <v>9.9700000000000006</v>
      </c>
      <c r="AD12" s="56">
        <v>284</v>
      </c>
      <c r="AE12" s="58">
        <v>47.3</v>
      </c>
      <c r="AF12" s="57">
        <v>2.69</v>
      </c>
    </row>
    <row r="13" spans="1:32" ht="36" customHeight="1" thickBot="1" x14ac:dyDescent="0.25">
      <c r="A13" s="47" t="s">
        <v>140</v>
      </c>
      <c r="B13" s="41">
        <v>290</v>
      </c>
      <c r="C13" s="53" t="s">
        <v>31</v>
      </c>
      <c r="D13" s="53"/>
      <c r="E13" s="49" t="s">
        <v>113</v>
      </c>
      <c r="F13" s="40">
        <f>(B12*B10+B12*(B10-B13))/B10</f>
        <v>6.4845000000000006</v>
      </c>
      <c r="G13" s="40" t="s">
        <v>57</v>
      </c>
      <c r="H13" s="40"/>
      <c r="I13" s="40"/>
      <c r="J13" s="40"/>
      <c r="K13" s="40"/>
      <c r="L13" s="53"/>
      <c r="M13" s="53"/>
      <c r="N13" s="53"/>
      <c r="O13" s="53"/>
      <c r="Q13" s="56">
        <v>270</v>
      </c>
      <c r="R13" s="58">
        <v>45.9</v>
      </c>
      <c r="S13" s="58">
        <v>36.1</v>
      </c>
      <c r="T13" s="56">
        <v>270</v>
      </c>
      <c r="U13" s="56">
        <v>135</v>
      </c>
      <c r="V13" s="58">
        <v>6.6</v>
      </c>
      <c r="W13" s="56">
        <v>15</v>
      </c>
      <c r="X13" s="58">
        <v>10.199999999999999</v>
      </c>
      <c r="Y13" s="58">
        <v>25.2</v>
      </c>
      <c r="Z13" s="56">
        <v>219</v>
      </c>
      <c r="AA13" s="56">
        <v>5790</v>
      </c>
      <c r="AB13" s="56">
        <v>429</v>
      </c>
      <c r="AC13" s="58">
        <v>11.2</v>
      </c>
      <c r="AD13" s="56">
        <v>420</v>
      </c>
      <c r="AE13" s="58">
        <v>62.2</v>
      </c>
      <c r="AF13" s="57">
        <v>3.02</v>
      </c>
    </row>
    <row r="14" spans="1:32" ht="21" x14ac:dyDescent="0.2">
      <c r="A14" s="47" t="s">
        <v>90</v>
      </c>
      <c r="B14" s="41">
        <v>5</v>
      </c>
      <c r="C14" s="53" t="s">
        <v>31</v>
      </c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Q14" s="56">
        <v>300</v>
      </c>
      <c r="R14" s="58">
        <v>53.8</v>
      </c>
      <c r="S14" s="58">
        <v>42.2</v>
      </c>
      <c r="T14" s="56">
        <v>300</v>
      </c>
      <c r="U14" s="56">
        <v>150</v>
      </c>
      <c r="V14" s="58">
        <v>7.1</v>
      </c>
      <c r="W14" s="56">
        <v>15</v>
      </c>
      <c r="X14" s="58">
        <v>10.7</v>
      </c>
      <c r="Y14" s="58">
        <v>25.7</v>
      </c>
      <c r="Z14" s="56">
        <v>248</v>
      </c>
      <c r="AA14" s="56">
        <v>8360</v>
      </c>
      <c r="AB14" s="56">
        <v>557</v>
      </c>
      <c r="AC14" s="58">
        <v>12.5</v>
      </c>
      <c r="AD14" s="56">
        <v>604</v>
      </c>
      <c r="AE14" s="58">
        <v>80.5</v>
      </c>
      <c r="AF14" s="57">
        <v>3.35</v>
      </c>
    </row>
    <row r="15" spans="1:32" ht="21" x14ac:dyDescent="0.2">
      <c r="A15" s="47" t="s">
        <v>91</v>
      </c>
      <c r="B15" s="41">
        <v>30</v>
      </c>
      <c r="C15" s="53" t="s">
        <v>31</v>
      </c>
      <c r="D15" s="53"/>
      <c r="F15" s="50"/>
      <c r="G15" s="53"/>
      <c r="H15" s="53"/>
      <c r="I15" s="53"/>
      <c r="J15" s="53"/>
      <c r="K15" s="53"/>
      <c r="L15" s="53"/>
      <c r="M15" s="53"/>
      <c r="N15" s="53"/>
      <c r="O15" s="53"/>
      <c r="Q15" s="56">
        <v>330</v>
      </c>
      <c r="R15" s="58">
        <v>62.6</v>
      </c>
      <c r="S15" s="58">
        <v>49.1</v>
      </c>
      <c r="T15" s="56">
        <v>330</v>
      </c>
      <c r="U15" s="56">
        <v>160</v>
      </c>
      <c r="V15" s="58">
        <v>7.5</v>
      </c>
      <c r="W15" s="56">
        <v>18</v>
      </c>
      <c r="X15" s="58">
        <v>11.5</v>
      </c>
      <c r="Y15" s="58">
        <v>29.5</v>
      </c>
      <c r="Z15" s="56">
        <v>271</v>
      </c>
      <c r="AA15" s="56">
        <v>11770</v>
      </c>
      <c r="AB15" s="56">
        <v>713</v>
      </c>
      <c r="AC15" s="58">
        <v>13.7</v>
      </c>
      <c r="AD15" s="56">
        <v>788</v>
      </c>
      <c r="AE15" s="58">
        <v>98.5</v>
      </c>
      <c r="AF15" s="57">
        <v>3.55</v>
      </c>
    </row>
    <row r="16" spans="1:32" ht="19.5" x14ac:dyDescent="0.2">
      <c r="A16" s="47"/>
      <c r="B16" s="41"/>
      <c r="C16" s="53"/>
      <c r="D16" s="53"/>
      <c r="E16" s="50"/>
      <c r="F16" s="50"/>
      <c r="G16" s="53"/>
      <c r="H16" s="53"/>
      <c r="J16" s="53"/>
      <c r="K16" s="53"/>
      <c r="L16" s="53"/>
      <c r="M16" s="53"/>
      <c r="N16" s="53"/>
      <c r="O16" s="53"/>
      <c r="Q16" s="56">
        <v>360</v>
      </c>
      <c r="R16" s="58">
        <v>72.7</v>
      </c>
      <c r="S16" s="58">
        <v>57.1</v>
      </c>
      <c r="T16" s="56">
        <v>360</v>
      </c>
      <c r="U16" s="56">
        <v>170</v>
      </c>
      <c r="V16" s="56">
        <v>8</v>
      </c>
      <c r="W16" s="56">
        <v>18</v>
      </c>
      <c r="X16" s="58">
        <v>12.7</v>
      </c>
      <c r="Y16" s="58">
        <v>30.7</v>
      </c>
      <c r="Z16" s="56">
        <v>298</v>
      </c>
      <c r="AA16" s="56">
        <v>16270</v>
      </c>
      <c r="AB16" s="56">
        <v>904</v>
      </c>
      <c r="AC16" s="56">
        <v>15</v>
      </c>
      <c r="AD16" s="56">
        <v>1040</v>
      </c>
      <c r="AE16" s="56">
        <v>123</v>
      </c>
      <c r="AF16" s="57">
        <v>3.79</v>
      </c>
    </row>
    <row r="17" spans="1:32" ht="27" customHeight="1" x14ac:dyDescent="0.2">
      <c r="A17" s="90" t="s">
        <v>117</v>
      </c>
      <c r="B17" s="90"/>
      <c r="C17" s="90"/>
      <c r="D17" s="53"/>
      <c r="E17" s="90" t="s">
        <v>47</v>
      </c>
      <c r="F17" s="90"/>
      <c r="G17" s="53"/>
      <c r="H17" s="53"/>
      <c r="J17" s="53"/>
      <c r="K17" s="53"/>
      <c r="L17" s="53"/>
      <c r="M17" s="53"/>
      <c r="N17" s="53"/>
      <c r="O17" s="53"/>
      <c r="Q17" s="56">
        <v>400</v>
      </c>
      <c r="R17" s="58">
        <v>84.5</v>
      </c>
      <c r="S17" s="58">
        <v>66.3</v>
      </c>
      <c r="T17" s="56">
        <v>400</v>
      </c>
      <c r="U17" s="56">
        <v>180</v>
      </c>
      <c r="V17" s="58">
        <v>8.6</v>
      </c>
      <c r="W17" s="56">
        <v>21</v>
      </c>
      <c r="X17" s="58">
        <v>13.5</v>
      </c>
      <c r="Y17" s="58">
        <v>34.5</v>
      </c>
      <c r="Z17" s="56">
        <v>331</v>
      </c>
      <c r="AA17" s="56">
        <v>23130</v>
      </c>
      <c r="AB17" s="56">
        <v>1160</v>
      </c>
      <c r="AC17" s="58">
        <v>16.5</v>
      </c>
      <c r="AD17" s="56">
        <v>1320</v>
      </c>
      <c r="AE17" s="56">
        <v>146</v>
      </c>
      <c r="AF17" s="57">
        <v>3.95</v>
      </c>
    </row>
    <row r="18" spans="1:32" ht="19.5" x14ac:dyDescent="0.2">
      <c r="A18" s="53" t="s">
        <v>130</v>
      </c>
      <c r="B18" s="92">
        <v>500</v>
      </c>
      <c r="C18" s="92"/>
      <c r="D18" s="53"/>
      <c r="E18" s="85" t="s">
        <v>48</v>
      </c>
      <c r="F18" s="85"/>
      <c r="G18" s="53"/>
      <c r="H18" s="53"/>
      <c r="I18" s="53"/>
      <c r="J18" s="53"/>
      <c r="K18" s="53"/>
      <c r="L18" s="53"/>
      <c r="M18" s="53"/>
      <c r="N18" s="53"/>
      <c r="O18" s="53"/>
      <c r="Q18" s="56">
        <v>450</v>
      </c>
      <c r="R18" s="58">
        <v>98.8</v>
      </c>
      <c r="S18" s="58">
        <v>77.599999999999994</v>
      </c>
      <c r="T18" s="56">
        <v>450</v>
      </c>
      <c r="U18" s="56">
        <v>190</v>
      </c>
      <c r="V18" s="58">
        <v>9.4</v>
      </c>
      <c r="W18" s="56">
        <v>21</v>
      </c>
      <c r="X18" s="58">
        <v>14.6</v>
      </c>
      <c r="Y18" s="58">
        <v>35.6</v>
      </c>
      <c r="Z18" s="56">
        <v>378</v>
      </c>
      <c r="AA18" s="56">
        <v>33740</v>
      </c>
      <c r="AB18" s="56">
        <v>1500</v>
      </c>
      <c r="AC18" s="58">
        <v>18.5</v>
      </c>
      <c r="AD18" s="56">
        <v>1680</v>
      </c>
      <c r="AE18" s="56">
        <v>176</v>
      </c>
      <c r="AF18" s="57">
        <v>4.12</v>
      </c>
    </row>
    <row r="19" spans="1:32" ht="19.5" x14ac:dyDescent="0.2">
      <c r="A19" s="53" t="s">
        <v>8</v>
      </c>
      <c r="B19" s="53">
        <f>VLOOKUP(B18,$Q$2:$AF$21,3,FALSE)</f>
        <v>90.7</v>
      </c>
      <c r="C19" s="53" t="s">
        <v>27</v>
      </c>
      <c r="D19" s="53"/>
      <c r="E19" s="46" t="s">
        <v>49</v>
      </c>
      <c r="F19" s="53">
        <f>B26/B22</f>
        <v>41.764705882352942</v>
      </c>
      <c r="G19" s="53" t="str">
        <f>IF(F19&lt;127/SQRT(B6),C1,C2)</f>
        <v>Compact</v>
      </c>
      <c r="H19" s="84" t="s">
        <v>51</v>
      </c>
      <c r="I19" s="84" t="str">
        <f>IF(AND(G19=C1,G20=C1),C1,C2)</f>
        <v>Compact</v>
      </c>
      <c r="J19" s="84" t="s">
        <v>4</v>
      </c>
      <c r="M19" s="53"/>
      <c r="N19" s="53"/>
      <c r="O19" s="53"/>
      <c r="Q19" s="56">
        <v>500</v>
      </c>
      <c r="R19" s="56">
        <v>116</v>
      </c>
      <c r="S19" s="58">
        <v>90.7</v>
      </c>
      <c r="T19" s="56">
        <v>500</v>
      </c>
      <c r="U19" s="56">
        <v>200</v>
      </c>
      <c r="V19" s="58">
        <v>10.199999999999999</v>
      </c>
      <c r="W19" s="56">
        <v>21</v>
      </c>
      <c r="X19" s="56">
        <v>16</v>
      </c>
      <c r="Y19" s="56">
        <v>37</v>
      </c>
      <c r="Z19" s="56">
        <v>426</v>
      </c>
      <c r="AA19" s="56">
        <v>48200</v>
      </c>
      <c r="AB19" s="56">
        <v>1930</v>
      </c>
      <c r="AC19" s="58">
        <v>20.399999999999999</v>
      </c>
      <c r="AD19" s="56">
        <v>2140</v>
      </c>
      <c r="AE19" s="56">
        <v>214</v>
      </c>
      <c r="AF19" s="57">
        <v>4.3099999999999996</v>
      </c>
    </row>
    <row r="20" spans="1:32" ht="19.5" x14ac:dyDescent="0.2">
      <c r="A20" s="53" t="s">
        <v>15</v>
      </c>
      <c r="B20" s="53">
        <f>VLOOKUP(B18,$Q$2:$AF$21,4,FALSE)</f>
        <v>500</v>
      </c>
      <c r="C20" s="53" t="s">
        <v>29</v>
      </c>
      <c r="D20" s="53"/>
      <c r="E20" s="46" t="s">
        <v>50</v>
      </c>
      <c r="F20" s="53">
        <f>(B21-B22-2*B23)/(2*B24)</f>
        <v>4.6187500000000004</v>
      </c>
      <c r="G20" s="53" t="str">
        <f>IF(F20&lt;=16.9/SQRT(B6),C1,C2)</f>
        <v>Compact</v>
      </c>
      <c r="H20" s="84"/>
      <c r="I20" s="84"/>
      <c r="J20" s="84"/>
      <c r="K20" s="45"/>
      <c r="M20" s="53"/>
      <c r="N20" s="53"/>
      <c r="O20" s="53"/>
      <c r="Q20" s="56">
        <v>550</v>
      </c>
      <c r="R20" s="56">
        <v>134</v>
      </c>
      <c r="S20" s="56">
        <v>106</v>
      </c>
      <c r="T20" s="56">
        <v>550</v>
      </c>
      <c r="U20" s="56">
        <v>210</v>
      </c>
      <c r="V20" s="58">
        <v>11.1</v>
      </c>
      <c r="W20" s="56">
        <v>24</v>
      </c>
      <c r="X20" s="58">
        <v>17.2</v>
      </c>
      <c r="Y20" s="58">
        <v>41.2</v>
      </c>
      <c r="Z20" s="56">
        <v>467</v>
      </c>
      <c r="AA20" s="56">
        <v>67120</v>
      </c>
      <c r="AB20" s="56">
        <v>2440</v>
      </c>
      <c r="AC20" s="58">
        <v>22.3</v>
      </c>
      <c r="AD20" s="56">
        <v>2670</v>
      </c>
      <c r="AE20" s="56">
        <v>254</v>
      </c>
      <c r="AF20" s="57">
        <v>4.45</v>
      </c>
    </row>
    <row r="21" spans="1:32" ht="19.5" x14ac:dyDescent="0.2">
      <c r="A21" s="53" t="s">
        <v>16</v>
      </c>
      <c r="B21" s="53">
        <f>VLOOKUP(B18,$Q$2:$AF$21,5,FALSE)</f>
        <v>200</v>
      </c>
      <c r="C21" s="53" t="s">
        <v>29</v>
      </c>
      <c r="D21" s="53"/>
      <c r="E21" s="46"/>
      <c r="F21" s="53"/>
      <c r="G21" s="53"/>
      <c r="H21" s="53"/>
      <c r="I21" s="53"/>
      <c r="J21" s="53"/>
      <c r="K21" s="53"/>
      <c r="L21" s="53"/>
      <c r="M21" s="53"/>
      <c r="N21" s="53"/>
      <c r="O21" s="53"/>
      <c r="Q21" s="56">
        <v>600</v>
      </c>
      <c r="R21" s="56">
        <v>156</v>
      </c>
      <c r="S21" s="56">
        <v>122</v>
      </c>
      <c r="T21" s="56">
        <v>600</v>
      </c>
      <c r="U21" s="56">
        <v>220</v>
      </c>
      <c r="V21" s="56">
        <v>12</v>
      </c>
      <c r="W21" s="56">
        <v>24</v>
      </c>
      <c r="X21" s="56">
        <v>19</v>
      </c>
      <c r="Y21" s="56">
        <v>43</v>
      </c>
      <c r="Z21" s="56">
        <v>514</v>
      </c>
      <c r="AA21" s="56">
        <v>92080</v>
      </c>
      <c r="AB21" s="56">
        <v>3070</v>
      </c>
      <c r="AC21" s="58">
        <v>24.3</v>
      </c>
      <c r="AD21" s="56">
        <v>3390</v>
      </c>
      <c r="AE21" s="56">
        <v>308</v>
      </c>
      <c r="AF21" s="57">
        <v>4.66</v>
      </c>
    </row>
    <row r="22" spans="1:32" ht="21.75" thickBot="1" x14ac:dyDescent="0.25">
      <c r="A22" s="53" t="s">
        <v>78</v>
      </c>
      <c r="B22" s="53">
        <f>VLOOKUP(B18,$Q$2:$AF$21,6,FALSE)</f>
        <v>10.199999999999999</v>
      </c>
      <c r="C22" s="53" t="s">
        <v>29</v>
      </c>
      <c r="D22" s="53"/>
      <c r="E22" s="40"/>
      <c r="F22" s="40"/>
      <c r="G22" s="40"/>
      <c r="H22" s="40"/>
      <c r="I22" s="40"/>
      <c r="J22" s="40"/>
      <c r="K22" s="40"/>
      <c r="L22" s="53"/>
      <c r="M22" s="53"/>
      <c r="N22" s="53"/>
      <c r="O22" s="53"/>
    </row>
    <row r="23" spans="1:32" x14ac:dyDescent="0.2">
      <c r="A23" s="53" t="s">
        <v>132</v>
      </c>
      <c r="B23" s="53">
        <f>VLOOKUP(B18,$Q$2:$AF$21,7,FALSE)</f>
        <v>21</v>
      </c>
      <c r="C23" s="53" t="s">
        <v>29</v>
      </c>
      <c r="D23" s="53"/>
      <c r="E23" s="85" t="s">
        <v>53</v>
      </c>
      <c r="F23" s="85"/>
      <c r="G23" s="53"/>
      <c r="H23" s="53"/>
      <c r="I23" s="53"/>
      <c r="J23" s="53"/>
      <c r="K23" s="53"/>
      <c r="L23" s="53"/>
      <c r="M23" s="53"/>
      <c r="N23" s="53"/>
      <c r="O23" s="53"/>
    </row>
    <row r="24" spans="1:32" ht="21" x14ac:dyDescent="0.2">
      <c r="A24" s="53" t="s">
        <v>18</v>
      </c>
      <c r="B24" s="53">
        <f>VLOOKUP(B18,$Q$2:$AF$21,8,FALSE)</f>
        <v>16</v>
      </c>
      <c r="C24" s="53" t="s">
        <v>29</v>
      </c>
      <c r="D24" s="53"/>
      <c r="E24" s="53" t="s">
        <v>66</v>
      </c>
      <c r="F24" s="53">
        <f>B32*B6</f>
        <v>5234.1599999999989</v>
      </c>
      <c r="G24" s="53" t="s">
        <v>56</v>
      </c>
      <c r="H24" s="53"/>
      <c r="I24" s="84"/>
      <c r="M24" s="53"/>
      <c r="N24" s="53"/>
      <c r="O24" s="53"/>
    </row>
    <row r="25" spans="1:32" ht="21" x14ac:dyDescent="0.2">
      <c r="A25" s="53" t="s">
        <v>19</v>
      </c>
      <c r="B25" s="53">
        <f>VLOOKUP(B18,$Q$2:$AF$21,9,FALSE)</f>
        <v>37</v>
      </c>
      <c r="C25" s="53" t="s">
        <v>29</v>
      </c>
      <c r="D25" s="53"/>
      <c r="E25" s="53" t="s">
        <v>141</v>
      </c>
      <c r="F25" s="53">
        <f>(J9/(0.85*F24))</f>
        <v>0.49690444177120635</v>
      </c>
      <c r="G25" s="42" t="str">
        <f>IF(F25&lt;=1,"Safe","Unsafe")</f>
        <v>Safe</v>
      </c>
      <c r="H25" s="53"/>
      <c r="I25" s="84"/>
      <c r="J25" s="53"/>
      <c r="K25" s="53"/>
      <c r="L25" s="53"/>
      <c r="M25" s="53"/>
      <c r="N25" s="53"/>
      <c r="O25" s="53"/>
    </row>
    <row r="26" spans="1:32" x14ac:dyDescent="0.2">
      <c r="A26" s="53" t="s">
        <v>20</v>
      </c>
      <c r="B26" s="53">
        <f>VLOOKUP(B18,$Q$2:$AF$21,10,FALSE)</f>
        <v>426</v>
      </c>
      <c r="C26" s="53" t="s">
        <v>29</v>
      </c>
      <c r="D26" s="53"/>
      <c r="E26" s="53"/>
      <c r="F26" s="53"/>
      <c r="G26" s="53"/>
      <c r="H26" s="53"/>
      <c r="I26" s="84"/>
      <c r="J26" s="53"/>
      <c r="K26" s="53"/>
      <c r="L26" s="53"/>
      <c r="M26" s="53"/>
      <c r="N26" s="53"/>
      <c r="O26" s="53"/>
    </row>
    <row r="27" spans="1:32" ht="18.75" thickBot="1" x14ac:dyDescent="0.25">
      <c r="A27" s="53"/>
      <c r="B27" s="53"/>
      <c r="C27" s="53"/>
      <c r="D27" s="53"/>
      <c r="E27" s="40"/>
      <c r="F27" s="40"/>
      <c r="G27" s="40"/>
      <c r="H27" s="40"/>
      <c r="I27" s="40"/>
      <c r="J27" s="40"/>
      <c r="K27" s="40"/>
      <c r="L27" s="53"/>
      <c r="M27" s="53"/>
      <c r="N27" s="53"/>
      <c r="O27" s="53"/>
    </row>
    <row r="28" spans="1:32" x14ac:dyDescent="0.2">
      <c r="D28" s="53"/>
      <c r="E28" s="85" t="s">
        <v>67</v>
      </c>
      <c r="F28" s="85"/>
      <c r="G28" s="53"/>
      <c r="I28" s="53"/>
      <c r="J28" s="53"/>
      <c r="K28" s="53"/>
      <c r="L28" s="53"/>
      <c r="M28" s="53"/>
      <c r="N28" s="53"/>
      <c r="O28" s="53"/>
    </row>
    <row r="29" spans="1:32" ht="21" x14ac:dyDescent="0.2">
      <c r="A29" s="90" t="s">
        <v>121</v>
      </c>
      <c r="B29" s="90"/>
      <c r="C29" s="90"/>
      <c r="D29" s="53"/>
      <c r="E29" s="53" t="s">
        <v>142</v>
      </c>
      <c r="F29" s="53">
        <f>J10/(0.85*0.6*B6*0.1*B20*0.1*B22)</f>
        <v>0.21473087274125335</v>
      </c>
      <c r="G29" s="42" t="str">
        <f>IF(F29&lt;=1,"Safe","Unsafe")</f>
        <v>Safe</v>
      </c>
      <c r="H29" s="42"/>
      <c r="I29" s="53"/>
      <c r="J29" s="53"/>
      <c r="K29" s="53"/>
      <c r="L29" s="53"/>
      <c r="M29" s="53"/>
      <c r="N29" s="53"/>
      <c r="O29" s="53"/>
    </row>
    <row r="30" spans="1:32" ht="21" x14ac:dyDescent="0.2">
      <c r="A30" s="53" t="s">
        <v>32</v>
      </c>
      <c r="B30" s="53">
        <f>VLOOKUP(B18,$Q$2:$AF$21,11,FALSE)</f>
        <v>48200</v>
      </c>
      <c r="C30" s="53" t="s">
        <v>37</v>
      </c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</row>
    <row r="31" spans="1:32" ht="21.75" thickBot="1" x14ac:dyDescent="0.25">
      <c r="A31" s="53" t="s">
        <v>33</v>
      </c>
      <c r="B31" s="53">
        <f>VLOOKUP(B18,$Q$2:$AF$21,12,FALSE)</f>
        <v>1930</v>
      </c>
      <c r="C31" s="53" t="s">
        <v>38</v>
      </c>
      <c r="D31" s="53"/>
      <c r="E31" s="40"/>
      <c r="F31" s="40"/>
      <c r="G31" s="40"/>
      <c r="H31" s="40"/>
      <c r="I31" s="40"/>
      <c r="J31" s="40"/>
      <c r="K31" s="40"/>
      <c r="L31" s="53"/>
    </row>
    <row r="32" spans="1:32" ht="21" x14ac:dyDescent="0.2">
      <c r="A32" s="53" t="s">
        <v>34</v>
      </c>
      <c r="B32" s="53">
        <f>1.13*B31</f>
        <v>2180.8999999999996</v>
      </c>
      <c r="C32" s="53" t="s">
        <v>38</v>
      </c>
      <c r="D32" s="53"/>
      <c r="E32" s="106" t="s">
        <v>68</v>
      </c>
      <c r="F32" s="106"/>
      <c r="G32" s="53"/>
      <c r="H32" s="53"/>
      <c r="I32" s="53"/>
      <c r="J32" s="53"/>
    </row>
    <row r="33" spans="1:15" ht="21" x14ac:dyDescent="0.2">
      <c r="A33" s="53" t="s">
        <v>35</v>
      </c>
      <c r="B33" s="53">
        <f>VLOOKUP(B18,$Q$2:$AF$21,16,FALSE)</f>
        <v>4.3099999999999996</v>
      </c>
      <c r="C33" s="53" t="s">
        <v>31</v>
      </c>
      <c r="D33" s="53"/>
      <c r="E33" s="84" t="s">
        <v>69</v>
      </c>
      <c r="F33" s="84"/>
      <c r="G33" s="53" t="s">
        <v>92</v>
      </c>
      <c r="H33" s="53">
        <f>1.6*B12*(1+B11)</f>
        <v>7.92</v>
      </c>
      <c r="I33" s="53" t="s">
        <v>57</v>
      </c>
      <c r="J33" s="53"/>
    </row>
    <row r="34" spans="1:15" ht="21" x14ac:dyDescent="0.2">
      <c r="A34" s="53" t="s">
        <v>36</v>
      </c>
      <c r="B34" s="53">
        <f>VLOOKUP(B18,$Q$2:$AF$21,15,FALSE)</f>
        <v>214</v>
      </c>
      <c r="C34" s="53" t="s">
        <v>38</v>
      </c>
      <c r="D34" s="53"/>
      <c r="E34" s="46" t="s">
        <v>70</v>
      </c>
      <c r="F34" s="53">
        <f>0.95*(2*B14+2.5*B25*0.1)*0.1*B22*B6</f>
        <v>44.767799999999987</v>
      </c>
      <c r="G34" s="53" t="s">
        <v>57</v>
      </c>
      <c r="H34" s="42" t="str">
        <f>IF(F34&gt;=H33,"Safe","Unsafe")</f>
        <v>Safe</v>
      </c>
      <c r="I34" s="53"/>
      <c r="J34" s="53"/>
    </row>
    <row r="35" spans="1:15" ht="21" x14ac:dyDescent="0.2">
      <c r="A35" s="53" t="s">
        <v>39</v>
      </c>
      <c r="B35" s="53">
        <f>(80*B33)/SQRT(B6)</f>
        <v>222.56744296205287</v>
      </c>
      <c r="C35" s="53" t="s">
        <v>31</v>
      </c>
      <c r="D35" s="53"/>
      <c r="E35" s="84" t="str">
        <f>IF(H34=F2,"Increase web thickness","")</f>
        <v/>
      </c>
      <c r="F35" s="84"/>
      <c r="G35" s="84"/>
      <c r="H35" s="84"/>
      <c r="I35" s="53"/>
      <c r="J35" s="53"/>
    </row>
    <row r="36" spans="1:15" ht="21" x14ac:dyDescent="0.2">
      <c r="A36" s="53" t="s">
        <v>40</v>
      </c>
      <c r="B36" s="53">
        <f>0.1*SQRT(((B23*(B21)^3)/12)/(B23*B21+(1/6)*(B20-2*B23)*B22))</f>
        <v>5.3028629173224182</v>
      </c>
      <c r="C36" s="53" t="s">
        <v>31</v>
      </c>
      <c r="D36" s="53"/>
      <c r="E36" s="46" t="s">
        <v>143</v>
      </c>
      <c r="F36" s="41">
        <v>1</v>
      </c>
      <c r="G36" s="53" t="s">
        <v>31</v>
      </c>
      <c r="H36" s="53"/>
      <c r="I36" s="53"/>
      <c r="J36" s="53"/>
    </row>
    <row r="37" spans="1:15" ht="21" x14ac:dyDescent="0.2">
      <c r="A37" s="53" t="s">
        <v>41</v>
      </c>
      <c r="B37" s="53">
        <f>((0.104*B36*0.1*B20)/(0.1*B21*0.1*B23))^2</f>
        <v>0.43105124855014387</v>
      </c>
      <c r="C37" s="53" t="s">
        <v>43</v>
      </c>
      <c r="D37" s="53"/>
      <c r="E37" s="46" t="s">
        <v>144</v>
      </c>
      <c r="F37" s="53" t="str">
        <f>IF(H34=F2,0.95*(2*B14+5*B24*0.1)*(0.1*B22+F36)*B6,"")</f>
        <v/>
      </c>
      <c r="G37" s="53" t="s">
        <v>57</v>
      </c>
      <c r="H37" s="42" t="str">
        <f>IF(F37&gt;=H33,"Safe","Unsafe")</f>
        <v>Safe</v>
      </c>
      <c r="I37" s="53"/>
      <c r="J37" s="53"/>
    </row>
    <row r="38" spans="1:15" ht="21" x14ac:dyDescent="0.2">
      <c r="A38" s="53" t="s">
        <v>42</v>
      </c>
      <c r="B38" s="53">
        <f>((1380*0.1*B21*0.1*B23)/(0.1*B20*0.75*B6))*SQRT(0.5*(1+SQRT(1+(2*0.75*B6*B37)^2)))</f>
        <v>768.23645542625854</v>
      </c>
      <c r="C38" s="53" t="s">
        <v>31</v>
      </c>
      <c r="E38" s="53"/>
      <c r="F38" s="53"/>
      <c r="G38" s="53"/>
      <c r="H38" s="53"/>
      <c r="I38" s="53"/>
      <c r="J38" s="53"/>
    </row>
    <row r="39" spans="1:15" ht="21" x14ac:dyDescent="0.2">
      <c r="A39" s="53"/>
      <c r="B39" s="53"/>
      <c r="C39" s="53"/>
      <c r="D39" s="53"/>
      <c r="E39" s="84" t="s">
        <v>71</v>
      </c>
      <c r="F39" s="84"/>
      <c r="G39" s="53" t="s">
        <v>92</v>
      </c>
      <c r="H39" s="53">
        <f>J10</f>
        <v>13.40436</v>
      </c>
      <c r="I39" s="53" t="s">
        <v>57</v>
      </c>
      <c r="J39" s="53"/>
    </row>
    <row r="40" spans="1:15" ht="21" x14ac:dyDescent="0.2">
      <c r="A40" s="53"/>
      <c r="B40" s="53"/>
      <c r="D40" s="53"/>
      <c r="E40" s="46" t="s">
        <v>70</v>
      </c>
      <c r="F40" s="53">
        <f>0.95*(0.5*B15+2.5*B25*0.1)*0.1*B22*B6</f>
        <v>56.395799999999994</v>
      </c>
      <c r="G40" s="53" t="s">
        <v>57</v>
      </c>
      <c r="H40" s="42" t="str">
        <f>IF(F40&gt;=H39,"Safe","Unsafe")</f>
        <v>Safe</v>
      </c>
      <c r="I40" s="53"/>
      <c r="J40" s="53"/>
    </row>
    <row r="41" spans="1:15" x14ac:dyDescent="0.2">
      <c r="A41" s="53"/>
      <c r="B41" s="53"/>
      <c r="E41" s="84" t="str">
        <f>IF(H40=F2,"Use Doubler Plate","")</f>
        <v/>
      </c>
      <c r="F41" s="84"/>
      <c r="G41" s="84"/>
      <c r="H41" s="84"/>
      <c r="I41" s="53"/>
      <c r="J41" s="53"/>
      <c r="K41" s="53"/>
    </row>
    <row r="42" spans="1:15" ht="21" x14ac:dyDescent="0.2">
      <c r="A42" s="53"/>
      <c r="B42" s="53"/>
      <c r="E42" s="46" t="s">
        <v>145</v>
      </c>
      <c r="F42" s="41">
        <v>1</v>
      </c>
      <c r="G42" s="53" t="s">
        <v>31</v>
      </c>
      <c r="H42" s="53"/>
      <c r="I42" s="53"/>
      <c r="J42" s="53"/>
      <c r="K42" s="53"/>
    </row>
    <row r="43" spans="1:15" ht="21" x14ac:dyDescent="0.2">
      <c r="A43" s="53"/>
      <c r="B43" s="53"/>
      <c r="E43" s="46" t="s">
        <v>144</v>
      </c>
      <c r="F43" s="53" t="str">
        <f>IF(H40=F2,0.95*(0.5*B15+2.5*B24*0.1)*(0.1*B22+F42)*B6,"")</f>
        <v/>
      </c>
      <c r="G43" s="53" t="s">
        <v>57</v>
      </c>
      <c r="H43" s="42" t="str">
        <f>IF(F43&gt;=H39,"Safe","Unsafe")</f>
        <v>Safe</v>
      </c>
      <c r="I43" s="53"/>
      <c r="J43" s="53"/>
      <c r="M43" s="53"/>
      <c r="N43" s="53"/>
      <c r="O43" s="53"/>
    </row>
    <row r="44" spans="1:15" x14ac:dyDescent="0.2">
      <c r="A44" s="53"/>
      <c r="B44" s="53"/>
      <c r="M44" s="53"/>
      <c r="N44" s="53"/>
      <c r="O44" s="53"/>
    </row>
    <row r="45" spans="1:15" ht="18.75" thickBot="1" x14ac:dyDescent="0.25">
      <c r="A45" s="53"/>
      <c r="B45" s="53"/>
      <c r="E45" s="40"/>
      <c r="F45" s="40"/>
      <c r="G45" s="40"/>
      <c r="H45" s="40"/>
      <c r="I45" s="40"/>
      <c r="J45" s="40"/>
      <c r="K45" s="40"/>
      <c r="L45" s="53"/>
    </row>
    <row r="46" spans="1:15" x14ac:dyDescent="0.2">
      <c r="A46" s="53"/>
      <c r="B46" s="53"/>
      <c r="E46" s="85" t="s">
        <v>95</v>
      </c>
      <c r="F46" s="85"/>
      <c r="G46" s="53"/>
      <c r="H46" s="53"/>
      <c r="J46" s="53"/>
      <c r="K46" s="53"/>
      <c r="L46" s="53"/>
    </row>
    <row r="47" spans="1:15" ht="21" x14ac:dyDescent="0.2">
      <c r="A47" s="53"/>
      <c r="B47" s="53"/>
      <c r="E47" s="53" t="s">
        <v>146</v>
      </c>
      <c r="F47" s="41">
        <v>70.144999999999996</v>
      </c>
      <c r="G47" s="53" t="s">
        <v>99</v>
      </c>
      <c r="H47" s="53"/>
      <c r="J47" s="53"/>
      <c r="K47" s="53"/>
    </row>
    <row r="48" spans="1:15" ht="18.75" x14ac:dyDescent="0.2">
      <c r="A48" s="53"/>
      <c r="B48" s="53"/>
      <c r="E48" s="43" t="s">
        <v>75</v>
      </c>
      <c r="F48" s="53">
        <f>(F47*10^6)/(2100*B30)</f>
        <v>0.6929954554435882</v>
      </c>
      <c r="G48" s="53" t="s">
        <v>31</v>
      </c>
      <c r="H48" s="42" t="str">
        <f>IF(F48&lt;= (B10/800),"Safe","Unsafe")</f>
        <v>Safe</v>
      </c>
      <c r="M48" s="53"/>
      <c r="N48" s="53"/>
      <c r="O48" s="53"/>
    </row>
    <row r="49" spans="1:15" x14ac:dyDescent="0.2">
      <c r="A49" s="53"/>
      <c r="B49" s="53"/>
      <c r="M49" s="53"/>
      <c r="N49" s="53"/>
      <c r="O49" s="53"/>
    </row>
    <row r="50" spans="1:15" ht="18.75" thickBot="1" x14ac:dyDescent="0.25">
      <c r="A50" s="53"/>
      <c r="B50" s="53"/>
      <c r="E50" s="40"/>
      <c r="F50" s="40"/>
      <c r="G50" s="40"/>
      <c r="H50" s="40"/>
      <c r="I50" s="40"/>
      <c r="J50" s="40"/>
      <c r="K50" s="40"/>
      <c r="L50" s="53"/>
    </row>
    <row r="51" spans="1:15" x14ac:dyDescent="0.2">
      <c r="A51" s="53"/>
      <c r="B51" s="53"/>
      <c r="E51" s="85" t="s">
        <v>97</v>
      </c>
      <c r="F51" s="85"/>
      <c r="G51" s="53"/>
      <c r="H51" s="53"/>
      <c r="I51" s="53"/>
      <c r="L51" s="53"/>
    </row>
    <row r="52" spans="1:15" ht="21" x14ac:dyDescent="0.2">
      <c r="A52" s="53"/>
      <c r="B52" s="53"/>
      <c r="E52" s="84" t="s">
        <v>74</v>
      </c>
      <c r="F52" s="84"/>
      <c r="G52" s="53">
        <f>(F12*(1+B11))/B31</f>
        <v>0.68771818329015555</v>
      </c>
      <c r="H52" s="53" t="s">
        <v>3</v>
      </c>
      <c r="I52" s="42" t="str">
        <f>IF(G52&lt;=1.68,"Safe","Unsafe")</f>
        <v>Safe</v>
      </c>
    </row>
    <row r="53" spans="1:15" x14ac:dyDescent="0.2">
      <c r="A53" s="53"/>
      <c r="B53" s="53"/>
      <c r="C53" s="53"/>
    </row>
    <row r="54" spans="1:15" ht="18.75" thickBot="1" x14ac:dyDescent="0.25">
      <c r="A54" s="53"/>
      <c r="B54" s="53"/>
      <c r="C54" s="53"/>
      <c r="D54" s="53"/>
      <c r="E54" s="40"/>
      <c r="F54" s="40"/>
      <c r="G54" s="40"/>
      <c r="H54" s="40"/>
      <c r="I54" s="40"/>
      <c r="J54" s="40"/>
      <c r="K54" s="40"/>
    </row>
    <row r="55" spans="1:15" x14ac:dyDescent="0.2">
      <c r="A55" s="53"/>
      <c r="B55" s="53"/>
      <c r="C55" s="53"/>
      <c r="D55" s="53"/>
      <c r="E55" s="85" t="s">
        <v>96</v>
      </c>
      <c r="F55" s="85"/>
      <c r="G55" s="53"/>
      <c r="H55" s="53"/>
      <c r="I55" s="53"/>
    </row>
    <row r="56" spans="1:15" ht="21" x14ac:dyDescent="0.2">
      <c r="E56" s="84" t="s">
        <v>69</v>
      </c>
      <c r="F56" s="84"/>
      <c r="G56" s="53" t="s">
        <v>92</v>
      </c>
      <c r="H56" s="53">
        <f>1.6*B12*(1+B11)</f>
        <v>7.92</v>
      </c>
      <c r="I56" s="53" t="s">
        <v>57</v>
      </c>
    </row>
    <row r="57" spans="1:15" ht="21" x14ac:dyDescent="0.2">
      <c r="C57" s="46" t="s">
        <v>93</v>
      </c>
      <c r="D57" s="53">
        <f>(2*B14)/(0.1*B20)</f>
        <v>0.2</v>
      </c>
      <c r="E57" s="46" t="s">
        <v>70</v>
      </c>
      <c r="F57" s="53">
        <f>IF(D57&lt;=0.2,0.7*(0.1813*(0.1*B22)^2*(1+3*D57)*(B22/B24)^1.5)*SQRT(2100*B6*(B24/B22)),0.7*(0.1813*(0.1*B22)^2*(1+((4*2*B14)/(0.1*B20-0.2))*(B22/B24)^1.5)*SQRT(2100*B6*(B24/B22))))</f>
        <v>9.5611829338724696</v>
      </c>
      <c r="G57" s="53" t="s">
        <v>57</v>
      </c>
      <c r="H57" s="42" t="str">
        <f>IF(F57&gt;=H56,"Safe","Unsafe")</f>
        <v>Safe</v>
      </c>
      <c r="I57" s="53"/>
    </row>
    <row r="58" spans="1:15" x14ac:dyDescent="0.2">
      <c r="C58" s="53"/>
      <c r="E58" s="84" t="str">
        <f>IF(H57=F2,"Increase web thickness","")</f>
        <v/>
      </c>
      <c r="F58" s="84"/>
      <c r="G58" s="84"/>
      <c r="H58" s="84"/>
      <c r="I58" s="53"/>
    </row>
    <row r="59" spans="1:15" ht="21" x14ac:dyDescent="0.2">
      <c r="C59" s="53"/>
      <c r="D59" s="53"/>
      <c r="E59" s="46" t="s">
        <v>143</v>
      </c>
      <c r="F59" s="41">
        <v>1</v>
      </c>
      <c r="G59" s="53" t="s">
        <v>31</v>
      </c>
      <c r="H59" s="53"/>
      <c r="I59" s="53"/>
    </row>
    <row r="60" spans="1:15" ht="21" x14ac:dyDescent="0.2">
      <c r="C60" s="53"/>
      <c r="D60" s="53"/>
      <c r="E60" s="46" t="s">
        <v>147</v>
      </c>
      <c r="F60" s="53" t="str">
        <f>IF(H57=F2,IF(D57&lt;=0.2,0.7*(0.1813*(0.1*B22+F59)^2*(1+3*D57)*((10*F59+B22)/B24)^1.5)*SQRT(2100*B6*(B24/(10*F59+B22))),0.7*(0.1813*(0.1*B22+F59)^2*(1+((4*2*B14)/(0.1*B20-0.2))*((10*F59+B22)/B24)^1.5)*SQRT(2100*B6*(B24/(10*F59+B22))))),"")</f>
        <v/>
      </c>
      <c r="G60" s="53" t="s">
        <v>57</v>
      </c>
      <c r="H60" s="42" t="str">
        <f>IF(F60&gt;=H56,"Safe","Unsafe")</f>
        <v>Safe</v>
      </c>
      <c r="I60" s="53"/>
    </row>
    <row r="61" spans="1:15" x14ac:dyDescent="0.2">
      <c r="C61" s="53"/>
      <c r="D61" s="53"/>
      <c r="E61" s="53"/>
      <c r="F61" s="53"/>
      <c r="G61" s="53"/>
      <c r="H61" s="53"/>
      <c r="I61" s="53"/>
    </row>
    <row r="62" spans="1:15" ht="21" x14ac:dyDescent="0.2">
      <c r="E62" s="84" t="s">
        <v>71</v>
      </c>
      <c r="F62" s="84"/>
      <c r="G62" s="53" t="s">
        <v>92</v>
      </c>
      <c r="H62" s="53">
        <f>J10</f>
        <v>13.40436</v>
      </c>
      <c r="I62" s="53" t="s">
        <v>57</v>
      </c>
    </row>
    <row r="63" spans="1:15" ht="21" x14ac:dyDescent="0.2">
      <c r="C63" s="46" t="s">
        <v>93</v>
      </c>
      <c r="D63" s="53">
        <f>(0.5*B15)/(0.1*B20)</f>
        <v>0.3</v>
      </c>
      <c r="E63" s="46" t="s">
        <v>70</v>
      </c>
      <c r="F63" s="53">
        <f>IF(D63&lt;=0.2,0.7*(0.1813*(0.1*B22)^2*(1+3*D63)*(B22/B24)^1.5)*SQRT(2100*B6*(B24/B22)),0.7*(0.1813*(0.1*B22)^2*(1+((4*0.5*B15)/(0.1*B20-0.2))*(B22/B24)^1.5)*SQRT(2100*B6*(B24/B22))))</f>
        <v>18.939774188690325</v>
      </c>
      <c r="G63" s="53" t="s">
        <v>57</v>
      </c>
      <c r="H63" s="42" t="str">
        <f>IF(F63&gt;=H62,"Safe","Unsafe")</f>
        <v>Safe</v>
      </c>
      <c r="I63" s="53"/>
    </row>
    <row r="64" spans="1:15" x14ac:dyDescent="0.2">
      <c r="C64" s="53"/>
      <c r="D64" s="53"/>
      <c r="E64" s="84" t="str">
        <f>IF(H63=F2,"Use Doubler Plate","")</f>
        <v/>
      </c>
      <c r="F64" s="84"/>
      <c r="G64" s="84"/>
      <c r="H64" s="84"/>
      <c r="I64" s="53"/>
    </row>
    <row r="65" spans="3:9" ht="21" x14ac:dyDescent="0.2">
      <c r="C65" s="53"/>
      <c r="D65" s="53"/>
      <c r="E65" s="46" t="s">
        <v>145</v>
      </c>
      <c r="F65" s="41">
        <v>1</v>
      </c>
      <c r="G65" s="53" t="s">
        <v>31</v>
      </c>
      <c r="H65" s="53"/>
      <c r="I65" s="53"/>
    </row>
    <row r="66" spans="3:9" ht="21" x14ac:dyDescent="0.2">
      <c r="C66" s="53"/>
      <c r="D66" s="53"/>
      <c r="E66" s="46" t="s">
        <v>144</v>
      </c>
      <c r="F66" s="53" t="str">
        <f>IF(H63=F2,IF(D63&lt;=0.2,0.7*(0.1813*(F65+0.1*B22)^2*(1+3*D63)*((10*F65+B22)/B24)^1.5)*SQRT(2100*B6*(B24/(10*F65+B22))),0.7*(0.1813*(F65+0.1*B22)^2*(1+((4*0.5*B15)/(0.1*B20-0.2))*((10*F65+B22)/B24)^1.5)*SQRT(2100*B6*(B24/(10*F65+B22))))),"")</f>
        <v/>
      </c>
      <c r="G66" s="53" t="s">
        <v>57</v>
      </c>
      <c r="H66" s="42" t="str">
        <f>IF(F66&gt;=H62,"Safe","Unsafe")</f>
        <v>Safe</v>
      </c>
      <c r="I66" s="53"/>
    </row>
    <row r="67" spans="3:9" x14ac:dyDescent="0.2">
      <c r="C67" s="53"/>
    </row>
  </sheetData>
  <mergeCells count="35">
    <mergeCell ref="U1:V1"/>
    <mergeCell ref="E4:K4"/>
    <mergeCell ref="B5:C5"/>
    <mergeCell ref="E5:F5"/>
    <mergeCell ref="AD2:AF2"/>
    <mergeCell ref="T2:Z2"/>
    <mergeCell ref="AA2:AC2"/>
    <mergeCell ref="E3:K3"/>
    <mergeCell ref="A29:C29"/>
    <mergeCell ref="I8:K8"/>
    <mergeCell ref="A9:C9"/>
    <mergeCell ref="E10:F10"/>
    <mergeCell ref="A17:C17"/>
    <mergeCell ref="E17:F17"/>
    <mergeCell ref="B18:C18"/>
    <mergeCell ref="E18:F18"/>
    <mergeCell ref="J19:J20"/>
    <mergeCell ref="E32:F32"/>
    <mergeCell ref="E33:F33"/>
    <mergeCell ref="E28:F28"/>
    <mergeCell ref="H19:H20"/>
    <mergeCell ref="I19:I20"/>
    <mergeCell ref="E23:F23"/>
    <mergeCell ref="I24:I26"/>
    <mergeCell ref="E35:H35"/>
    <mergeCell ref="E62:F62"/>
    <mergeCell ref="E64:H64"/>
    <mergeCell ref="E51:F51"/>
    <mergeCell ref="E52:F52"/>
    <mergeCell ref="E39:F39"/>
    <mergeCell ref="E41:H41"/>
    <mergeCell ref="E46:F46"/>
    <mergeCell ref="E55:F55"/>
    <mergeCell ref="E56:F56"/>
    <mergeCell ref="E58:H58"/>
  </mergeCells>
  <conditionalFormatting sqref="G25 H34 H40 H57 H63 I52 H48 G29">
    <cfRule type="cellIs" dxfId="11" priority="13" operator="equal">
      <formula>"Safe"</formula>
    </cfRule>
  </conditionalFormatting>
  <conditionalFormatting sqref="G25 H34 H40 H57 H63 I52 H48 G29">
    <cfRule type="cellIs" dxfId="10" priority="12" operator="equal">
      <formula>"Unsafe"</formula>
    </cfRule>
  </conditionalFormatting>
  <conditionalFormatting sqref="H37 H43">
    <cfRule type="cellIs" dxfId="9" priority="10" operator="equal">
      <formula>"Unsafe"</formula>
    </cfRule>
    <cfRule type="cellIs" dxfId="8" priority="11" operator="equal">
      <formula>"Safe"</formula>
    </cfRule>
  </conditionalFormatting>
  <conditionalFormatting sqref="E41:H41">
    <cfRule type="cellIs" dxfId="7" priority="7" operator="equal">
      <formula>"Use Doubler Plate"</formula>
    </cfRule>
  </conditionalFormatting>
  <conditionalFormatting sqref="H60 H66">
    <cfRule type="cellIs" dxfId="6" priority="5" operator="equal">
      <formula>"Unsafe"</formula>
    </cfRule>
    <cfRule type="cellIs" dxfId="5" priority="6" operator="equal">
      <formula>"Safe"</formula>
    </cfRule>
  </conditionalFormatting>
  <conditionalFormatting sqref="E58:H58">
    <cfRule type="cellIs" dxfId="4" priority="4" operator="equal">
      <formula>"Increase web thickness"</formula>
    </cfRule>
  </conditionalFormatting>
  <conditionalFormatting sqref="E64:H64">
    <cfRule type="cellIs" dxfId="3" priority="3" operator="equal">
      <formula>"Use Doubler Plate"</formula>
    </cfRule>
  </conditionalFormatting>
  <conditionalFormatting sqref="E35:H35">
    <cfRule type="cellIs" dxfId="2" priority="1" operator="equal">
      <formula>"Increase web thickness"</formula>
    </cfRule>
  </conditionalFormatting>
  <dataValidations count="3">
    <dataValidation type="list" allowBlank="1" showInputMessage="1" showErrorMessage="1" sqref="B5:C5" xr:uid="{E6CDF6F3-643A-412D-BFFF-0C48EF9D047C}">
      <formula1>$A$1:$A$3</formula1>
    </dataValidation>
    <dataValidation type="list" allowBlank="1" showInputMessage="1" showErrorMessage="1" sqref="B11" xr:uid="{7EC4B772-54F9-4B25-A5F7-93B094087E58}">
      <formula1>$E$1:$E$2</formula1>
    </dataValidation>
    <dataValidation type="list" allowBlank="1" showInputMessage="1" showErrorMessage="1" sqref="B18:C18" xr:uid="{92C850FE-DBAA-4EBE-9D37-2F0CC0E073BC}">
      <formula1>$Q$4:$Q$21</formula1>
    </dataValidation>
  </dataValidations>
  <pageMargins left="0.7" right="0.7" top="0.75" bottom="0.75" header="0.3" footer="0.3"/>
  <pageSetup paperSize="8" scale="8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9944A-3F1B-4038-BDEB-D5A56ACB1DB7}">
  <sheetPr>
    <pageSetUpPr fitToPage="1"/>
  </sheetPr>
  <dimension ref="A1:N58"/>
  <sheetViews>
    <sheetView showGridLines="0" zoomScaleNormal="100" zoomScaleSheetLayoutView="55" workbookViewId="0">
      <selection activeCell="G13" sqref="G13"/>
    </sheetView>
  </sheetViews>
  <sheetFormatPr defaultRowHeight="18" x14ac:dyDescent="0.2"/>
  <cols>
    <col min="1" max="1" width="9" style="1"/>
    <col min="2" max="2" width="9.375" style="1" customWidth="1"/>
    <col min="3" max="3" width="12.75" style="1" customWidth="1"/>
    <col min="4" max="5" width="9.625" style="1" customWidth="1"/>
    <col min="6" max="6" width="14.25" style="1" bestFit="1" customWidth="1"/>
    <col min="7" max="7" width="9" style="1"/>
    <col min="8" max="8" width="16.625" style="1" customWidth="1"/>
    <col min="9" max="9" width="9.375" style="1" bestFit="1" customWidth="1"/>
    <col min="10" max="10" width="15.875" style="1" bestFit="1" customWidth="1"/>
    <col min="11" max="11" width="12" style="1" customWidth="1"/>
    <col min="12" max="12" width="10.75" style="1" bestFit="1" customWidth="1"/>
    <col min="13" max="13" width="12.625" style="1" customWidth="1"/>
    <col min="14" max="14" width="9.125" style="1" customWidth="1"/>
    <col min="15" max="15" width="9.25" style="1" customWidth="1"/>
    <col min="16" max="16384" width="9" style="1"/>
  </cols>
  <sheetData>
    <row r="1" spans="1:12" x14ac:dyDescent="0.2">
      <c r="B1" s="2">
        <v>37</v>
      </c>
      <c r="C1" s="2"/>
      <c r="D1" s="2" t="s">
        <v>44</v>
      </c>
      <c r="E1" s="2"/>
      <c r="F1" s="2">
        <v>0.1</v>
      </c>
    </row>
    <row r="2" spans="1:12" x14ac:dyDescent="0.2">
      <c r="B2" s="2">
        <v>44</v>
      </c>
      <c r="C2" s="2"/>
      <c r="D2" s="2" t="s">
        <v>45</v>
      </c>
      <c r="E2" s="2"/>
      <c r="F2" s="2">
        <v>0.25</v>
      </c>
    </row>
    <row r="3" spans="1:12" x14ac:dyDescent="0.2">
      <c r="B3" s="2">
        <v>52</v>
      </c>
      <c r="C3" s="2"/>
      <c r="D3" s="2" t="s">
        <v>46</v>
      </c>
      <c r="E3" s="8"/>
      <c r="F3" s="2"/>
    </row>
    <row r="4" spans="1:12" ht="18.75" thickBot="1" x14ac:dyDescent="0.25">
      <c r="F4" s="129" t="s">
        <v>120</v>
      </c>
      <c r="G4" s="129"/>
      <c r="H4" s="129"/>
      <c r="I4" s="129"/>
      <c r="J4" s="129"/>
      <c r="K4" s="129"/>
      <c r="L4" s="129"/>
    </row>
    <row r="5" spans="1:12" x14ac:dyDescent="0.2">
      <c r="A5" s="130" t="s">
        <v>0</v>
      </c>
      <c r="B5" s="131"/>
      <c r="C5" s="132">
        <v>37</v>
      </c>
      <c r="D5" s="133"/>
      <c r="F5" s="125" t="s">
        <v>54</v>
      </c>
      <c r="G5" s="120"/>
      <c r="H5" s="9"/>
      <c r="I5" s="9"/>
      <c r="J5" s="9"/>
      <c r="K5" s="9"/>
      <c r="L5" s="9"/>
    </row>
    <row r="6" spans="1:12" ht="21" x14ac:dyDescent="0.2">
      <c r="A6" s="117" t="s">
        <v>1</v>
      </c>
      <c r="B6" s="113"/>
      <c r="C6" s="4">
        <f>IF(C5=B1,2.4,IF(C5=B2,2.8,3.6))</f>
        <v>2.4</v>
      </c>
      <c r="D6" s="5" t="s">
        <v>3</v>
      </c>
      <c r="F6" s="27" t="s">
        <v>108</v>
      </c>
      <c r="G6" s="9">
        <f>0.01*C25</f>
        <v>9.7810999999999992E-4</v>
      </c>
      <c r="H6" s="9" t="s">
        <v>55</v>
      </c>
      <c r="I6" s="9"/>
      <c r="J6" s="9"/>
      <c r="K6" s="9"/>
      <c r="L6" s="9"/>
    </row>
    <row r="7" spans="1:12" ht="21.75" thickBot="1" x14ac:dyDescent="0.25">
      <c r="A7" s="118" t="s">
        <v>2</v>
      </c>
      <c r="B7" s="119"/>
      <c r="C7" s="6">
        <f>IF(C5=B1,3.7,IF(C5=B2,4.4,5.2))</f>
        <v>3.7</v>
      </c>
      <c r="D7" s="7" t="s">
        <v>3</v>
      </c>
      <c r="F7" s="27" t="s">
        <v>109</v>
      </c>
      <c r="G7" s="9">
        <f>G6*((C10^2)/8)</f>
        <v>78.248799999999989</v>
      </c>
      <c r="H7" s="9" t="s">
        <v>56</v>
      </c>
      <c r="I7" s="9"/>
      <c r="J7" s="9"/>
      <c r="K7" s="9"/>
      <c r="L7" s="9"/>
    </row>
    <row r="8" spans="1:12" ht="21" x14ac:dyDescent="0.2">
      <c r="A8" s="9"/>
      <c r="B8" s="9"/>
      <c r="C8" s="9"/>
      <c r="D8" s="9"/>
      <c r="F8" s="27" t="s">
        <v>110</v>
      </c>
      <c r="G8" s="9">
        <f>G6*0.5*C10</f>
        <v>0.39124399999999998</v>
      </c>
      <c r="H8" s="9" t="s">
        <v>57</v>
      </c>
      <c r="I8" s="9"/>
      <c r="J8" s="120" t="s">
        <v>105</v>
      </c>
      <c r="K8" s="120"/>
      <c r="L8" s="9"/>
    </row>
    <row r="9" spans="1:12" ht="21.75" thickBot="1" x14ac:dyDescent="0.25">
      <c r="A9" s="127" t="s">
        <v>119</v>
      </c>
      <c r="B9" s="127"/>
      <c r="C9" s="127"/>
      <c r="D9" s="127"/>
      <c r="F9" s="27"/>
      <c r="G9" s="9"/>
      <c r="H9" s="9"/>
      <c r="I9" s="9"/>
      <c r="J9" s="9" t="s">
        <v>114</v>
      </c>
      <c r="K9" s="9">
        <f>1.2*G7+1.6*G12*(1+C11)</f>
        <v>2217.5723100000005</v>
      </c>
      <c r="L9" s="9" t="s">
        <v>56</v>
      </c>
    </row>
    <row r="10" spans="1:12" ht="21" x14ac:dyDescent="0.2">
      <c r="A10" s="130" t="s">
        <v>30</v>
      </c>
      <c r="B10" s="131"/>
      <c r="C10" s="52">
        <v>800</v>
      </c>
      <c r="D10" s="3" t="s">
        <v>31</v>
      </c>
      <c r="F10" s="125" t="s">
        <v>58</v>
      </c>
      <c r="G10" s="120"/>
      <c r="H10" s="9"/>
      <c r="I10" s="9"/>
      <c r="J10" s="9" t="s">
        <v>115</v>
      </c>
      <c r="K10" s="9">
        <f>1.6*0.1*G12</f>
        <v>169.89390000000006</v>
      </c>
      <c r="L10" s="9" t="s">
        <v>56</v>
      </c>
    </row>
    <row r="11" spans="1:12" ht="21" x14ac:dyDescent="0.2">
      <c r="A11" s="117" t="s">
        <v>59</v>
      </c>
      <c r="B11" s="113"/>
      <c r="C11" s="41">
        <v>0.25</v>
      </c>
      <c r="D11" s="5" t="s">
        <v>43</v>
      </c>
      <c r="F11" s="27" t="s">
        <v>111</v>
      </c>
      <c r="G11" s="9">
        <f>(C12*(0.5*C10+0.25*C13)+C12*(0.5*C10-0.75*C13))/C10</f>
        <v>3.2422500000000003</v>
      </c>
      <c r="H11" s="9" t="s">
        <v>57</v>
      </c>
      <c r="I11" s="9"/>
      <c r="J11" s="9" t="s">
        <v>116</v>
      </c>
      <c r="K11" s="9">
        <f>1.2*G8+1.6*G13*(1+C11)</f>
        <v>13.438492800000001</v>
      </c>
      <c r="L11" s="9" t="s">
        <v>57</v>
      </c>
    </row>
    <row r="12" spans="1:12" ht="34.5" customHeight="1" x14ac:dyDescent="0.2">
      <c r="A12" s="117" t="s">
        <v>89</v>
      </c>
      <c r="B12" s="113"/>
      <c r="C12" s="41">
        <v>3.96</v>
      </c>
      <c r="D12" s="5" t="s">
        <v>57</v>
      </c>
      <c r="F12" s="27" t="s">
        <v>112</v>
      </c>
      <c r="G12" s="9">
        <f>MAX(G11*(0.5*C10-0.25*C13),C12*0.25*C10)</f>
        <v>1061.8368750000002</v>
      </c>
      <c r="H12" s="9" t="s">
        <v>56</v>
      </c>
      <c r="I12" s="9"/>
      <c r="J12" s="9"/>
      <c r="K12" s="9"/>
      <c r="L12" s="9"/>
    </row>
    <row r="13" spans="1:12" ht="29.25" customHeight="1" thickBot="1" x14ac:dyDescent="0.25">
      <c r="A13" s="114" t="s">
        <v>106</v>
      </c>
      <c r="B13" s="115"/>
      <c r="C13" s="41">
        <v>290</v>
      </c>
      <c r="D13" s="5" t="s">
        <v>31</v>
      </c>
      <c r="F13" s="28" t="s">
        <v>113</v>
      </c>
      <c r="G13" s="24">
        <f>(C12*C10+C12*(C10-C13))/C10</f>
        <v>6.4845000000000006</v>
      </c>
      <c r="H13" s="24" t="s">
        <v>57</v>
      </c>
      <c r="I13" s="24"/>
      <c r="J13" s="24"/>
      <c r="K13" s="24"/>
      <c r="L13" s="24"/>
    </row>
    <row r="14" spans="1:12" ht="21" x14ac:dyDescent="0.2">
      <c r="A14" s="117" t="s">
        <v>90</v>
      </c>
      <c r="B14" s="113"/>
      <c r="C14" s="41">
        <v>5</v>
      </c>
      <c r="D14" s="5" t="s">
        <v>31</v>
      </c>
    </row>
    <row r="15" spans="1:12" ht="21.75" thickBot="1" x14ac:dyDescent="0.25">
      <c r="A15" s="118" t="s">
        <v>91</v>
      </c>
      <c r="B15" s="119"/>
      <c r="C15" s="44">
        <v>30</v>
      </c>
      <c r="D15" s="7" t="s">
        <v>31</v>
      </c>
      <c r="G15" s="26"/>
    </row>
    <row r="16" spans="1:12" x14ac:dyDescent="0.2">
      <c r="A16" s="9"/>
      <c r="B16" s="9"/>
      <c r="C16" s="10"/>
      <c r="D16" s="9"/>
      <c r="F16" s="26"/>
      <c r="G16" s="26"/>
    </row>
    <row r="17" spans="1:14" ht="18.75" thickBot="1" x14ac:dyDescent="0.25">
      <c r="A17" s="127" t="s">
        <v>117</v>
      </c>
      <c r="B17" s="127"/>
      <c r="C17" s="127"/>
      <c r="D17" s="127"/>
      <c r="F17" s="124" t="s">
        <v>47</v>
      </c>
      <c r="G17" s="124"/>
    </row>
    <row r="18" spans="1:14" ht="21" x14ac:dyDescent="0.2">
      <c r="A18" s="130" t="s">
        <v>94</v>
      </c>
      <c r="B18" s="131"/>
      <c r="C18" s="16">
        <v>70</v>
      </c>
      <c r="D18" s="3" t="s">
        <v>31</v>
      </c>
      <c r="F18" s="116" t="s">
        <v>48</v>
      </c>
      <c r="G18" s="116"/>
    </row>
    <row r="19" spans="1:14" ht="21" x14ac:dyDescent="0.2">
      <c r="A19" s="117" t="s">
        <v>77</v>
      </c>
      <c r="B19" s="113"/>
      <c r="C19" s="10">
        <v>26</v>
      </c>
      <c r="D19" s="5" t="s">
        <v>31</v>
      </c>
      <c r="F19" s="4" t="s">
        <v>49</v>
      </c>
      <c r="G19" s="4">
        <f>C18/C21</f>
        <v>70</v>
      </c>
      <c r="H19" s="4" t="str">
        <f>IF(G19&lt;127/SQRT(C6),D1,D2)</f>
        <v>Compact</v>
      </c>
      <c r="I19" s="113" t="s">
        <v>51</v>
      </c>
      <c r="J19" s="113" t="str">
        <f>IF(AND(H19=D1,H20=D1),D1,D2)</f>
        <v>Compact</v>
      </c>
      <c r="K19" s="113" t="s">
        <v>4</v>
      </c>
      <c r="L19" s="20"/>
      <c r="N19" s="20"/>
    </row>
    <row r="20" spans="1:14" ht="21" x14ac:dyDescent="0.2">
      <c r="A20" s="117" t="s">
        <v>76</v>
      </c>
      <c r="B20" s="113"/>
      <c r="C20" s="10">
        <v>13</v>
      </c>
      <c r="D20" s="5" t="s">
        <v>31</v>
      </c>
      <c r="F20" s="4" t="s">
        <v>50</v>
      </c>
      <c r="G20" s="4">
        <f>(C19-C21)/(2*C22)</f>
        <v>8.9285714285714288</v>
      </c>
      <c r="H20" s="4" t="str">
        <f>IF(G20&lt;=15.3/SQRT(C6),D1,D2)</f>
        <v>Compact</v>
      </c>
      <c r="I20" s="113"/>
      <c r="J20" s="113"/>
      <c r="K20" s="113"/>
      <c r="L20" s="20"/>
      <c r="M20" s="20"/>
      <c r="N20" s="20"/>
    </row>
    <row r="21" spans="1:14" ht="21" x14ac:dyDescent="0.2">
      <c r="A21" s="117" t="s">
        <v>78</v>
      </c>
      <c r="B21" s="113"/>
      <c r="C21" s="10">
        <v>1</v>
      </c>
      <c r="D21" s="5" t="s">
        <v>31</v>
      </c>
      <c r="F21" s="9"/>
      <c r="G21" s="9"/>
      <c r="H21" s="9"/>
      <c r="I21" s="9"/>
      <c r="J21" s="9"/>
      <c r="K21" s="9"/>
      <c r="L21" s="20"/>
      <c r="M21" s="20"/>
    </row>
    <row r="22" spans="1:14" ht="21.75" thickBot="1" x14ac:dyDescent="0.25">
      <c r="A22" s="118" t="s">
        <v>79</v>
      </c>
      <c r="B22" s="119"/>
      <c r="C22" s="17">
        <v>1.4</v>
      </c>
      <c r="D22" s="7" t="s">
        <v>31</v>
      </c>
      <c r="F22" s="40"/>
      <c r="G22" s="40"/>
      <c r="H22" s="40"/>
      <c r="I22" s="40"/>
      <c r="J22" s="40"/>
      <c r="K22" s="40"/>
      <c r="L22" s="40"/>
    </row>
    <row r="23" spans="1:14" ht="18.75" thickBot="1" x14ac:dyDescent="0.25">
      <c r="A23" s="9"/>
      <c r="B23" s="9"/>
      <c r="C23" s="10"/>
      <c r="D23" s="9"/>
      <c r="F23" s="120" t="s">
        <v>53</v>
      </c>
      <c r="G23" s="120"/>
      <c r="H23" s="4"/>
      <c r="I23" s="4"/>
      <c r="J23" s="4"/>
      <c r="K23" s="4"/>
      <c r="L23" s="4"/>
      <c r="M23" s="4"/>
    </row>
    <row r="24" spans="1:14" ht="21.75" thickBot="1" x14ac:dyDescent="0.25">
      <c r="A24" s="128" t="s">
        <v>118</v>
      </c>
      <c r="B24" s="128"/>
      <c r="C24" s="128"/>
      <c r="D24" s="128"/>
      <c r="F24" s="4" t="s">
        <v>60</v>
      </c>
      <c r="G24" s="4" t="s">
        <v>63</v>
      </c>
      <c r="H24" s="4">
        <f>ROUND(L24,0)</f>
        <v>7419</v>
      </c>
      <c r="I24" s="4" t="s">
        <v>56</v>
      </c>
      <c r="J24" s="113" t="s">
        <v>51</v>
      </c>
      <c r="K24" s="11" t="s">
        <v>66</v>
      </c>
      <c r="L24" s="12">
        <f>C32*C6</f>
        <v>7419.384</v>
      </c>
      <c r="M24" s="3" t="s">
        <v>56</v>
      </c>
    </row>
    <row r="25" spans="1:14" ht="21" x14ac:dyDescent="0.2">
      <c r="A25" s="134" t="s">
        <v>8</v>
      </c>
      <c r="B25" s="135"/>
      <c r="C25" s="30">
        <f>C26*10^-4*7.85</f>
        <v>9.7810999999999995E-2</v>
      </c>
      <c r="D25" s="22" t="s">
        <v>88</v>
      </c>
      <c r="F25" s="4" t="s">
        <v>61</v>
      </c>
      <c r="G25" s="4" t="s">
        <v>63</v>
      </c>
      <c r="H25" s="4">
        <f>ROUND(L24-(L24-0.6*C6*C29)*((C10-C37)/(C40-C37)),0)</f>
        <v>4648</v>
      </c>
      <c r="I25" s="4" t="s">
        <v>56</v>
      </c>
      <c r="J25" s="113"/>
      <c r="K25" s="13" t="s">
        <v>64</v>
      </c>
      <c r="L25" s="9">
        <f>IF(C10&lt;=C37,H24,IF(AND(C10&gt;C37,C10&lt;=C40),H25,H26))</f>
        <v>4648</v>
      </c>
      <c r="M25" s="5" t="s">
        <v>56</v>
      </c>
    </row>
    <row r="26" spans="1:14" ht="21.75" thickBot="1" x14ac:dyDescent="0.25">
      <c r="A26" s="121" t="s">
        <v>7</v>
      </c>
      <c r="B26" s="113"/>
      <c r="C26" s="4">
        <f>C18*C21+C19*C22+C20*C22</f>
        <v>124.60000000000001</v>
      </c>
      <c r="D26" s="23" t="s">
        <v>81</v>
      </c>
      <c r="F26" s="4" t="s">
        <v>62</v>
      </c>
      <c r="G26" s="4" t="s">
        <v>63</v>
      </c>
      <c r="H26" s="4">
        <f>ROUND(C29*SQRT(((1380*C19*C22)/((C18+2*C22)*C10))^2+(20700/(C10/C38)^2)^2),0)</f>
        <v>4943</v>
      </c>
      <c r="I26" s="4" t="s">
        <v>56</v>
      </c>
      <c r="J26" s="113"/>
      <c r="K26" s="14" t="s">
        <v>65</v>
      </c>
      <c r="L26" s="15">
        <f>IF(H20=D1,C6*C34,C33*C6)</f>
        <v>567.83999999999992</v>
      </c>
      <c r="M26" s="7" t="s">
        <v>56</v>
      </c>
    </row>
    <row r="27" spans="1:14" ht="18.75" x14ac:dyDescent="0.2">
      <c r="A27" s="126" t="s">
        <v>80</v>
      </c>
      <c r="B27" s="113"/>
      <c r="C27" s="4">
        <f>ROUND(( C19*C22*(C18+1.5*C22) + C20*C22*0.5*C22 + C18*C21* ( 0.5*C18+C22 ))/C26,2)</f>
        <v>41.61</v>
      </c>
      <c r="D27" s="23" t="s">
        <v>31</v>
      </c>
      <c r="F27" s="4"/>
      <c r="G27" s="4"/>
      <c r="H27" s="4"/>
      <c r="I27" s="4"/>
      <c r="J27" s="4"/>
      <c r="K27" s="4"/>
      <c r="L27" s="4"/>
      <c r="M27" s="4"/>
    </row>
    <row r="28" spans="1:14" ht="21" x14ac:dyDescent="0.2">
      <c r="A28" s="121" t="s">
        <v>32</v>
      </c>
      <c r="B28" s="113"/>
      <c r="C28" s="4">
        <f>C20*C22*(C27-0.5*C22)^2 + C19*C22*( C18+1.5*C22-C27)^2 + (C21*(C18)^3)/12 + C21*C18* (0.5*C18+C22-C27)^2</f>
        <v>94782.351393333316</v>
      </c>
      <c r="D28" s="23" t="s">
        <v>37</v>
      </c>
      <c r="F28" s="113" t="s">
        <v>72</v>
      </c>
      <c r="G28" s="113"/>
      <c r="H28" s="4">
        <f>(K9/(0.85*L25))+(K10/(0.85*L26))</f>
        <v>0.91328909999802343</v>
      </c>
      <c r="I28" s="19" t="str">
        <f>IF(H28&lt;=1,"Safe","Unsafe")</f>
        <v>Safe</v>
      </c>
      <c r="J28" s="4"/>
      <c r="K28" s="4"/>
      <c r="L28" s="4"/>
      <c r="M28" s="4"/>
    </row>
    <row r="29" spans="1:14" ht="21" x14ac:dyDescent="0.2">
      <c r="A29" s="121" t="s">
        <v>82</v>
      </c>
      <c r="B29" s="113"/>
      <c r="C29" s="4">
        <f>C28/(C18+2*C22-C27)</f>
        <v>3038.869874746179</v>
      </c>
      <c r="D29" s="23" t="s">
        <v>38</v>
      </c>
      <c r="F29" s="113" t="s">
        <v>73</v>
      </c>
      <c r="G29" s="113"/>
      <c r="H29" s="4">
        <f>K9/(0.85*L24)</f>
        <v>0.35163412488152668</v>
      </c>
      <c r="I29" s="21" t="str">
        <f>IF(H29&lt;=1,"Safe","Unsafe")</f>
        <v>Safe</v>
      </c>
      <c r="J29" s="4"/>
      <c r="K29" s="4"/>
      <c r="L29" s="4"/>
      <c r="M29" s="4"/>
    </row>
    <row r="30" spans="1:14" ht="21" x14ac:dyDescent="0.2">
      <c r="A30" s="121" t="s">
        <v>83</v>
      </c>
      <c r="B30" s="113"/>
      <c r="C30" s="4">
        <f>C28/C27</f>
        <v>2277.874342545862</v>
      </c>
      <c r="D30" s="23" t="s">
        <v>38</v>
      </c>
      <c r="F30" s="9"/>
      <c r="G30" s="9"/>
      <c r="H30" s="9"/>
      <c r="I30" s="19"/>
      <c r="J30" s="9"/>
      <c r="K30" s="9"/>
      <c r="L30" s="9"/>
      <c r="M30" s="9"/>
    </row>
    <row r="31" spans="1:14" ht="21.75" thickBot="1" x14ac:dyDescent="0.25">
      <c r="A31" s="121" t="s">
        <v>84</v>
      </c>
      <c r="B31" s="113"/>
      <c r="C31" s="4">
        <f>((C19-C20)*C22+C18*C21)/(2*C21)</f>
        <v>44.1</v>
      </c>
      <c r="D31" s="23" t="s">
        <v>31</v>
      </c>
      <c r="F31" s="40"/>
      <c r="G31" s="40"/>
      <c r="H31" s="40"/>
      <c r="I31" s="40"/>
      <c r="J31" s="40"/>
      <c r="K31" s="40"/>
      <c r="L31" s="40"/>
    </row>
    <row r="32" spans="1:14" ht="21" x14ac:dyDescent="0.2">
      <c r="A32" s="121" t="s">
        <v>34</v>
      </c>
      <c r="B32" s="113"/>
      <c r="C32" s="4">
        <f>C19*C22*(C18+0.5*C22-C31)+(C18-C31)*C21*0.5*(C18-C31)+C31*C21*0.5*C31+C20*C22*(C31+0.5*C22)</f>
        <v>3091.4100000000003</v>
      </c>
      <c r="D32" s="23" t="s">
        <v>38</v>
      </c>
      <c r="F32" s="116" t="s">
        <v>67</v>
      </c>
      <c r="G32" s="116"/>
    </row>
    <row r="33" spans="1:12" ht="21" x14ac:dyDescent="0.2">
      <c r="A33" s="121" t="s">
        <v>85</v>
      </c>
      <c r="B33" s="113"/>
      <c r="C33" s="4">
        <f>(C22*(C19)^3/12)/(0.5*C19)</f>
        <v>157.73333333333332</v>
      </c>
      <c r="D33" s="23" t="s">
        <v>38</v>
      </c>
      <c r="E33" s="4"/>
      <c r="F33" s="4" t="s">
        <v>107</v>
      </c>
      <c r="G33" s="4">
        <f>K11/(0.85*0.6*C6*C18*C21)</f>
        <v>0.15684515406162466</v>
      </c>
      <c r="H33" s="19" t="str">
        <f>IF(G33&lt;=1,"Safe","Unsafe")</f>
        <v>Safe</v>
      </c>
      <c r="I33" s="4"/>
    </row>
    <row r="34" spans="1:12" ht="21" x14ac:dyDescent="0.2">
      <c r="A34" s="121" t="s">
        <v>86</v>
      </c>
      <c r="B34" s="113"/>
      <c r="C34" s="4">
        <f>1.5*C33</f>
        <v>236.59999999999997</v>
      </c>
      <c r="D34" s="23" t="s">
        <v>38</v>
      </c>
      <c r="E34" s="9"/>
      <c r="F34" s="9"/>
      <c r="G34" s="9"/>
      <c r="H34" s="19"/>
      <c r="I34" s="9"/>
    </row>
    <row r="35" spans="1:12" ht="21.75" thickBot="1" x14ac:dyDescent="0.25">
      <c r="A35" s="121" t="s">
        <v>87</v>
      </c>
      <c r="B35" s="113"/>
      <c r="C35" s="4">
        <f>((C22*(C19)^3)/12)+((C22*(C20)^3)/12)</f>
        <v>2306.85</v>
      </c>
      <c r="D35" s="23" t="s">
        <v>37</v>
      </c>
      <c r="E35" s="4"/>
      <c r="F35" s="40"/>
      <c r="G35" s="40"/>
      <c r="H35" s="40"/>
      <c r="I35" s="40"/>
      <c r="J35" s="40"/>
      <c r="K35" s="40"/>
      <c r="L35" s="40"/>
    </row>
    <row r="36" spans="1:12" ht="21" x14ac:dyDescent="0.2">
      <c r="A36" s="121" t="s">
        <v>35</v>
      </c>
      <c r="B36" s="113"/>
      <c r="C36" s="4">
        <f>ROUND(SQRT(C35/C26),2)</f>
        <v>4.3</v>
      </c>
      <c r="D36" s="23" t="s">
        <v>31</v>
      </c>
      <c r="E36" s="4"/>
      <c r="F36" s="120" t="s">
        <v>68</v>
      </c>
      <c r="G36" s="120"/>
      <c r="H36" s="4"/>
      <c r="I36" s="4"/>
      <c r="J36" s="4"/>
    </row>
    <row r="37" spans="1:12" ht="21" x14ac:dyDescent="0.2">
      <c r="A37" s="121" t="s">
        <v>39</v>
      </c>
      <c r="B37" s="113"/>
      <c r="C37" s="4">
        <f>ROUND((80*C36)/SQRT(C6),2)</f>
        <v>222.05</v>
      </c>
      <c r="D37" s="23" t="s">
        <v>31</v>
      </c>
      <c r="E37" s="4"/>
      <c r="F37" s="113" t="s">
        <v>69</v>
      </c>
      <c r="G37" s="113"/>
      <c r="H37" s="4" t="s">
        <v>92</v>
      </c>
      <c r="I37" s="4">
        <f>1.6*C12*(1+C11)</f>
        <v>7.92</v>
      </c>
      <c r="J37" s="4" t="s">
        <v>57</v>
      </c>
    </row>
    <row r="38" spans="1:12" ht="21" x14ac:dyDescent="0.2">
      <c r="A38" s="121" t="s">
        <v>40</v>
      </c>
      <c r="B38" s="113"/>
      <c r="C38" s="4">
        <f>ROUND(SQRT(((C22*(C19)^3)/12)/(C19*C22+(1/6)*(C18)*C21)),2)</f>
        <v>6.53</v>
      </c>
      <c r="D38" s="23" t="s">
        <v>31</v>
      </c>
      <c r="E38" s="4"/>
      <c r="F38" s="4" t="s">
        <v>70</v>
      </c>
      <c r="G38" s="4">
        <f>0.95*(2*C14+2.5*1.25*C22)*C21*C6</f>
        <v>32.774999999999999</v>
      </c>
      <c r="H38" s="4" t="s">
        <v>57</v>
      </c>
      <c r="I38" s="19" t="str">
        <f>IF(G38&gt;=I37,"Safe","Unsafe")</f>
        <v>Safe</v>
      </c>
      <c r="J38" s="4"/>
    </row>
    <row r="39" spans="1:12" x14ac:dyDescent="0.2">
      <c r="A39" s="121" t="s">
        <v>41</v>
      </c>
      <c r="B39" s="113"/>
      <c r="C39" s="4">
        <f>ROUND(((0.104*C38*(C18+2*C22))/(C19*C22))^2,2)</f>
        <v>1.84</v>
      </c>
      <c r="D39" s="23" t="s">
        <v>43</v>
      </c>
      <c r="E39" s="4"/>
      <c r="F39" s="4"/>
      <c r="G39" s="4"/>
      <c r="H39" s="4"/>
      <c r="I39" s="4"/>
      <c r="J39" s="4"/>
    </row>
    <row r="40" spans="1:12" ht="21.75" thickBot="1" x14ac:dyDescent="0.25">
      <c r="A40" s="122" t="s">
        <v>42</v>
      </c>
      <c r="B40" s="123"/>
      <c r="C40" s="24">
        <f>((1380*C19*C22)/((C18+2*C22)*0.6*C6))*SQRT(0.5*(1+SQRT(1+(2*C39*0.6*C6)^2)))</f>
        <v>856.67231257226877</v>
      </c>
      <c r="D40" s="25" t="s">
        <v>31</v>
      </c>
      <c r="F40" s="113" t="s">
        <v>71</v>
      </c>
      <c r="G40" s="113"/>
      <c r="H40" s="4" t="s">
        <v>92</v>
      </c>
      <c r="I40" s="4">
        <f>K11</f>
        <v>13.438492800000001</v>
      </c>
      <c r="J40" s="4" t="s">
        <v>57</v>
      </c>
    </row>
    <row r="41" spans="1:12" ht="21" x14ac:dyDescent="0.2">
      <c r="F41" s="4" t="s">
        <v>70</v>
      </c>
      <c r="G41" s="4">
        <f>0.95*(0.5*C15+2.5*1.25*C22)*C21*C6</f>
        <v>44.174999999999997</v>
      </c>
      <c r="H41" s="4" t="s">
        <v>57</v>
      </c>
      <c r="I41" s="19" t="str">
        <f>IF(G41&gt;=I40,"Safe","Unsafe")</f>
        <v>Safe</v>
      </c>
      <c r="J41" s="4"/>
    </row>
    <row r="42" spans="1:12" x14ac:dyDescent="0.2">
      <c r="F42" s="9"/>
      <c r="G42" s="9"/>
      <c r="H42" s="9"/>
      <c r="I42" s="19"/>
      <c r="J42" s="9"/>
    </row>
    <row r="43" spans="1:12" ht="18.75" thickBot="1" x14ac:dyDescent="0.25">
      <c r="F43" s="40"/>
      <c r="G43" s="40"/>
      <c r="H43" s="40"/>
      <c r="I43" s="40"/>
      <c r="J43" s="40"/>
      <c r="K43" s="40"/>
      <c r="L43" s="40"/>
    </row>
    <row r="44" spans="1:12" x14ac:dyDescent="0.2">
      <c r="F44" s="120" t="s">
        <v>95</v>
      </c>
      <c r="G44" s="120"/>
      <c r="H44" s="4"/>
      <c r="I44" s="4"/>
    </row>
    <row r="45" spans="1:12" ht="21" x14ac:dyDescent="0.2">
      <c r="F45" s="4" t="s">
        <v>98</v>
      </c>
      <c r="G45" s="41">
        <v>70.144999999999996</v>
      </c>
      <c r="H45" s="4" t="s">
        <v>99</v>
      </c>
      <c r="I45" s="4"/>
    </row>
    <row r="46" spans="1:12" ht="18.75" x14ac:dyDescent="0.2">
      <c r="F46" s="18" t="s">
        <v>75</v>
      </c>
      <c r="G46" s="4">
        <f>(G45*10^6)/(2100*C28)</f>
        <v>0.35241139791695825</v>
      </c>
      <c r="H46" s="4" t="s">
        <v>31</v>
      </c>
      <c r="I46" s="19" t="str">
        <f>IF(G46&lt;= (C10/800),"Safe","Unsafe")</f>
        <v>Safe</v>
      </c>
    </row>
    <row r="47" spans="1:12" x14ac:dyDescent="0.2">
      <c r="F47" s="18"/>
      <c r="G47" s="9"/>
      <c r="H47" s="9"/>
      <c r="I47" s="19"/>
    </row>
    <row r="48" spans="1:12" ht="18.75" thickBot="1" x14ac:dyDescent="0.25">
      <c r="F48" s="40"/>
      <c r="G48" s="40"/>
      <c r="H48" s="40"/>
      <c r="I48" s="40"/>
      <c r="J48" s="40"/>
      <c r="K48" s="40"/>
      <c r="L48" s="40"/>
    </row>
    <row r="49" spans="4:12" x14ac:dyDescent="0.2">
      <c r="F49" s="120" t="s">
        <v>96</v>
      </c>
      <c r="G49" s="120"/>
    </row>
    <row r="50" spans="4:12" ht="21" x14ac:dyDescent="0.2">
      <c r="F50" s="113" t="s">
        <v>69</v>
      </c>
      <c r="G50" s="113"/>
      <c r="H50" s="4" t="s">
        <v>92</v>
      </c>
      <c r="I50" s="4">
        <f>1.6*C12*(1+C11)</f>
        <v>7.92</v>
      </c>
      <c r="J50" s="4" t="s">
        <v>57</v>
      </c>
    </row>
    <row r="51" spans="4:12" ht="21" x14ac:dyDescent="0.2">
      <c r="D51" s="4" t="s">
        <v>93</v>
      </c>
      <c r="E51" s="4">
        <f>(2*C14)/(C18)</f>
        <v>0.14285714285714285</v>
      </c>
      <c r="F51" s="4" t="s">
        <v>70</v>
      </c>
      <c r="G51" s="4">
        <f>IF(E51&lt;=0.2,0.7*(0.1813*(C21)^2)*(1+(3*E51)*(C21/C22)^1.5)*SQRT(2100*C6*(C22/C21)),0.7*((0.1813*(C21)^2)*(1+((4*2*C14)/(C18+2*C22-0.2))*(C21/C22)^1.5)*SQRT(2100*C6*(C22/C21))))</f>
        <v>13.41851639488104</v>
      </c>
      <c r="H51" s="4" t="s">
        <v>57</v>
      </c>
      <c r="I51" s="19" t="str">
        <f>IF(G51&gt;=I50,"Safe","Unsafe")</f>
        <v>Safe</v>
      </c>
      <c r="J51" s="4"/>
    </row>
    <row r="52" spans="4:12" x14ac:dyDescent="0.2">
      <c r="D52" s="4"/>
      <c r="E52" s="4"/>
      <c r="F52" s="4"/>
      <c r="G52" s="4"/>
      <c r="H52" s="4"/>
      <c r="I52" s="4"/>
      <c r="J52" s="4"/>
    </row>
    <row r="53" spans="4:12" ht="21" x14ac:dyDescent="0.2">
      <c r="D53" s="4"/>
      <c r="E53" s="4"/>
      <c r="F53" s="113" t="s">
        <v>71</v>
      </c>
      <c r="G53" s="113"/>
      <c r="H53" s="4" t="s">
        <v>92</v>
      </c>
      <c r="I53" s="4">
        <f>K11</f>
        <v>13.438492800000001</v>
      </c>
      <c r="J53" s="4" t="s">
        <v>57</v>
      </c>
    </row>
    <row r="54" spans="4:12" ht="21" x14ac:dyDescent="0.2">
      <c r="D54" s="4" t="s">
        <v>93</v>
      </c>
      <c r="E54" s="4">
        <f>(0.5*C15)/(C18)</f>
        <v>0.21428571428571427</v>
      </c>
      <c r="F54" s="4" t="s">
        <v>70</v>
      </c>
      <c r="G54" s="4">
        <f>IF(E54&lt;=0.2,0.7*(0.1813*(C21)^2)*(1+(3*E54)*(C21/C22)^1.5)*SQRT(2100*C6*(C22/C21)),0.7*(0.1813*(C21)^2*(1+((4*0.5*C15)/(C18+2*C22-0.2))*(C21/C22)^1.5)*SQRT(2100*C6*(C22/C21))))</f>
        <v>15.979044618227901</v>
      </c>
      <c r="H54" s="4" t="s">
        <v>57</v>
      </c>
      <c r="I54" s="19" t="str">
        <f>IF(G54&gt;=I53,"Safe","Unsafe")</f>
        <v>Safe</v>
      </c>
      <c r="J54" s="4"/>
    </row>
    <row r="56" spans="4:12" ht="18.75" thickBot="1" x14ac:dyDescent="0.25">
      <c r="F56" s="40"/>
      <c r="G56" s="40"/>
      <c r="H56" s="40"/>
      <c r="I56" s="40"/>
      <c r="J56" s="40"/>
      <c r="K56" s="40"/>
      <c r="L56" s="40"/>
    </row>
    <row r="57" spans="4:12" x14ac:dyDescent="0.2">
      <c r="F57" s="29" t="s">
        <v>97</v>
      </c>
    </row>
    <row r="58" spans="4:12" ht="21" x14ac:dyDescent="0.2">
      <c r="E58" s="113" t="s">
        <v>74</v>
      </c>
      <c r="F58" s="113"/>
      <c r="G58" s="4">
        <f>(G12*(1+C11))/C30</f>
        <v>0.5826906554759953</v>
      </c>
      <c r="H58" s="4" t="s">
        <v>3</v>
      </c>
      <c r="I58" s="19" t="str">
        <f>IF(G58&lt;=1.26,"Safe","Unsafe")</f>
        <v>Safe</v>
      </c>
    </row>
  </sheetData>
  <mergeCells count="56">
    <mergeCell ref="F53:G53"/>
    <mergeCell ref="A17:D17"/>
    <mergeCell ref="A24:D24"/>
    <mergeCell ref="A9:D9"/>
    <mergeCell ref="F4:L4"/>
    <mergeCell ref="A5:B5"/>
    <mergeCell ref="A6:B6"/>
    <mergeCell ref="C5:D5"/>
    <mergeCell ref="A32:B32"/>
    <mergeCell ref="A33:B33"/>
    <mergeCell ref="A7:B7"/>
    <mergeCell ref="A10:B10"/>
    <mergeCell ref="A11:B11"/>
    <mergeCell ref="A18:B18"/>
    <mergeCell ref="A31:B31"/>
    <mergeCell ref="A25:B25"/>
    <mergeCell ref="A28:B28"/>
    <mergeCell ref="A29:B29"/>
    <mergeCell ref="A30:B30"/>
    <mergeCell ref="A21:B21"/>
    <mergeCell ref="A12:B12"/>
    <mergeCell ref="A19:B19"/>
    <mergeCell ref="A20:B20"/>
    <mergeCell ref="A22:B22"/>
    <mergeCell ref="A26:B26"/>
    <mergeCell ref="A27:B27"/>
    <mergeCell ref="J24:J26"/>
    <mergeCell ref="F28:G28"/>
    <mergeCell ref="F29:G29"/>
    <mergeCell ref="F32:G32"/>
    <mergeCell ref="F44:G44"/>
    <mergeCell ref="F36:G36"/>
    <mergeCell ref="F37:G37"/>
    <mergeCell ref="F40:G40"/>
    <mergeCell ref="K19:K20"/>
    <mergeCell ref="F17:G17"/>
    <mergeCell ref="F5:G5"/>
    <mergeCell ref="J8:K8"/>
    <mergeCell ref="F10:G10"/>
    <mergeCell ref="J19:J20"/>
    <mergeCell ref="E58:F58"/>
    <mergeCell ref="A13:B13"/>
    <mergeCell ref="F18:G18"/>
    <mergeCell ref="I19:I20"/>
    <mergeCell ref="A14:B14"/>
    <mergeCell ref="A15:B15"/>
    <mergeCell ref="F23:G23"/>
    <mergeCell ref="A34:B34"/>
    <mergeCell ref="A35:B35"/>
    <mergeCell ref="A40:B40"/>
    <mergeCell ref="A37:B37"/>
    <mergeCell ref="A38:B38"/>
    <mergeCell ref="A39:B39"/>
    <mergeCell ref="A36:B36"/>
    <mergeCell ref="F49:G49"/>
    <mergeCell ref="F50:G50"/>
  </mergeCells>
  <conditionalFormatting sqref="I46:I47 I38 I41:I42 I51 I54 I58 I28:I30 H33:H34">
    <cfRule type="cellIs" dxfId="1" priority="2" operator="equal">
      <formula>"Safe"</formula>
    </cfRule>
  </conditionalFormatting>
  <conditionalFormatting sqref="I46:I47 I38 I41:I42 I51 I54 I58 I28:I30 H33:H34">
    <cfRule type="cellIs" dxfId="0" priority="1" operator="equal">
      <formula>"Unsafe"</formula>
    </cfRule>
  </conditionalFormatting>
  <dataValidations count="2">
    <dataValidation type="list" allowBlank="1" showInputMessage="1" showErrorMessage="1" sqref="C5:D5" xr:uid="{AA7C8932-C28B-4949-B6A2-BF57E147EB4D}">
      <formula1>$B$1:$B$3</formula1>
    </dataValidation>
    <dataValidation type="list" allowBlank="1" showInputMessage="1" showErrorMessage="1" sqref="C11" xr:uid="{B7C6CE81-595B-4786-BC0B-74F2C4FA23F5}">
      <formula1>$E$1:$E$2</formula1>
    </dataValidation>
  </dataValidations>
  <pageMargins left="0.25" right="0.25" top="0.75" bottom="0.75" header="0.3" footer="0.3"/>
  <pageSetup paperSize="8" scale="8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HEB</vt:lpstr>
      <vt:lpstr>HEA</vt:lpstr>
      <vt:lpstr>IPE</vt:lpstr>
      <vt:lpstr>B.U.S</vt:lpstr>
      <vt:lpstr>B.U.S!Print_Area</vt:lpstr>
      <vt:lpstr>HEA!Print_Area</vt:lpstr>
      <vt:lpstr>HEB!Print_Area</vt:lpstr>
      <vt:lpstr>IPE!Print_Area</vt:lpstr>
      <vt:lpstr>HEA!table</vt:lpstr>
      <vt:lpstr>IPE!table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Uranus</dc:creator>
  <cp:lastModifiedBy>Windows User</cp:lastModifiedBy>
  <cp:lastPrinted>2022-03-11T12:33:42Z</cp:lastPrinted>
  <dcterms:created xsi:type="dcterms:W3CDTF">2019-09-11T12:27:13Z</dcterms:created>
  <dcterms:modified xsi:type="dcterms:W3CDTF">2022-03-29T03:14:09Z</dcterms:modified>
</cp:coreProperties>
</file>