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Study\all about steel structure\Excel Sheets\my sheets\LRFD\"/>
    </mc:Choice>
  </mc:AlternateContent>
  <xr:revisionPtr revIDLastSave="0" documentId="13_ncr:1_{DF791496-5E0C-4C10-A33C-9A0D16181224}" xr6:coauthVersionLast="47" xr6:coauthVersionMax="47" xr10:uidLastSave="{00000000-0000-0000-0000-000000000000}"/>
  <bookViews>
    <workbookView xWindow="-120" yWindow="-120" windowWidth="20730" windowHeight="11310" xr2:uid="{9C1296BE-71D7-453A-8101-A7B508938E01}"/>
  </bookViews>
  <sheets>
    <sheet name="Rolled" sheetId="1" r:id="rId1"/>
    <sheet name="B.U.S" sheetId="2" r:id="rId2"/>
  </sheets>
  <definedNames>
    <definedName name="_xlnm.Print_Area" localSheetId="1">'B.U.S'!$A$5:$O$48</definedName>
    <definedName name="_xlnm.Print_Area" localSheetId="0">Rolled!$A$4:$O$41</definedName>
    <definedName name="table">Rolled!$AB$2:$AP$27</definedName>
    <definedName name="table1">Rolled!$R$2:$AF$27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2" l="1"/>
  <c r="B37" i="2"/>
  <c r="B38" i="2" s="1"/>
  <c r="F44" i="2"/>
  <c r="F44" i="1"/>
  <c r="N32" i="2" l="1"/>
  <c r="F12" i="2"/>
  <c r="F11" i="2"/>
  <c r="J10" i="2" s="1"/>
  <c r="F19" i="2"/>
  <c r="B34" i="2"/>
  <c r="B33" i="2"/>
  <c r="B32" i="2"/>
  <c r="B30" i="2"/>
  <c r="B31" i="2" s="1"/>
  <c r="B24" i="2"/>
  <c r="B7" i="2"/>
  <c r="B6" i="2"/>
  <c r="L33" i="2" s="1"/>
  <c r="N32" i="1"/>
  <c r="F12" i="1"/>
  <c r="F11" i="1"/>
  <c r="J10" i="1" s="1"/>
  <c r="B30" i="1"/>
  <c r="B29" i="1"/>
  <c r="B27" i="1"/>
  <c r="B28" i="1" s="1"/>
  <c r="B26" i="1"/>
  <c r="F40" i="1" s="1"/>
  <c r="H40" i="1" s="1"/>
  <c r="B22" i="1"/>
  <c r="B21" i="1"/>
  <c r="L33" i="1" s="1"/>
  <c r="B20" i="1"/>
  <c r="B19" i="1"/>
  <c r="B18" i="1"/>
  <c r="B17" i="1"/>
  <c r="B16" i="1"/>
  <c r="F6" i="1" s="1"/>
  <c r="F7" i="1" s="1"/>
  <c r="B7" i="1"/>
  <c r="B6" i="1"/>
  <c r="G19" i="2" l="1"/>
  <c r="I19" i="2" s="1"/>
  <c r="G20" i="2"/>
  <c r="B26" i="2"/>
  <c r="B27" i="2" s="1"/>
  <c r="F40" i="2" s="1"/>
  <c r="H40" i="2" s="1"/>
  <c r="B25" i="2"/>
  <c r="F6" i="2" s="1"/>
  <c r="F7" i="2" s="1"/>
  <c r="J9" i="2" s="1"/>
  <c r="N33" i="1"/>
  <c r="L36" i="1" s="1"/>
  <c r="K23" i="1"/>
  <c r="G23" i="1" s="1"/>
  <c r="F45" i="2"/>
  <c r="H45" i="2" s="1"/>
  <c r="B39" i="2"/>
  <c r="B31" i="1"/>
  <c r="B35" i="2"/>
  <c r="B36" i="2" s="1"/>
  <c r="F45" i="1"/>
  <c r="H45" i="1" s="1"/>
  <c r="B32" i="1"/>
  <c r="B33" i="1" s="1"/>
  <c r="B34" i="1" s="1"/>
  <c r="K25" i="1"/>
  <c r="K23" i="2"/>
  <c r="K25" i="2"/>
  <c r="L40" i="2"/>
  <c r="J9" i="1"/>
  <c r="G36" i="1"/>
  <c r="I36" i="1" s="1"/>
  <c r="F20" i="1"/>
  <c r="G20" i="1" s="1"/>
  <c r="F19" i="1"/>
  <c r="G19" i="1" s="1"/>
  <c r="L39" i="1"/>
  <c r="F8" i="1"/>
  <c r="J11" i="1" s="1"/>
  <c r="N36" i="1" l="1"/>
  <c r="K34" i="1"/>
  <c r="B28" i="2"/>
  <c r="G25" i="2" s="1"/>
  <c r="B29" i="2"/>
  <c r="G36" i="2" s="1"/>
  <c r="I36" i="2" s="1"/>
  <c r="F8" i="2"/>
  <c r="J11" i="2" s="1"/>
  <c r="F32" i="2" s="1"/>
  <c r="G32" i="2" s="1"/>
  <c r="G23" i="2"/>
  <c r="G28" i="2"/>
  <c r="H28" i="2" s="1"/>
  <c r="G28" i="1"/>
  <c r="H28" i="1" s="1"/>
  <c r="G24" i="1"/>
  <c r="K24" i="1" s="1"/>
  <c r="G27" i="1" s="1"/>
  <c r="E46" i="2"/>
  <c r="F48" i="2"/>
  <c r="H48" i="2" s="1"/>
  <c r="I19" i="1"/>
  <c r="N33" i="2"/>
  <c r="L36" i="2" s="1"/>
  <c r="F32" i="1"/>
  <c r="G32" i="1" s="1"/>
  <c r="N38" i="1"/>
  <c r="N39" i="1" s="1"/>
  <c r="G25" i="1"/>
  <c r="L42" i="1" l="1"/>
  <c r="N42" i="1" s="1"/>
  <c r="K40" i="1"/>
  <c r="K34" i="2"/>
  <c r="N36" i="2"/>
  <c r="K24" i="2"/>
  <c r="G27" i="2" s="1"/>
  <c r="H27" i="2" s="1"/>
  <c r="G24" i="2"/>
  <c r="N39" i="2"/>
  <c r="N40" i="2" s="1"/>
  <c r="H27" i="1"/>
  <c r="L43" i="2" l="1"/>
  <c r="N43" i="2" s="1"/>
  <c r="K41" i="2"/>
</calcChain>
</file>

<file path=xl/sharedStrings.xml><?xml version="1.0" encoding="utf-8"?>
<sst xmlns="http://schemas.openxmlformats.org/spreadsheetml/2006/main" count="300" uniqueCount="123">
  <si>
    <t>Compact</t>
  </si>
  <si>
    <t>Non-Compact</t>
  </si>
  <si>
    <t>Slender</t>
  </si>
  <si>
    <t>Steel Type</t>
  </si>
  <si>
    <r>
      <t>F</t>
    </r>
    <r>
      <rPr>
        <vertAlign val="subscript"/>
        <sz val="14"/>
        <color theme="1"/>
        <rFont val="Arial"/>
        <family val="2"/>
        <scheme val="minor"/>
      </rPr>
      <t>y</t>
    </r>
  </si>
  <si>
    <r>
      <t>t/cm</t>
    </r>
    <r>
      <rPr>
        <vertAlign val="superscript"/>
        <sz val="14"/>
        <color theme="1"/>
        <rFont val="Arial"/>
        <family val="2"/>
        <scheme val="minor"/>
      </rPr>
      <t>2</t>
    </r>
  </si>
  <si>
    <r>
      <t>F</t>
    </r>
    <r>
      <rPr>
        <vertAlign val="subscript"/>
        <sz val="14"/>
        <color theme="1"/>
        <rFont val="Arial"/>
        <family val="2"/>
        <scheme val="minor"/>
      </rPr>
      <t>u</t>
    </r>
  </si>
  <si>
    <r>
      <t>span = L</t>
    </r>
    <r>
      <rPr>
        <vertAlign val="subscript"/>
        <sz val="14"/>
        <color theme="1"/>
        <rFont val="Arial"/>
        <family val="2"/>
        <scheme val="minor"/>
      </rPr>
      <t>b</t>
    </r>
  </si>
  <si>
    <t>cm</t>
  </si>
  <si>
    <t>Impact Factor</t>
  </si>
  <si>
    <t>unitless</t>
  </si>
  <si>
    <t>Section</t>
  </si>
  <si>
    <t>Weight</t>
  </si>
  <si>
    <t>Kg/m'</t>
  </si>
  <si>
    <t>h</t>
  </si>
  <si>
    <t>mm</t>
  </si>
  <si>
    <t>b</t>
  </si>
  <si>
    <t>s</t>
  </si>
  <si>
    <t>t=r</t>
  </si>
  <si>
    <t>c</t>
  </si>
  <si>
    <t>h-2c</t>
  </si>
  <si>
    <r>
      <t>I</t>
    </r>
    <r>
      <rPr>
        <vertAlign val="subscript"/>
        <sz val="14"/>
        <color theme="1"/>
        <rFont val="Arial"/>
        <family val="2"/>
        <scheme val="minor"/>
      </rPr>
      <t>x</t>
    </r>
  </si>
  <si>
    <r>
      <t>cm</t>
    </r>
    <r>
      <rPr>
        <vertAlign val="superscript"/>
        <sz val="14"/>
        <color theme="1"/>
        <rFont val="Arial"/>
        <family val="2"/>
        <scheme val="minor"/>
      </rPr>
      <t>4</t>
    </r>
  </si>
  <si>
    <r>
      <t>S</t>
    </r>
    <r>
      <rPr>
        <vertAlign val="subscript"/>
        <sz val="14"/>
        <color theme="1"/>
        <rFont val="Arial"/>
        <family val="2"/>
        <scheme val="minor"/>
      </rPr>
      <t>x</t>
    </r>
  </si>
  <si>
    <r>
      <t>cm</t>
    </r>
    <r>
      <rPr>
        <vertAlign val="superscript"/>
        <sz val="14"/>
        <color theme="1"/>
        <rFont val="Arial"/>
        <family val="2"/>
        <scheme val="minor"/>
      </rPr>
      <t>3</t>
    </r>
  </si>
  <si>
    <r>
      <t>Z</t>
    </r>
    <r>
      <rPr>
        <vertAlign val="subscript"/>
        <sz val="14"/>
        <color theme="1"/>
        <rFont val="Arial"/>
        <family val="2"/>
        <scheme val="minor"/>
      </rPr>
      <t>x</t>
    </r>
  </si>
  <si>
    <r>
      <t>r</t>
    </r>
    <r>
      <rPr>
        <vertAlign val="subscript"/>
        <sz val="14"/>
        <color theme="1"/>
        <rFont val="Arial"/>
        <family val="2"/>
        <scheme val="minor"/>
      </rPr>
      <t>y</t>
    </r>
  </si>
  <si>
    <r>
      <t>S</t>
    </r>
    <r>
      <rPr>
        <vertAlign val="subscript"/>
        <sz val="14"/>
        <color theme="1"/>
        <rFont val="Arial"/>
        <family val="2"/>
        <scheme val="minor"/>
      </rPr>
      <t>y</t>
    </r>
  </si>
  <si>
    <r>
      <t>L</t>
    </r>
    <r>
      <rPr>
        <vertAlign val="subscript"/>
        <sz val="14"/>
        <color theme="1"/>
        <rFont val="Arial"/>
        <family val="2"/>
        <scheme val="minor"/>
      </rPr>
      <t>p</t>
    </r>
  </si>
  <si>
    <r>
      <t>r</t>
    </r>
    <r>
      <rPr>
        <vertAlign val="subscript"/>
        <sz val="14"/>
        <color theme="1"/>
        <rFont val="Arial"/>
        <family val="2"/>
        <scheme val="minor"/>
      </rPr>
      <t>t</t>
    </r>
  </si>
  <si>
    <t>X</t>
  </si>
  <si>
    <r>
      <t>L</t>
    </r>
    <r>
      <rPr>
        <vertAlign val="subscript"/>
        <sz val="14"/>
        <color theme="1"/>
        <rFont val="Arial"/>
        <family val="2"/>
        <scheme val="minor"/>
      </rPr>
      <t>r</t>
    </r>
  </si>
  <si>
    <t>wheel load</t>
  </si>
  <si>
    <t>ton</t>
  </si>
  <si>
    <r>
      <t>h</t>
    </r>
    <r>
      <rPr>
        <vertAlign val="subscript"/>
        <sz val="14"/>
        <color theme="1"/>
        <rFont val="Arial"/>
        <family val="2"/>
        <scheme val="minor"/>
      </rPr>
      <t>rail</t>
    </r>
  </si>
  <si>
    <r>
      <t>Bracket b</t>
    </r>
    <r>
      <rPr>
        <vertAlign val="subscript"/>
        <sz val="14"/>
        <color theme="1"/>
        <rFont val="Arial"/>
        <family val="2"/>
        <scheme val="minor"/>
      </rPr>
      <t>f</t>
    </r>
  </si>
  <si>
    <t>HEB</t>
  </si>
  <si>
    <t>Sec.</t>
  </si>
  <si>
    <t>Area</t>
  </si>
  <si>
    <t>Dimensions (mm)</t>
  </si>
  <si>
    <t>x-x</t>
  </si>
  <si>
    <t>y-y</t>
  </si>
  <si>
    <t>No.</t>
  </si>
  <si>
    <r>
      <t>(cm</t>
    </r>
    <r>
      <rPr>
        <b/>
        <vertAlign val="superscript"/>
        <sz val="14"/>
        <rFont val="Arial"/>
        <family val="2"/>
        <scheme val="minor"/>
      </rPr>
      <t>2</t>
    </r>
    <r>
      <rPr>
        <b/>
        <sz val="14"/>
        <rFont val="Arial"/>
        <family val="2"/>
        <scheme val="minor"/>
      </rPr>
      <t>)</t>
    </r>
  </si>
  <si>
    <t>(kg/m`)</t>
  </si>
  <si>
    <t>t</t>
  </si>
  <si>
    <r>
      <t>I</t>
    </r>
    <r>
      <rPr>
        <b/>
        <vertAlign val="subscript"/>
        <sz val="14"/>
        <rFont val="Arial"/>
        <family val="2"/>
        <scheme val="minor"/>
      </rPr>
      <t>x</t>
    </r>
    <r>
      <rPr>
        <b/>
        <sz val="14"/>
        <rFont val="Arial"/>
        <family val="2"/>
        <scheme val="minor"/>
      </rPr>
      <t xml:space="preserve"> (cm</t>
    </r>
    <r>
      <rPr>
        <b/>
        <vertAlign val="superscript"/>
        <sz val="14"/>
        <rFont val="Arial"/>
        <family val="2"/>
        <scheme val="minor"/>
      </rPr>
      <t>4</t>
    </r>
    <r>
      <rPr>
        <b/>
        <sz val="14"/>
        <rFont val="Arial"/>
        <family val="2"/>
        <scheme val="minor"/>
      </rPr>
      <t>)</t>
    </r>
  </si>
  <si>
    <r>
      <t>S</t>
    </r>
    <r>
      <rPr>
        <b/>
        <vertAlign val="subscript"/>
        <sz val="14"/>
        <rFont val="Arial"/>
        <family val="2"/>
        <scheme val="minor"/>
      </rPr>
      <t>x</t>
    </r>
    <r>
      <rPr>
        <b/>
        <sz val="14"/>
        <rFont val="Arial"/>
        <family val="2"/>
        <scheme val="minor"/>
      </rPr>
      <t xml:space="preserve"> (cm</t>
    </r>
    <r>
      <rPr>
        <b/>
        <vertAlign val="superscript"/>
        <sz val="14"/>
        <rFont val="Arial"/>
        <family val="2"/>
        <scheme val="minor"/>
      </rPr>
      <t>3</t>
    </r>
    <r>
      <rPr>
        <b/>
        <sz val="14"/>
        <rFont val="Arial"/>
        <family val="2"/>
        <scheme val="minor"/>
      </rPr>
      <t>)</t>
    </r>
  </si>
  <si>
    <r>
      <t>r</t>
    </r>
    <r>
      <rPr>
        <b/>
        <vertAlign val="subscript"/>
        <sz val="14"/>
        <rFont val="Arial"/>
        <family val="2"/>
        <scheme val="minor"/>
      </rPr>
      <t>x</t>
    </r>
    <r>
      <rPr>
        <b/>
        <sz val="14"/>
        <rFont val="Arial"/>
        <family val="2"/>
        <scheme val="minor"/>
      </rPr>
      <t xml:space="preserve"> (cm)</t>
    </r>
  </si>
  <si>
    <r>
      <t>I</t>
    </r>
    <r>
      <rPr>
        <b/>
        <vertAlign val="subscript"/>
        <sz val="14"/>
        <rFont val="Arial"/>
        <family val="2"/>
        <scheme val="minor"/>
      </rPr>
      <t>y</t>
    </r>
    <r>
      <rPr>
        <b/>
        <sz val="14"/>
        <rFont val="Arial"/>
        <family val="2"/>
        <scheme val="minor"/>
      </rPr>
      <t xml:space="preserve"> (cm</t>
    </r>
    <r>
      <rPr>
        <b/>
        <vertAlign val="superscript"/>
        <sz val="14"/>
        <rFont val="Arial"/>
        <family val="2"/>
        <scheme val="minor"/>
      </rPr>
      <t>4</t>
    </r>
    <r>
      <rPr>
        <b/>
        <sz val="14"/>
        <rFont val="Arial"/>
        <family val="2"/>
        <scheme val="minor"/>
      </rPr>
      <t>)</t>
    </r>
  </si>
  <si>
    <r>
      <t>S</t>
    </r>
    <r>
      <rPr>
        <b/>
        <vertAlign val="subscript"/>
        <sz val="14"/>
        <rFont val="Arial"/>
        <family val="2"/>
        <scheme val="minor"/>
      </rPr>
      <t>y</t>
    </r>
    <r>
      <rPr>
        <b/>
        <sz val="14"/>
        <rFont val="Arial"/>
        <family val="2"/>
        <scheme val="minor"/>
      </rPr>
      <t xml:space="preserve"> (cm</t>
    </r>
    <r>
      <rPr>
        <b/>
        <vertAlign val="superscript"/>
        <sz val="14"/>
        <rFont val="Arial"/>
        <family val="2"/>
        <scheme val="minor"/>
      </rPr>
      <t>3</t>
    </r>
    <r>
      <rPr>
        <b/>
        <sz val="14"/>
        <rFont val="Arial"/>
        <family val="2"/>
        <scheme val="minor"/>
      </rPr>
      <t>)</t>
    </r>
  </si>
  <si>
    <r>
      <t>r</t>
    </r>
    <r>
      <rPr>
        <b/>
        <vertAlign val="subscript"/>
        <sz val="14"/>
        <rFont val="Arial"/>
        <family val="2"/>
        <scheme val="minor"/>
      </rPr>
      <t>y</t>
    </r>
    <r>
      <rPr>
        <b/>
        <sz val="14"/>
        <rFont val="Arial"/>
        <family val="2"/>
        <scheme val="minor"/>
      </rPr>
      <t xml:space="preserve"> (cm)</t>
    </r>
  </si>
  <si>
    <t>i- Dead Load</t>
  </si>
  <si>
    <r>
      <t>W</t>
    </r>
    <r>
      <rPr>
        <vertAlign val="subscript"/>
        <sz val="14"/>
        <color theme="1"/>
        <rFont val="Arial"/>
        <family val="2"/>
        <scheme val="minor"/>
      </rPr>
      <t>d</t>
    </r>
  </si>
  <si>
    <t>t/cm'</t>
  </si>
  <si>
    <r>
      <t>M</t>
    </r>
    <r>
      <rPr>
        <vertAlign val="subscript"/>
        <sz val="14"/>
        <color theme="1"/>
        <rFont val="Arial"/>
        <family val="2"/>
        <scheme val="minor"/>
      </rPr>
      <t>d</t>
    </r>
  </si>
  <si>
    <t>cm.t</t>
  </si>
  <si>
    <r>
      <t>Q</t>
    </r>
    <r>
      <rPr>
        <vertAlign val="subscript"/>
        <sz val="14"/>
        <color theme="1"/>
        <rFont val="Arial"/>
        <family val="2"/>
        <scheme val="minor"/>
      </rPr>
      <t>d</t>
    </r>
  </si>
  <si>
    <t>ii- Live Load</t>
  </si>
  <si>
    <r>
      <t>M</t>
    </r>
    <r>
      <rPr>
        <vertAlign val="subscript"/>
        <sz val="14"/>
        <color theme="1"/>
        <rFont val="Arial"/>
        <family val="2"/>
        <scheme val="minor"/>
      </rPr>
      <t>L</t>
    </r>
  </si>
  <si>
    <r>
      <t>Q</t>
    </r>
    <r>
      <rPr>
        <vertAlign val="subscript"/>
        <sz val="14"/>
        <color theme="1"/>
        <rFont val="Arial"/>
        <family val="2"/>
        <scheme val="minor"/>
      </rPr>
      <t>L</t>
    </r>
  </si>
  <si>
    <t>Checks :</t>
  </si>
  <si>
    <t>i- Compactness</t>
  </si>
  <si>
    <t>h/t =</t>
  </si>
  <si>
    <t>&gt;&gt;&gt;&gt;</t>
  </si>
  <si>
    <t>c/t =</t>
  </si>
  <si>
    <t>ii- Bending</t>
  </si>
  <si>
    <r>
      <t>L</t>
    </r>
    <r>
      <rPr>
        <vertAlign val="subscript"/>
        <sz val="14"/>
        <color theme="1"/>
        <rFont val="Arial"/>
        <family val="2"/>
        <scheme val="minor"/>
      </rPr>
      <t xml:space="preserve">b </t>
    </r>
    <r>
      <rPr>
        <sz val="14"/>
        <color theme="1"/>
        <rFont val="Arial"/>
        <family val="2"/>
        <charset val="178"/>
        <scheme val="minor"/>
      </rPr>
      <t>&lt;= L</t>
    </r>
    <r>
      <rPr>
        <vertAlign val="subscript"/>
        <sz val="14"/>
        <color theme="1"/>
        <rFont val="Arial"/>
        <family val="2"/>
        <scheme val="minor"/>
      </rPr>
      <t>p</t>
    </r>
  </si>
  <si>
    <r>
      <t>M</t>
    </r>
    <r>
      <rPr>
        <vertAlign val="subscript"/>
        <sz val="14"/>
        <color theme="1"/>
        <rFont val="Arial"/>
        <family val="2"/>
        <scheme val="minor"/>
      </rPr>
      <t>nx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</si>
  <si>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M</t>
    </r>
    <r>
      <rPr>
        <vertAlign val="subscript"/>
        <sz val="14"/>
        <color theme="1"/>
        <rFont val="Arial"/>
        <family val="2"/>
        <scheme val="minor"/>
      </rPr>
      <t>p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</si>
  <si>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L</t>
    </r>
    <r>
      <rPr>
        <vertAlign val="subscript"/>
        <sz val="14"/>
        <color theme="1"/>
        <rFont val="Arial"/>
        <family val="2"/>
        <scheme val="minor"/>
      </rPr>
      <t>p</t>
    </r>
    <r>
      <rPr>
        <sz val="14"/>
        <color theme="1"/>
        <rFont val="Arial"/>
        <family val="2"/>
        <charset val="178"/>
        <scheme val="minor"/>
      </rPr>
      <t xml:space="preserve"> &lt; L</t>
    </r>
    <r>
      <rPr>
        <vertAlign val="subscript"/>
        <sz val="14"/>
        <color theme="1"/>
        <rFont val="Arial"/>
        <family val="2"/>
        <scheme val="minor"/>
      </rPr>
      <t>b</t>
    </r>
    <r>
      <rPr>
        <sz val="14"/>
        <color theme="1"/>
        <rFont val="Arial"/>
        <family val="2"/>
        <charset val="178"/>
        <scheme val="minor"/>
      </rPr>
      <t xml:space="preserve"> &lt;= L</t>
    </r>
    <r>
      <rPr>
        <vertAlign val="subscript"/>
        <sz val="14"/>
        <color theme="1"/>
        <rFont val="Arial"/>
        <family val="2"/>
        <scheme val="minor"/>
      </rPr>
      <t>r</t>
    </r>
  </si>
  <si>
    <r>
      <t>M</t>
    </r>
    <r>
      <rPr>
        <vertAlign val="subscript"/>
        <sz val="14"/>
        <color theme="1"/>
        <rFont val="Arial"/>
        <family val="2"/>
        <scheme val="minor"/>
      </rPr>
      <t xml:space="preserve">nx 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</si>
  <si>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L</t>
    </r>
    <r>
      <rPr>
        <vertAlign val="subscript"/>
        <sz val="14"/>
        <color theme="1"/>
        <rFont val="Arial"/>
        <family val="2"/>
        <scheme val="minor"/>
      </rPr>
      <t>b</t>
    </r>
    <r>
      <rPr>
        <sz val="14"/>
        <color theme="1"/>
        <rFont val="Arial"/>
        <family val="2"/>
        <charset val="178"/>
        <scheme val="minor"/>
      </rPr>
      <t xml:space="preserve"> &gt; L</t>
    </r>
    <r>
      <rPr>
        <vertAlign val="subscript"/>
        <sz val="14"/>
        <color theme="1"/>
        <rFont val="Arial"/>
        <family val="2"/>
        <scheme val="minor"/>
      </rPr>
      <t>r</t>
    </r>
  </si>
  <si>
    <r>
      <t>M</t>
    </r>
    <r>
      <rPr>
        <vertAlign val="subscript"/>
        <sz val="14"/>
        <color theme="1"/>
        <rFont val="Arial"/>
        <family val="2"/>
        <scheme val="minor"/>
      </rPr>
      <t xml:space="preserve">ny </t>
    </r>
    <r>
      <rPr>
        <sz val="14"/>
        <color theme="1"/>
        <rFont val="Arial"/>
        <family val="2"/>
        <charset val="178"/>
        <scheme val="minor"/>
      </rPr>
      <t xml:space="preserve"> =</t>
    </r>
  </si>
  <si>
    <t>1- @Comp. Flange</t>
  </si>
  <si>
    <t>2- @Tens. Flange</t>
  </si>
  <si>
    <t>iii- Shear</t>
  </si>
  <si>
    <t>iv- Web Yielding</t>
  </si>
  <si>
    <t>1- under wheel load</t>
  </si>
  <si>
    <r>
      <t>R</t>
    </r>
    <r>
      <rPr>
        <vertAlign val="subscript"/>
        <sz val="14"/>
        <color theme="1"/>
        <rFont val="Arial"/>
        <family val="2"/>
        <scheme val="minor"/>
      </rPr>
      <t>u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</si>
  <si>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R</t>
    </r>
    <r>
      <rPr>
        <vertAlign val="subscript"/>
        <sz val="14"/>
        <color theme="1"/>
        <rFont val="Arial"/>
        <family val="2"/>
        <scheme val="minor"/>
      </rPr>
      <t>r</t>
    </r>
    <r>
      <rPr>
        <sz val="14"/>
        <color theme="1"/>
        <rFont val="Arial"/>
        <family val="2"/>
        <charset val="178"/>
        <scheme val="minor"/>
      </rPr>
      <t xml:space="preserve"> =</t>
    </r>
  </si>
  <si>
    <t>2- at support</t>
  </si>
  <si>
    <t>Fatigue Stress =</t>
  </si>
  <si>
    <r>
      <t>h</t>
    </r>
    <r>
      <rPr>
        <vertAlign val="subscript"/>
        <sz val="14"/>
        <color theme="1"/>
        <rFont val="Arial"/>
        <family val="2"/>
        <scheme val="minor"/>
      </rPr>
      <t>w</t>
    </r>
  </si>
  <si>
    <r>
      <t>b</t>
    </r>
    <r>
      <rPr>
        <vertAlign val="subscript"/>
        <sz val="14"/>
        <color theme="1"/>
        <rFont val="Arial"/>
        <family val="2"/>
        <scheme val="minor"/>
      </rPr>
      <t>U.F</t>
    </r>
  </si>
  <si>
    <r>
      <t>b</t>
    </r>
    <r>
      <rPr>
        <vertAlign val="subscript"/>
        <sz val="14"/>
        <color theme="1"/>
        <rFont val="Arial"/>
        <family val="2"/>
        <scheme val="minor"/>
      </rPr>
      <t>L.F</t>
    </r>
  </si>
  <si>
    <r>
      <t>t</t>
    </r>
    <r>
      <rPr>
        <vertAlign val="subscript"/>
        <sz val="14"/>
        <color theme="1"/>
        <rFont val="Arial"/>
        <family val="2"/>
        <scheme val="minor"/>
      </rPr>
      <t>w</t>
    </r>
  </si>
  <si>
    <r>
      <t>t</t>
    </r>
    <r>
      <rPr>
        <vertAlign val="subscript"/>
        <sz val="14"/>
        <color theme="1"/>
        <rFont val="Arial"/>
        <family val="2"/>
        <scheme val="minor"/>
      </rPr>
      <t xml:space="preserve">U.F </t>
    </r>
    <r>
      <rPr>
        <sz val="14"/>
        <color theme="1"/>
        <rFont val="Arial"/>
        <family val="2"/>
        <charset val="178"/>
        <scheme val="minor"/>
      </rPr>
      <t>= t</t>
    </r>
    <r>
      <rPr>
        <vertAlign val="subscript"/>
        <sz val="14"/>
        <color theme="1"/>
        <rFont val="Arial"/>
        <family val="2"/>
        <scheme val="minor"/>
      </rPr>
      <t>L.F</t>
    </r>
  </si>
  <si>
    <t>t/m'</t>
  </si>
  <si>
    <r>
      <t>cm</t>
    </r>
    <r>
      <rPr>
        <vertAlign val="superscript"/>
        <sz val="14"/>
        <color theme="1"/>
        <rFont val="Arial"/>
        <family val="2"/>
        <scheme val="minor"/>
      </rPr>
      <t>2</t>
    </r>
  </si>
  <si>
    <t>Ῡ</t>
  </si>
  <si>
    <r>
      <t>S</t>
    </r>
    <r>
      <rPr>
        <vertAlign val="subscript"/>
        <sz val="14"/>
        <color theme="1"/>
        <rFont val="Arial"/>
        <family val="2"/>
        <scheme val="minor"/>
      </rPr>
      <t>x</t>
    </r>
    <r>
      <rPr>
        <sz val="14"/>
        <color theme="1"/>
        <rFont val="Arial"/>
        <family val="2"/>
        <charset val="178"/>
        <scheme val="minor"/>
      </rPr>
      <t xml:space="preserve"> </t>
    </r>
    <r>
      <rPr>
        <vertAlign val="subscript"/>
        <sz val="14"/>
        <color theme="1"/>
        <rFont val="Arial"/>
        <family val="2"/>
        <scheme val="minor"/>
      </rPr>
      <t>upper</t>
    </r>
  </si>
  <si>
    <r>
      <t>S</t>
    </r>
    <r>
      <rPr>
        <vertAlign val="subscript"/>
        <sz val="14"/>
        <color theme="1"/>
        <rFont val="Arial"/>
        <family val="2"/>
        <scheme val="minor"/>
      </rPr>
      <t>x</t>
    </r>
    <r>
      <rPr>
        <sz val="14"/>
        <color theme="1"/>
        <rFont val="Arial"/>
        <family val="2"/>
        <charset val="178"/>
        <scheme val="minor"/>
      </rPr>
      <t xml:space="preserve"> </t>
    </r>
    <r>
      <rPr>
        <vertAlign val="subscript"/>
        <sz val="14"/>
        <color theme="1"/>
        <rFont val="Arial"/>
        <family val="2"/>
        <scheme val="minor"/>
      </rPr>
      <t>Lower</t>
    </r>
  </si>
  <si>
    <r>
      <t xml:space="preserve">Y </t>
    </r>
    <r>
      <rPr>
        <vertAlign val="subscript"/>
        <sz val="14"/>
        <color theme="1"/>
        <rFont val="Arial"/>
        <family val="2"/>
        <scheme val="minor"/>
      </rPr>
      <t>plastic c.g</t>
    </r>
  </si>
  <si>
    <r>
      <t>I</t>
    </r>
    <r>
      <rPr>
        <vertAlign val="subscript"/>
        <sz val="14"/>
        <color theme="1"/>
        <rFont val="Arial"/>
        <family val="2"/>
        <scheme val="minor"/>
      </rPr>
      <t>y</t>
    </r>
  </si>
  <si>
    <r>
      <t>S</t>
    </r>
    <r>
      <rPr>
        <vertAlign val="subscript"/>
        <sz val="14"/>
        <color theme="1"/>
        <rFont val="Arial"/>
        <family val="2"/>
        <scheme val="minor"/>
      </rPr>
      <t>y L.F</t>
    </r>
  </si>
  <si>
    <r>
      <t>Z</t>
    </r>
    <r>
      <rPr>
        <vertAlign val="subscript"/>
        <sz val="14"/>
        <color theme="1"/>
        <rFont val="Arial"/>
        <family val="2"/>
        <scheme val="minor"/>
      </rPr>
      <t>y L.F</t>
    </r>
  </si>
  <si>
    <t>Straining Actions :</t>
  </si>
  <si>
    <r>
      <t>C</t>
    </r>
    <r>
      <rPr>
        <vertAlign val="subscript"/>
        <sz val="14"/>
        <color theme="1"/>
        <rFont val="Arial"/>
        <family val="2"/>
        <scheme val="minor"/>
      </rPr>
      <t>b</t>
    </r>
  </si>
  <si>
    <t>`</t>
  </si>
  <si>
    <t>vii- Flange Bending</t>
  </si>
  <si>
    <t>v- Fatigue</t>
  </si>
  <si>
    <t>vi- Deflection</t>
  </si>
  <si>
    <t>Safe</t>
  </si>
  <si>
    <t>Unsafe</t>
  </si>
  <si>
    <r>
      <t>t</t>
    </r>
    <r>
      <rPr>
        <vertAlign val="subscript"/>
        <sz val="14"/>
        <color theme="1"/>
        <rFont val="Arial"/>
        <family val="2"/>
        <scheme val="minor"/>
      </rPr>
      <t>p</t>
    </r>
  </si>
  <si>
    <r>
      <t>Q</t>
    </r>
    <r>
      <rPr>
        <vertAlign val="subscript"/>
        <sz val="14"/>
        <color theme="1"/>
        <rFont val="Arial"/>
        <family val="2"/>
        <scheme val="minor"/>
      </rPr>
      <t>uy</t>
    </r>
    <r>
      <rPr>
        <sz val="14"/>
        <color theme="1"/>
        <rFont val="Arial"/>
        <family val="2"/>
        <charset val="178"/>
        <scheme val="minor"/>
      </rPr>
      <t xml:space="preserve"> / V</t>
    </r>
    <r>
      <rPr>
        <vertAlign val="subscript"/>
        <sz val="14"/>
        <color theme="1"/>
        <rFont val="Arial"/>
        <family val="2"/>
        <scheme val="minor"/>
      </rPr>
      <t>r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</si>
  <si>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rPr>
        <b/>
        <sz val="14"/>
        <color theme="1"/>
        <rFont val="Calibri"/>
        <family val="2"/>
      </rPr>
      <t>δ</t>
    </r>
    <r>
      <rPr>
        <b/>
        <vertAlign val="subscript"/>
        <sz val="14"/>
        <color theme="1"/>
        <rFont val="Calibri"/>
        <family val="2"/>
      </rPr>
      <t>act</t>
    </r>
    <r>
      <rPr>
        <sz val="14"/>
        <color theme="1"/>
        <rFont val="Arial"/>
        <family val="2"/>
        <charset val="178"/>
      </rPr>
      <t xml:space="preserve"> =</t>
    </r>
  </si>
  <si>
    <r>
      <t>Mu</t>
    </r>
    <r>
      <rPr>
        <vertAlign val="subscript"/>
        <sz val="14"/>
        <color theme="1"/>
        <rFont val="Arial"/>
        <family val="2"/>
        <scheme val="minor"/>
      </rPr>
      <t>x</t>
    </r>
  </si>
  <si>
    <r>
      <t>Mu</t>
    </r>
    <r>
      <rPr>
        <vertAlign val="subscript"/>
        <sz val="14"/>
        <color theme="1"/>
        <rFont val="Arial"/>
        <family val="2"/>
        <scheme val="minor"/>
      </rPr>
      <t>y</t>
    </r>
  </si>
  <si>
    <r>
      <t>Q</t>
    </r>
    <r>
      <rPr>
        <vertAlign val="subscript"/>
        <sz val="14"/>
        <color theme="1"/>
        <rFont val="Arial"/>
        <family val="2"/>
        <scheme val="minor"/>
      </rPr>
      <t>uy</t>
    </r>
  </si>
  <si>
    <t>Properties of section</t>
  </si>
  <si>
    <t>Choice of section</t>
  </si>
  <si>
    <r>
      <t>M</t>
    </r>
    <r>
      <rPr>
        <vertAlign val="subscript"/>
        <sz val="14"/>
        <color theme="1"/>
        <rFont val="Arial"/>
        <family val="2"/>
        <scheme val="minor"/>
      </rPr>
      <t>uy</t>
    </r>
  </si>
  <si>
    <r>
      <t>M</t>
    </r>
    <r>
      <rPr>
        <vertAlign val="subscript"/>
        <sz val="14"/>
        <color theme="1"/>
        <rFont val="Arial"/>
        <family val="2"/>
        <scheme val="minor"/>
      </rPr>
      <t>ux</t>
    </r>
  </si>
  <si>
    <t>iv- Fatigue</t>
  </si>
  <si>
    <t>v- Deflection</t>
  </si>
  <si>
    <t>vi- Flange Bending</t>
  </si>
  <si>
    <t>vii- Web Yielding</t>
  </si>
  <si>
    <r>
      <t>t</t>
    </r>
    <r>
      <rPr>
        <vertAlign val="subscript"/>
        <sz val="14"/>
        <color theme="1"/>
        <rFont val="Arial"/>
        <family val="2"/>
        <scheme val="minor"/>
      </rPr>
      <t>w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</si>
  <si>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R</t>
    </r>
    <r>
      <rPr>
        <vertAlign val="subscript"/>
        <sz val="14"/>
        <color theme="1"/>
        <rFont val="Arial"/>
        <family val="2"/>
        <scheme val="minor"/>
      </rPr>
      <t xml:space="preserve">r </t>
    </r>
    <r>
      <rPr>
        <sz val="14"/>
        <color theme="1"/>
        <rFont val="Arial"/>
        <family val="2"/>
        <charset val="178"/>
        <scheme val="minor"/>
      </rPr>
      <t>=</t>
    </r>
  </si>
  <si>
    <r>
      <t>t</t>
    </r>
    <r>
      <rPr>
        <vertAlign val="subscript"/>
        <sz val="14"/>
        <color theme="1"/>
        <rFont val="Arial"/>
        <family val="2"/>
        <scheme val="minor"/>
      </rPr>
      <t>plate</t>
    </r>
    <r>
      <rPr>
        <sz val="14"/>
        <color theme="1"/>
        <rFont val="Arial"/>
        <family val="2"/>
        <charset val="178"/>
        <scheme val="minor"/>
      </rPr>
      <t xml:space="preserve"> =</t>
    </r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</si>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</sst>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1" formatCode="0.000"/>
  </numFmts>
  <fonts count="22" x14ac:knownFonts="1"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4"/>
      <color theme="1"/>
      <name val="Arial"/>
      <family val="2"/>
      <scheme val="minor"/>
    </font>
    <font>
      <sz val="14"/>
      <color rgb="FFFF0000"/>
      <name val="Arial"/>
      <family val="2"/>
      <charset val="178"/>
      <scheme val="minor"/>
    </font>
    <font>
      <vertAlign val="subscript"/>
      <sz val="14"/>
      <color theme="1"/>
      <name val="Arial"/>
      <family val="2"/>
      <scheme val="minor"/>
    </font>
    <font>
      <vertAlign val="superscript"/>
      <sz val="14"/>
      <color theme="1"/>
      <name val="Arial"/>
      <family val="2"/>
      <scheme val="minor"/>
    </font>
    <font>
      <b/>
      <sz val="14"/>
      <name val="Arial"/>
      <family val="2"/>
      <scheme val="minor"/>
    </font>
    <font>
      <b/>
      <vertAlign val="superscript"/>
      <sz val="14"/>
      <name val="Arial"/>
      <family val="2"/>
      <scheme val="minor"/>
    </font>
    <font>
      <b/>
      <vertAlign val="subscript"/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u/>
      <sz val="14"/>
      <color theme="1"/>
      <name val="Arial"/>
      <family val="2"/>
      <charset val="178"/>
      <scheme val="minor"/>
    </font>
    <font>
      <sz val="14"/>
      <color theme="1"/>
      <name val="Arial"/>
      <family val="2"/>
      <charset val="178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rgb="FFFF0000"/>
      <name val="Arial"/>
      <family val="2"/>
      <scheme val="minor"/>
    </font>
    <font>
      <u/>
      <sz val="14"/>
      <color theme="1"/>
      <name val="Arial"/>
      <family val="2"/>
      <scheme val="minor"/>
    </font>
    <font>
      <sz val="14"/>
      <color theme="0"/>
      <name val="Arial"/>
      <family val="2"/>
      <charset val="178"/>
      <scheme val="minor"/>
    </font>
    <font>
      <b/>
      <u/>
      <sz val="14"/>
      <color theme="1"/>
      <name val="Arial"/>
      <family val="2"/>
      <scheme val="minor"/>
    </font>
    <font>
      <b/>
      <vertAlign val="subscript"/>
      <sz val="14"/>
      <color theme="1"/>
      <name val="Calibri"/>
      <family val="2"/>
    </font>
    <font>
      <sz val="14"/>
      <color theme="0"/>
      <name val="Arial"/>
      <family val="2"/>
      <scheme val="minor"/>
    </font>
    <font>
      <sz val="14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 shrinkToFit="1"/>
    </xf>
    <xf numFmtId="164" fontId="10" fillId="0" borderId="1" xfId="0" applyNumberFormat="1" applyFont="1" applyFill="1" applyBorder="1" applyAlignment="1">
      <alignment horizontal="center" vertical="center" shrinkToFit="1"/>
    </xf>
    <xf numFmtId="2" fontId="10" fillId="0" borderId="1" xfId="0" applyNumberFormat="1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71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33"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277939</xdr:colOff>
      <xdr:row>26</xdr:row>
      <xdr:rowOff>101376</xdr:rowOff>
    </xdr:from>
    <xdr:ext cx="0" cy="0"/>
    <xdr:sp macro="" textlink="">
      <xdr:nvSpPr>
        <xdr:cNvPr id="2" name="Shape 1172">
          <a:extLst>
            <a:ext uri="{FF2B5EF4-FFF2-40B4-BE49-F238E27FC236}">
              <a16:creationId xmlns:a16="http://schemas.microsoft.com/office/drawing/2014/main" id="{4F318183-BE32-4A31-867F-2C5E41A4A789}"/>
            </a:ext>
          </a:extLst>
        </xdr:cNvPr>
        <xdr:cNvSpPr/>
      </xdr:nvSpPr>
      <xdr:spPr>
        <a:xfrm>
          <a:off x="13631989" y="6892701"/>
          <a:ext cx="0" cy="0"/>
        </a:xfrm>
        <a:custGeom>
          <a:avLst/>
          <a:gdLst/>
          <a:ahLst/>
          <a:cxnLst/>
          <a:rect l="0" t="0" r="0" b="0"/>
          <a:pathLst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19</xdr:col>
      <xdr:colOff>765619</xdr:colOff>
      <xdr:row>24</xdr:row>
      <xdr:rowOff>363124</xdr:rowOff>
    </xdr:from>
    <xdr:ext cx="7620" cy="0"/>
    <xdr:sp macro="" textlink="">
      <xdr:nvSpPr>
        <xdr:cNvPr id="3" name="Shape 1179">
          <a:extLst>
            <a:ext uri="{FF2B5EF4-FFF2-40B4-BE49-F238E27FC236}">
              <a16:creationId xmlns:a16="http://schemas.microsoft.com/office/drawing/2014/main" id="{C3620D0C-2B39-43BD-A5C6-6C2E4183968D}"/>
            </a:ext>
          </a:extLst>
        </xdr:cNvPr>
        <xdr:cNvSpPr/>
      </xdr:nvSpPr>
      <xdr:spPr>
        <a:xfrm>
          <a:off x="14729269" y="6525799"/>
          <a:ext cx="7620" cy="0"/>
        </a:xfrm>
        <a:custGeom>
          <a:avLst/>
          <a:gdLst/>
          <a:ahLst/>
          <a:cxnLst/>
          <a:rect l="0" t="0" r="0" b="0"/>
          <a:pathLst>
            <a:path w="7620">
              <a:moveTo>
                <a:pt x="4955928" y="-12927571"/>
              </a:moveTo>
              <a:lnTo>
                <a:pt x="4956031" y="-12927571"/>
              </a:lnTo>
            </a:path>
            <a:path w="7620">
              <a:moveTo>
                <a:pt x="4958805" y="-12927571"/>
              </a:moveTo>
              <a:lnTo>
                <a:pt x="4952949" y="-12927571"/>
              </a:lnTo>
              <a:lnTo>
                <a:pt x="4953052" y="-12927571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35DA-8412-41F6-A040-18DBFC78F4AE}">
  <sheetPr>
    <pageSetUpPr fitToPage="1"/>
  </sheetPr>
  <dimension ref="A1:AF47"/>
  <sheetViews>
    <sheetView showGridLines="0" tabSelected="1" zoomScaleNormal="100" zoomScaleSheetLayoutView="40" workbookViewId="0">
      <selection activeCell="B12" sqref="B12"/>
    </sheetView>
  </sheetViews>
  <sheetFormatPr defaultRowHeight="18" x14ac:dyDescent="0.2"/>
  <cols>
    <col min="1" max="1" width="12.875" style="3" customWidth="1"/>
    <col min="2" max="4" width="9" style="3"/>
    <col min="5" max="5" width="13.75" style="3" customWidth="1"/>
    <col min="6" max="6" width="9" style="3"/>
    <col min="7" max="7" width="11.5" style="3" customWidth="1"/>
    <col min="8" max="8" width="9" style="3"/>
    <col min="9" max="9" width="12.125" style="3" customWidth="1"/>
    <col min="10" max="11" width="9" style="3"/>
    <col min="12" max="12" width="12.625" style="3" customWidth="1"/>
    <col min="13" max="16384" width="9" style="3"/>
  </cols>
  <sheetData>
    <row r="1" spans="1:32" x14ac:dyDescent="0.2">
      <c r="A1" s="14">
        <v>37</v>
      </c>
      <c r="B1" s="14"/>
      <c r="C1" s="14" t="s">
        <v>0</v>
      </c>
      <c r="D1" s="14"/>
      <c r="E1" s="14">
        <v>0.1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5"/>
      <c r="V1" s="6" t="s">
        <v>36</v>
      </c>
      <c r="W1" s="6"/>
    </row>
    <row r="2" spans="1:32" x14ac:dyDescent="0.2">
      <c r="A2" s="14">
        <v>44</v>
      </c>
      <c r="B2" s="14"/>
      <c r="C2" s="14" t="s">
        <v>1</v>
      </c>
      <c r="D2" s="14"/>
      <c r="E2" s="14">
        <v>0.25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5"/>
      <c r="R2" s="7" t="s">
        <v>37</v>
      </c>
      <c r="S2" s="7" t="s">
        <v>38</v>
      </c>
      <c r="T2" s="7" t="s">
        <v>12</v>
      </c>
      <c r="U2" s="8" t="s">
        <v>39</v>
      </c>
      <c r="V2" s="8"/>
      <c r="W2" s="8"/>
      <c r="X2" s="8"/>
      <c r="Y2" s="8"/>
      <c r="Z2" s="8"/>
      <c r="AA2" s="8" t="s">
        <v>40</v>
      </c>
      <c r="AB2" s="8"/>
      <c r="AC2" s="8"/>
      <c r="AD2" s="8" t="s">
        <v>41</v>
      </c>
      <c r="AE2" s="8"/>
      <c r="AF2" s="8"/>
    </row>
    <row r="3" spans="1:32" ht="42" x14ac:dyDescent="0.2">
      <c r="A3" s="14">
        <v>52</v>
      </c>
      <c r="B3" s="14"/>
      <c r="C3" s="14" t="s">
        <v>2</v>
      </c>
      <c r="D3" s="14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5"/>
      <c r="R3" s="7" t="s">
        <v>42</v>
      </c>
      <c r="S3" s="7" t="s">
        <v>43</v>
      </c>
      <c r="T3" s="7" t="s">
        <v>44</v>
      </c>
      <c r="U3" s="7" t="s">
        <v>14</v>
      </c>
      <c r="V3" s="7" t="s">
        <v>16</v>
      </c>
      <c r="W3" s="7" t="s">
        <v>17</v>
      </c>
      <c r="X3" s="7" t="s">
        <v>45</v>
      </c>
      <c r="Y3" s="7" t="s">
        <v>19</v>
      </c>
      <c r="Z3" s="7" t="s">
        <v>20</v>
      </c>
      <c r="AA3" s="7" t="s">
        <v>46</v>
      </c>
      <c r="AB3" s="7" t="s">
        <v>47</v>
      </c>
      <c r="AC3" s="7" t="s">
        <v>48</v>
      </c>
      <c r="AD3" s="7" t="s">
        <v>49</v>
      </c>
      <c r="AE3" s="7" t="s">
        <v>50</v>
      </c>
      <c r="AF3" s="7" t="s">
        <v>51</v>
      </c>
    </row>
    <row r="4" spans="1:32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R4" s="9">
        <v>100</v>
      </c>
      <c r="S4" s="9">
        <v>26</v>
      </c>
      <c r="T4" s="10">
        <v>20.399999999999999</v>
      </c>
      <c r="U4" s="9">
        <v>100</v>
      </c>
      <c r="V4" s="9">
        <v>100</v>
      </c>
      <c r="W4" s="9">
        <v>6</v>
      </c>
      <c r="X4" s="9">
        <v>10</v>
      </c>
      <c r="Y4" s="9">
        <v>22</v>
      </c>
      <c r="Z4" s="9">
        <v>56</v>
      </c>
      <c r="AA4" s="9">
        <v>450</v>
      </c>
      <c r="AB4" s="10">
        <v>89.9</v>
      </c>
      <c r="AC4" s="11">
        <v>4.16</v>
      </c>
      <c r="AD4" s="9">
        <v>167</v>
      </c>
      <c r="AE4" s="10">
        <v>33.5</v>
      </c>
      <c r="AF4" s="11">
        <v>2.5299999999999998</v>
      </c>
    </row>
    <row r="5" spans="1:32" x14ac:dyDescent="0.2">
      <c r="A5" s="31" t="s">
        <v>3</v>
      </c>
      <c r="B5" s="16">
        <v>37</v>
      </c>
      <c r="C5" s="16"/>
      <c r="D5" s="13"/>
      <c r="E5" s="23" t="s">
        <v>52</v>
      </c>
      <c r="F5" s="17"/>
      <c r="G5" s="12"/>
      <c r="H5" s="12"/>
      <c r="I5" s="12"/>
      <c r="J5" s="12"/>
      <c r="K5" s="12"/>
      <c r="L5" s="13"/>
      <c r="M5" s="13"/>
      <c r="N5" s="13"/>
      <c r="O5" s="13"/>
      <c r="R5" s="9">
        <v>120</v>
      </c>
      <c r="S5" s="9">
        <v>34</v>
      </c>
      <c r="T5" s="10">
        <v>26.7</v>
      </c>
      <c r="U5" s="9">
        <v>120</v>
      </c>
      <c r="V5" s="9">
        <v>120</v>
      </c>
      <c r="W5" s="10">
        <v>6.5</v>
      </c>
      <c r="X5" s="9">
        <v>11</v>
      </c>
      <c r="Y5" s="9">
        <v>23</v>
      </c>
      <c r="Z5" s="9">
        <v>74</v>
      </c>
      <c r="AA5" s="9">
        <v>864</v>
      </c>
      <c r="AB5" s="9">
        <v>144</v>
      </c>
      <c r="AC5" s="11">
        <v>5.04</v>
      </c>
      <c r="AD5" s="9">
        <v>318</v>
      </c>
      <c r="AE5" s="10">
        <v>52.9</v>
      </c>
      <c r="AF5" s="11">
        <v>3.06</v>
      </c>
    </row>
    <row r="6" spans="1:32" ht="21" x14ac:dyDescent="0.2">
      <c r="A6" s="31" t="s">
        <v>4</v>
      </c>
      <c r="B6" s="12">
        <f>IF(B5=A1,2.4,IF(B5=A2,2.8,3.6))</f>
        <v>2.4</v>
      </c>
      <c r="C6" s="12" t="s">
        <v>5</v>
      </c>
      <c r="D6" s="13"/>
      <c r="E6" s="22" t="s">
        <v>53</v>
      </c>
      <c r="F6" s="12">
        <f>B16*10^-5</f>
        <v>9.3000000000000005E-4</v>
      </c>
      <c r="G6" s="12" t="s">
        <v>54</v>
      </c>
      <c r="H6" s="12"/>
      <c r="I6" s="12"/>
      <c r="J6" s="12"/>
      <c r="K6" s="12"/>
      <c r="L6" s="13"/>
      <c r="M6" s="13"/>
      <c r="N6" s="13"/>
      <c r="O6" s="13"/>
      <c r="R6" s="9">
        <v>140</v>
      </c>
      <c r="S6" s="9">
        <v>43</v>
      </c>
      <c r="T6" s="10">
        <v>33.700000000000003</v>
      </c>
      <c r="U6" s="9">
        <v>140</v>
      </c>
      <c r="V6" s="9">
        <v>140</v>
      </c>
      <c r="W6" s="9">
        <v>7</v>
      </c>
      <c r="X6" s="9">
        <v>12</v>
      </c>
      <c r="Y6" s="9">
        <v>24</v>
      </c>
      <c r="Z6" s="9">
        <v>92</v>
      </c>
      <c r="AA6" s="9">
        <v>1510</v>
      </c>
      <c r="AB6" s="9">
        <v>216</v>
      </c>
      <c r="AC6" s="11">
        <v>5.93</v>
      </c>
      <c r="AD6" s="9">
        <v>550</v>
      </c>
      <c r="AE6" s="10">
        <v>78.5</v>
      </c>
      <c r="AF6" s="11">
        <v>3.58</v>
      </c>
    </row>
    <row r="7" spans="1:32" ht="21" x14ac:dyDescent="0.2">
      <c r="A7" s="31" t="s">
        <v>6</v>
      </c>
      <c r="B7" s="12">
        <f>IF(B5=A1,3.7,IF(B5=A2,4.4,5.2))</f>
        <v>3.7</v>
      </c>
      <c r="C7" s="12" t="s">
        <v>5</v>
      </c>
      <c r="D7" s="13"/>
      <c r="E7" s="22" t="s">
        <v>55</v>
      </c>
      <c r="F7" s="12">
        <f>F6*((B9^2)/8)</f>
        <v>41.85</v>
      </c>
      <c r="G7" s="12" t="s">
        <v>56</v>
      </c>
      <c r="H7" s="12"/>
      <c r="I7" s="12"/>
      <c r="J7" s="12"/>
      <c r="K7" s="12"/>
      <c r="L7" s="13"/>
      <c r="M7" s="13"/>
      <c r="N7" s="13"/>
      <c r="O7" s="13"/>
      <c r="R7" s="9">
        <v>160</v>
      </c>
      <c r="S7" s="10">
        <v>54.3</v>
      </c>
      <c r="T7" s="10">
        <v>42.6</v>
      </c>
      <c r="U7" s="9">
        <v>160</v>
      </c>
      <c r="V7" s="9">
        <v>160</v>
      </c>
      <c r="W7" s="9">
        <v>8</v>
      </c>
      <c r="X7" s="9">
        <v>13</v>
      </c>
      <c r="Y7" s="9">
        <v>28</v>
      </c>
      <c r="Z7" s="9">
        <v>104</v>
      </c>
      <c r="AA7" s="9">
        <v>2490</v>
      </c>
      <c r="AB7" s="9">
        <v>311</v>
      </c>
      <c r="AC7" s="11">
        <v>6.78</v>
      </c>
      <c r="AD7" s="9">
        <v>889</v>
      </c>
      <c r="AE7" s="9">
        <v>111</v>
      </c>
      <c r="AF7" s="11">
        <v>4.05</v>
      </c>
    </row>
    <row r="8" spans="1:32" ht="21" x14ac:dyDescent="0.2">
      <c r="A8" s="32"/>
      <c r="B8" s="13"/>
      <c r="C8" s="13"/>
      <c r="D8" s="13"/>
      <c r="E8" s="22" t="s">
        <v>57</v>
      </c>
      <c r="F8" s="12">
        <f>F6*0.5*B9</f>
        <v>0.27900000000000003</v>
      </c>
      <c r="G8" s="12" t="s">
        <v>33</v>
      </c>
      <c r="H8" s="12"/>
      <c r="I8" s="17" t="s">
        <v>97</v>
      </c>
      <c r="J8" s="17"/>
      <c r="K8" s="17"/>
      <c r="L8" s="13"/>
      <c r="M8" s="13"/>
      <c r="N8" s="13"/>
      <c r="O8" s="13"/>
      <c r="R8" s="9">
        <v>180</v>
      </c>
      <c r="S8" s="10">
        <v>65.3</v>
      </c>
      <c r="T8" s="10">
        <v>51.2</v>
      </c>
      <c r="U8" s="9">
        <v>180</v>
      </c>
      <c r="V8" s="9">
        <v>180</v>
      </c>
      <c r="W8" s="10">
        <v>8.5</v>
      </c>
      <c r="X8" s="9">
        <v>14</v>
      </c>
      <c r="Y8" s="9">
        <v>29</v>
      </c>
      <c r="Z8" s="9">
        <v>122</v>
      </c>
      <c r="AA8" s="9">
        <v>3830</v>
      </c>
      <c r="AB8" s="9">
        <v>426</v>
      </c>
      <c r="AC8" s="11">
        <v>7.66</v>
      </c>
      <c r="AD8" s="9">
        <v>1360</v>
      </c>
      <c r="AE8" s="9">
        <v>151</v>
      </c>
      <c r="AF8" s="11">
        <v>4.57</v>
      </c>
    </row>
    <row r="9" spans="1:32" ht="21" x14ac:dyDescent="0.2">
      <c r="A9" s="31" t="s">
        <v>7</v>
      </c>
      <c r="B9" s="18">
        <v>600</v>
      </c>
      <c r="C9" s="12" t="s">
        <v>8</v>
      </c>
      <c r="D9" s="13"/>
      <c r="E9" s="22"/>
      <c r="F9" s="12"/>
      <c r="G9" s="12"/>
      <c r="H9" s="12"/>
      <c r="I9" s="12" t="s">
        <v>108</v>
      </c>
      <c r="J9" s="12">
        <f>1.2*F7+1.6*F11*(1+B10)</f>
        <v>950.22</v>
      </c>
      <c r="K9" s="12" t="s">
        <v>56</v>
      </c>
      <c r="L9" s="13"/>
      <c r="M9" s="13"/>
      <c r="N9" s="13"/>
      <c r="O9" s="13"/>
      <c r="R9" s="9">
        <v>200</v>
      </c>
      <c r="S9" s="10">
        <v>78.099999999999994</v>
      </c>
      <c r="T9" s="10">
        <v>61.3</v>
      </c>
      <c r="U9" s="9">
        <v>200</v>
      </c>
      <c r="V9" s="9">
        <v>200</v>
      </c>
      <c r="W9" s="9">
        <v>9</v>
      </c>
      <c r="X9" s="9">
        <v>15</v>
      </c>
      <c r="Y9" s="9">
        <v>33</v>
      </c>
      <c r="Z9" s="9">
        <v>134</v>
      </c>
      <c r="AA9" s="9">
        <v>5700</v>
      </c>
      <c r="AB9" s="9">
        <v>570</v>
      </c>
      <c r="AC9" s="11">
        <v>8.5399999999999991</v>
      </c>
      <c r="AD9" s="9">
        <v>2000</v>
      </c>
      <c r="AE9" s="9">
        <v>200</v>
      </c>
      <c r="AF9" s="11">
        <v>5.07</v>
      </c>
    </row>
    <row r="10" spans="1:32" ht="36.75" customHeight="1" x14ac:dyDescent="0.2">
      <c r="A10" s="31" t="s">
        <v>9</v>
      </c>
      <c r="B10" s="18">
        <v>0.25</v>
      </c>
      <c r="C10" s="12" t="s">
        <v>10</v>
      </c>
      <c r="D10" s="13"/>
      <c r="E10" s="23" t="s">
        <v>58</v>
      </c>
      <c r="F10" s="17"/>
      <c r="G10" s="12"/>
      <c r="H10" s="12"/>
      <c r="I10" s="12" t="s">
        <v>109</v>
      </c>
      <c r="J10" s="12">
        <f>1.6*0.1*F11</f>
        <v>72.000000000000014</v>
      </c>
      <c r="K10" s="12" t="s">
        <v>56</v>
      </c>
      <c r="L10" s="13"/>
      <c r="M10" s="13"/>
      <c r="N10" s="13"/>
      <c r="O10" s="13"/>
      <c r="R10" s="9">
        <v>220</v>
      </c>
      <c r="S10" s="9">
        <v>91</v>
      </c>
      <c r="T10" s="10">
        <v>71.5</v>
      </c>
      <c r="U10" s="9">
        <v>220</v>
      </c>
      <c r="V10" s="9">
        <v>220</v>
      </c>
      <c r="W10" s="10">
        <v>9.5</v>
      </c>
      <c r="X10" s="9">
        <v>16</v>
      </c>
      <c r="Y10" s="9">
        <v>34</v>
      </c>
      <c r="Z10" s="9">
        <v>152</v>
      </c>
      <c r="AA10" s="9">
        <v>8090</v>
      </c>
      <c r="AB10" s="9">
        <v>736</v>
      </c>
      <c r="AC10" s="11">
        <v>9.43</v>
      </c>
      <c r="AD10" s="9">
        <v>2840</v>
      </c>
      <c r="AE10" s="9">
        <v>258</v>
      </c>
      <c r="AF10" s="11">
        <v>5.59</v>
      </c>
    </row>
    <row r="11" spans="1:32" ht="24" customHeight="1" x14ac:dyDescent="0.2">
      <c r="A11" s="31" t="s">
        <v>32</v>
      </c>
      <c r="B11" s="18">
        <v>3</v>
      </c>
      <c r="C11" s="12" t="s">
        <v>33</v>
      </c>
      <c r="D11" s="13"/>
      <c r="E11" s="22" t="s">
        <v>59</v>
      </c>
      <c r="F11" s="12">
        <f>B11*0.25*B9</f>
        <v>450</v>
      </c>
      <c r="G11" s="12" t="s">
        <v>56</v>
      </c>
      <c r="H11" s="12"/>
      <c r="I11" s="12" t="s">
        <v>110</v>
      </c>
      <c r="J11" s="12">
        <f>1.2*F8+1.6*F12*(1+B10)</f>
        <v>6.3348000000000013</v>
      </c>
      <c r="K11" s="12" t="s">
        <v>33</v>
      </c>
      <c r="L11" s="13"/>
      <c r="M11" s="13"/>
      <c r="N11" s="13"/>
      <c r="O11" s="13"/>
      <c r="R11" s="9">
        <v>240</v>
      </c>
      <c r="S11" s="9">
        <v>106</v>
      </c>
      <c r="T11" s="10">
        <v>83.2</v>
      </c>
      <c r="U11" s="9">
        <v>240</v>
      </c>
      <c r="V11" s="9">
        <v>240</v>
      </c>
      <c r="W11" s="9">
        <v>10</v>
      </c>
      <c r="X11" s="9">
        <v>17</v>
      </c>
      <c r="Y11" s="9">
        <v>38</v>
      </c>
      <c r="Z11" s="9">
        <v>164</v>
      </c>
      <c r="AA11" s="9">
        <v>11260</v>
      </c>
      <c r="AB11" s="9">
        <v>938</v>
      </c>
      <c r="AC11" s="10">
        <v>10.3</v>
      </c>
      <c r="AD11" s="9">
        <v>3920</v>
      </c>
      <c r="AE11" s="9">
        <v>327</v>
      </c>
      <c r="AF11" s="11">
        <v>6.08</v>
      </c>
    </row>
    <row r="12" spans="1:32" ht="21" x14ac:dyDescent="0.2">
      <c r="A12" s="31" t="s">
        <v>34</v>
      </c>
      <c r="B12" s="18">
        <v>5</v>
      </c>
      <c r="C12" s="12" t="s">
        <v>8</v>
      </c>
      <c r="D12" s="13"/>
      <c r="E12" s="22" t="s">
        <v>60</v>
      </c>
      <c r="F12" s="12">
        <f>B11</f>
        <v>3</v>
      </c>
      <c r="G12" s="12" t="s">
        <v>33</v>
      </c>
      <c r="H12" s="12"/>
      <c r="I12" s="12"/>
      <c r="J12" s="12"/>
      <c r="K12" s="12"/>
      <c r="L12" s="13"/>
      <c r="M12" s="13"/>
      <c r="N12" s="13"/>
      <c r="O12" s="13"/>
      <c r="R12" s="9">
        <v>260</v>
      </c>
      <c r="S12" s="9">
        <v>118</v>
      </c>
      <c r="T12" s="9">
        <v>93</v>
      </c>
      <c r="U12" s="9">
        <v>260</v>
      </c>
      <c r="V12" s="9">
        <v>260</v>
      </c>
      <c r="W12" s="9">
        <v>10</v>
      </c>
      <c r="X12" s="10">
        <v>17.5</v>
      </c>
      <c r="Y12" s="10">
        <v>41.5</v>
      </c>
      <c r="Z12" s="9">
        <v>177</v>
      </c>
      <c r="AA12" s="9">
        <v>14920</v>
      </c>
      <c r="AB12" s="9">
        <v>1150</v>
      </c>
      <c r="AC12" s="10">
        <v>11.2</v>
      </c>
      <c r="AD12" s="9">
        <v>5130</v>
      </c>
      <c r="AE12" s="9">
        <v>395</v>
      </c>
      <c r="AF12" s="11">
        <v>6.58</v>
      </c>
    </row>
    <row r="13" spans="1:32" ht="21" x14ac:dyDescent="0.2">
      <c r="A13" s="31" t="s">
        <v>35</v>
      </c>
      <c r="B13" s="18">
        <v>30</v>
      </c>
      <c r="C13" s="12" t="s">
        <v>8</v>
      </c>
      <c r="D13" s="13"/>
      <c r="E13" s="24"/>
      <c r="F13" s="25"/>
      <c r="G13" s="25"/>
      <c r="H13" s="25"/>
      <c r="I13" s="25"/>
      <c r="J13" s="25"/>
      <c r="K13" s="25"/>
      <c r="L13" s="13"/>
      <c r="M13" s="13"/>
      <c r="N13" s="13"/>
      <c r="O13" s="13"/>
      <c r="R13" s="9">
        <v>280</v>
      </c>
      <c r="S13" s="9">
        <v>131</v>
      </c>
      <c r="T13" s="9">
        <v>103</v>
      </c>
      <c r="U13" s="9">
        <v>280</v>
      </c>
      <c r="V13" s="9">
        <v>280</v>
      </c>
      <c r="W13" s="10">
        <v>10.5</v>
      </c>
      <c r="X13" s="9">
        <v>18</v>
      </c>
      <c r="Y13" s="9">
        <v>42</v>
      </c>
      <c r="Z13" s="9">
        <v>196</v>
      </c>
      <c r="AA13" s="9">
        <v>19270</v>
      </c>
      <c r="AB13" s="9">
        <v>1380</v>
      </c>
      <c r="AC13" s="10">
        <v>12.1</v>
      </c>
      <c r="AD13" s="9">
        <v>6590</v>
      </c>
      <c r="AE13" s="9">
        <v>471</v>
      </c>
      <c r="AF13" s="11">
        <v>7.09</v>
      </c>
    </row>
    <row r="14" spans="1:32" x14ac:dyDescent="0.2">
      <c r="A14" s="3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R14" s="9">
        <v>300</v>
      </c>
      <c r="S14" s="9">
        <v>149</v>
      </c>
      <c r="T14" s="9">
        <v>117</v>
      </c>
      <c r="U14" s="9">
        <v>300</v>
      </c>
      <c r="V14" s="9">
        <v>300</v>
      </c>
      <c r="W14" s="9">
        <v>11</v>
      </c>
      <c r="X14" s="9">
        <v>19</v>
      </c>
      <c r="Y14" s="9">
        <v>46</v>
      </c>
      <c r="Z14" s="9">
        <v>208</v>
      </c>
      <c r="AA14" s="9">
        <v>25170</v>
      </c>
      <c r="AB14" s="9">
        <v>1680</v>
      </c>
      <c r="AC14" s="9">
        <v>13</v>
      </c>
      <c r="AD14" s="9">
        <v>8560</v>
      </c>
      <c r="AE14" s="9">
        <v>571</v>
      </c>
      <c r="AF14" s="11">
        <v>7.58</v>
      </c>
    </row>
    <row r="15" spans="1:32" x14ac:dyDescent="0.2">
      <c r="A15" s="31" t="s">
        <v>36</v>
      </c>
      <c r="B15" s="16">
        <v>260</v>
      </c>
      <c r="C15" s="16"/>
      <c r="D15" s="13"/>
      <c r="F15" s="26"/>
      <c r="G15" s="12"/>
      <c r="H15" s="12"/>
      <c r="I15" s="12"/>
      <c r="J15" s="12"/>
      <c r="K15" s="12"/>
      <c r="L15" s="12"/>
      <c r="M15" s="13"/>
      <c r="N15" s="13"/>
      <c r="O15" s="13"/>
      <c r="R15" s="9">
        <v>320</v>
      </c>
      <c r="S15" s="9">
        <v>161</v>
      </c>
      <c r="T15" s="9">
        <v>127</v>
      </c>
      <c r="U15" s="9">
        <v>320</v>
      </c>
      <c r="V15" s="9">
        <v>300</v>
      </c>
      <c r="W15" s="10">
        <v>11.5</v>
      </c>
      <c r="X15" s="10">
        <v>20.5</v>
      </c>
      <c r="Y15" s="10">
        <v>47.5</v>
      </c>
      <c r="Z15" s="9">
        <v>225</v>
      </c>
      <c r="AA15" s="9">
        <v>30820</v>
      </c>
      <c r="AB15" s="9">
        <v>1930</v>
      </c>
      <c r="AC15" s="10">
        <v>13.8</v>
      </c>
      <c r="AD15" s="9">
        <v>9240</v>
      </c>
      <c r="AE15" s="9">
        <v>616</v>
      </c>
      <c r="AF15" s="11">
        <v>7.57</v>
      </c>
    </row>
    <row r="16" spans="1:32" x14ac:dyDescent="0.2">
      <c r="A16" s="31" t="s">
        <v>12</v>
      </c>
      <c r="B16" s="12">
        <f>VLOOKUP(B15,table1,3,FALSE)</f>
        <v>93</v>
      </c>
      <c r="C16" s="12" t="s">
        <v>13</v>
      </c>
      <c r="D16" s="13"/>
      <c r="E16" s="26"/>
      <c r="F16" s="26"/>
      <c r="G16" s="12"/>
      <c r="H16" s="12"/>
      <c r="I16" s="12"/>
      <c r="J16" s="12"/>
      <c r="K16" s="12"/>
      <c r="L16" s="12"/>
      <c r="M16" s="13"/>
      <c r="N16" s="13"/>
      <c r="O16" s="13"/>
      <c r="R16" s="9">
        <v>340</v>
      </c>
      <c r="S16" s="9">
        <v>171</v>
      </c>
      <c r="T16" s="9">
        <v>134</v>
      </c>
      <c r="U16" s="9">
        <v>340</v>
      </c>
      <c r="V16" s="9">
        <v>300</v>
      </c>
      <c r="W16" s="9">
        <v>12</v>
      </c>
      <c r="X16" s="10">
        <v>21.5</v>
      </c>
      <c r="Y16" s="10">
        <v>48.5</v>
      </c>
      <c r="Z16" s="9">
        <v>243</v>
      </c>
      <c r="AA16" s="9">
        <v>36660</v>
      </c>
      <c r="AB16" s="9">
        <v>2160</v>
      </c>
      <c r="AC16" s="10">
        <v>14.6</v>
      </c>
      <c r="AD16" s="9">
        <v>9690</v>
      </c>
      <c r="AE16" s="9">
        <v>646</v>
      </c>
      <c r="AF16" s="11">
        <v>7.53</v>
      </c>
    </row>
    <row r="17" spans="1:32" x14ac:dyDescent="0.2">
      <c r="A17" s="31" t="s">
        <v>14</v>
      </c>
      <c r="B17" s="12">
        <f>VLOOKUP(B15,table1,4,FALSE)</f>
        <v>260</v>
      </c>
      <c r="C17" s="12" t="s">
        <v>15</v>
      </c>
      <c r="D17" s="13"/>
      <c r="E17" s="27" t="s">
        <v>61</v>
      </c>
      <c r="F17" s="27"/>
      <c r="G17" s="12"/>
      <c r="H17" s="12"/>
      <c r="I17" s="12"/>
      <c r="J17" s="12"/>
      <c r="K17" s="12"/>
      <c r="L17" s="12"/>
      <c r="M17" s="13"/>
      <c r="N17" s="13"/>
      <c r="O17" s="13"/>
      <c r="R17" s="9">
        <v>360</v>
      </c>
      <c r="S17" s="9">
        <v>181</v>
      </c>
      <c r="T17" s="9">
        <v>142</v>
      </c>
      <c r="U17" s="9">
        <v>360</v>
      </c>
      <c r="V17" s="9">
        <v>300</v>
      </c>
      <c r="W17" s="10">
        <v>12.5</v>
      </c>
      <c r="X17" s="10">
        <v>22.5</v>
      </c>
      <c r="Y17" s="10">
        <v>49.5</v>
      </c>
      <c r="Z17" s="9">
        <v>261</v>
      </c>
      <c r="AA17" s="9">
        <v>43190</v>
      </c>
      <c r="AB17" s="9">
        <v>2400</v>
      </c>
      <c r="AC17" s="10">
        <v>15.6</v>
      </c>
      <c r="AD17" s="9">
        <v>10140</v>
      </c>
      <c r="AE17" s="9">
        <v>676</v>
      </c>
      <c r="AF17" s="11">
        <v>7.49</v>
      </c>
    </row>
    <row r="18" spans="1:32" x14ac:dyDescent="0.2">
      <c r="A18" s="31" t="s">
        <v>16</v>
      </c>
      <c r="B18" s="12">
        <f>VLOOKUP(B15,table1,5,FALSE)</f>
        <v>260</v>
      </c>
      <c r="C18" s="12" t="s">
        <v>15</v>
      </c>
      <c r="D18" s="13"/>
      <c r="E18" s="17" t="s">
        <v>62</v>
      </c>
      <c r="F18" s="17"/>
      <c r="G18" s="12"/>
      <c r="H18" s="12"/>
      <c r="J18" s="12"/>
      <c r="K18" s="12"/>
      <c r="L18" s="12"/>
      <c r="M18" s="13"/>
      <c r="N18" s="13"/>
      <c r="O18" s="13"/>
      <c r="R18" s="9">
        <v>400</v>
      </c>
      <c r="S18" s="9">
        <v>198</v>
      </c>
      <c r="T18" s="9">
        <v>155</v>
      </c>
      <c r="U18" s="9">
        <v>400</v>
      </c>
      <c r="V18" s="9">
        <v>300</v>
      </c>
      <c r="W18" s="10">
        <v>13.5</v>
      </c>
      <c r="X18" s="9">
        <v>24</v>
      </c>
      <c r="Y18" s="9">
        <v>51</v>
      </c>
      <c r="Z18" s="9">
        <v>298</v>
      </c>
      <c r="AA18" s="9">
        <v>57680</v>
      </c>
      <c r="AB18" s="9">
        <v>2880</v>
      </c>
      <c r="AC18" s="10">
        <v>17.100000000000001</v>
      </c>
      <c r="AD18" s="9">
        <v>10820</v>
      </c>
      <c r="AE18" s="9">
        <v>721</v>
      </c>
      <c r="AF18" s="10">
        <v>7.4</v>
      </c>
    </row>
    <row r="19" spans="1:32" x14ac:dyDescent="0.2">
      <c r="A19" s="31" t="s">
        <v>17</v>
      </c>
      <c r="B19" s="12">
        <f>VLOOKUP(B15,table1,6,FALSE)</f>
        <v>10</v>
      </c>
      <c r="C19" s="12" t="s">
        <v>15</v>
      </c>
      <c r="D19" s="13"/>
      <c r="E19" s="12" t="s">
        <v>63</v>
      </c>
      <c r="F19" s="12">
        <f>B22/B19</f>
        <v>17.7</v>
      </c>
      <c r="G19" s="12" t="str">
        <f>IF(F19&lt;127/SQRT(B6),C1,C2)</f>
        <v>Compact</v>
      </c>
      <c r="H19" s="15" t="s">
        <v>64</v>
      </c>
      <c r="I19" s="15" t="str">
        <f>IF(AND(G19=C1,G20=C1),C1,C2)</f>
        <v>Compact</v>
      </c>
      <c r="J19" s="15" t="s">
        <v>11</v>
      </c>
      <c r="M19" s="13"/>
      <c r="N19" s="13"/>
      <c r="O19" s="13"/>
      <c r="R19" s="9">
        <v>450</v>
      </c>
      <c r="S19" s="9">
        <v>218</v>
      </c>
      <c r="T19" s="9">
        <v>171</v>
      </c>
      <c r="U19" s="9">
        <v>450</v>
      </c>
      <c r="V19" s="9">
        <v>300</v>
      </c>
      <c r="W19" s="9">
        <v>14</v>
      </c>
      <c r="X19" s="9">
        <v>26</v>
      </c>
      <c r="Y19" s="9">
        <v>53</v>
      </c>
      <c r="Z19" s="9">
        <v>344</v>
      </c>
      <c r="AA19" s="9">
        <v>79890</v>
      </c>
      <c r="AB19" s="9">
        <v>3550</v>
      </c>
      <c r="AC19" s="10">
        <v>19.100000000000001</v>
      </c>
      <c r="AD19" s="9">
        <v>11720</v>
      </c>
      <c r="AE19" s="9">
        <v>781</v>
      </c>
      <c r="AF19" s="11">
        <v>7.33</v>
      </c>
    </row>
    <row r="20" spans="1:32" x14ac:dyDescent="0.2">
      <c r="A20" s="31" t="s">
        <v>18</v>
      </c>
      <c r="B20" s="12">
        <f>VLOOKUP(B15,table1,7,FALSE)</f>
        <v>17.5</v>
      </c>
      <c r="C20" s="12" t="s">
        <v>15</v>
      </c>
      <c r="D20" s="13"/>
      <c r="E20" s="12" t="s">
        <v>65</v>
      </c>
      <c r="F20" s="12">
        <f>(B18-B19-2*B20)/(2*B20)</f>
        <v>6.1428571428571432</v>
      </c>
      <c r="G20" s="12" t="str">
        <f>IF(F20&lt;=16.9/SQRT(B6),C1,C2)</f>
        <v>Compact</v>
      </c>
      <c r="H20" s="15"/>
      <c r="I20" s="15"/>
      <c r="J20" s="15"/>
      <c r="K20" s="29"/>
      <c r="L20" s="29"/>
      <c r="M20" s="13"/>
      <c r="N20" s="13"/>
      <c r="O20" s="13"/>
      <c r="R20" s="9">
        <v>500</v>
      </c>
      <c r="S20" s="9">
        <v>239</v>
      </c>
      <c r="T20" s="9">
        <v>187</v>
      </c>
      <c r="U20" s="9">
        <v>500</v>
      </c>
      <c r="V20" s="9">
        <v>300</v>
      </c>
      <c r="W20" s="10">
        <v>14.5</v>
      </c>
      <c r="X20" s="9">
        <v>28</v>
      </c>
      <c r="Y20" s="9">
        <v>655</v>
      </c>
      <c r="Z20" s="9">
        <v>390</v>
      </c>
      <c r="AA20" s="9">
        <v>107200</v>
      </c>
      <c r="AB20" s="9">
        <v>4290</v>
      </c>
      <c r="AC20" s="10">
        <v>21.2</v>
      </c>
      <c r="AD20" s="9">
        <v>12620</v>
      </c>
      <c r="AE20" s="9">
        <v>842</v>
      </c>
      <c r="AF20" s="11">
        <v>7.27</v>
      </c>
    </row>
    <row r="21" spans="1:32" x14ac:dyDescent="0.2">
      <c r="A21" s="31" t="s">
        <v>19</v>
      </c>
      <c r="B21" s="12">
        <f>VLOOKUP(B15,table1,8,FALSE)</f>
        <v>41.5</v>
      </c>
      <c r="C21" s="12" t="s">
        <v>15</v>
      </c>
      <c r="D21" s="13"/>
      <c r="E21" s="12"/>
      <c r="F21" s="12"/>
      <c r="G21" s="12"/>
      <c r="H21" s="12"/>
      <c r="I21" s="12"/>
      <c r="J21" s="12"/>
      <c r="K21" s="12"/>
      <c r="L21" s="12"/>
      <c r="M21" s="13"/>
      <c r="N21" s="13"/>
      <c r="O21" s="13"/>
      <c r="R21" s="9">
        <v>550</v>
      </c>
      <c r="S21" s="9">
        <v>254</v>
      </c>
      <c r="T21" s="9">
        <v>199</v>
      </c>
      <c r="U21" s="9">
        <v>550</v>
      </c>
      <c r="V21" s="9">
        <v>300</v>
      </c>
      <c r="W21" s="9">
        <v>15</v>
      </c>
      <c r="X21" s="9">
        <v>29</v>
      </c>
      <c r="Y21" s="9">
        <v>56</v>
      </c>
      <c r="Z21" s="9">
        <v>438</v>
      </c>
      <c r="AA21" s="9">
        <v>136700</v>
      </c>
      <c r="AB21" s="9">
        <v>4970</v>
      </c>
      <c r="AC21" s="10">
        <v>23.2</v>
      </c>
      <c r="AD21" s="9">
        <v>13080</v>
      </c>
      <c r="AE21" s="9">
        <v>872</v>
      </c>
      <c r="AF21" s="11">
        <v>7.17</v>
      </c>
    </row>
    <row r="22" spans="1:32" x14ac:dyDescent="0.2">
      <c r="A22" s="31" t="s">
        <v>20</v>
      </c>
      <c r="B22" s="12">
        <f>VLOOKUP(B15,table1,9,FALSE)</f>
        <v>177</v>
      </c>
      <c r="C22" s="12" t="s">
        <v>15</v>
      </c>
      <c r="D22" s="13"/>
      <c r="E22" s="17" t="s">
        <v>66</v>
      </c>
      <c r="F22" s="17"/>
      <c r="G22" s="12"/>
      <c r="H22" s="12"/>
      <c r="I22" s="12"/>
      <c r="M22" s="13"/>
      <c r="N22" s="13"/>
      <c r="O22" s="13"/>
      <c r="R22" s="9">
        <v>600</v>
      </c>
      <c r="S22" s="9">
        <v>270</v>
      </c>
      <c r="T22" s="9">
        <v>212</v>
      </c>
      <c r="U22" s="9">
        <v>600</v>
      </c>
      <c r="V22" s="9">
        <v>300</v>
      </c>
      <c r="W22" s="10">
        <v>15.5</v>
      </c>
      <c r="X22" s="9">
        <v>30</v>
      </c>
      <c r="Y22" s="9">
        <v>57</v>
      </c>
      <c r="Z22" s="9">
        <v>486</v>
      </c>
      <c r="AA22" s="9">
        <v>171000</v>
      </c>
      <c r="AB22" s="9">
        <v>5700</v>
      </c>
      <c r="AC22" s="10">
        <v>25.2</v>
      </c>
      <c r="AD22" s="9">
        <v>13530</v>
      </c>
      <c r="AE22" s="9">
        <v>902</v>
      </c>
      <c r="AF22" s="11">
        <v>7.08</v>
      </c>
    </row>
    <row r="23" spans="1:32" ht="21" x14ac:dyDescent="0.2">
      <c r="A23" s="31"/>
      <c r="B23" s="12"/>
      <c r="C23" s="12"/>
      <c r="D23" s="13"/>
      <c r="E23" s="12" t="s">
        <v>67</v>
      </c>
      <c r="F23" s="12" t="s">
        <v>68</v>
      </c>
      <c r="G23" s="12">
        <f>ROUND(K23,0)</f>
        <v>3119</v>
      </c>
      <c r="H23" s="12" t="s">
        <v>56</v>
      </c>
      <c r="I23" s="15" t="s">
        <v>64</v>
      </c>
      <c r="J23" s="12" t="s">
        <v>69</v>
      </c>
      <c r="K23" s="12">
        <f>B28*B6</f>
        <v>3118.7999999999993</v>
      </c>
      <c r="L23" s="12" t="s">
        <v>56</v>
      </c>
      <c r="M23" s="13"/>
      <c r="N23" s="13"/>
      <c r="O23" s="13"/>
      <c r="R23" s="9">
        <v>650</v>
      </c>
      <c r="S23" s="9">
        <v>286</v>
      </c>
      <c r="T23" s="9">
        <v>225</v>
      </c>
      <c r="U23" s="9">
        <v>650</v>
      </c>
      <c r="V23" s="9">
        <v>300</v>
      </c>
      <c r="W23" s="9">
        <v>16</v>
      </c>
      <c r="X23" s="9">
        <v>31</v>
      </c>
      <c r="Y23" s="9">
        <v>58</v>
      </c>
      <c r="Z23" s="9">
        <v>534</v>
      </c>
      <c r="AA23" s="9">
        <v>210600</v>
      </c>
      <c r="AB23" s="9">
        <v>6480</v>
      </c>
      <c r="AC23" s="10">
        <v>27.1</v>
      </c>
      <c r="AD23" s="9">
        <v>13980</v>
      </c>
      <c r="AE23" s="9">
        <v>932</v>
      </c>
      <c r="AF23" s="11">
        <v>6.99</v>
      </c>
    </row>
    <row r="24" spans="1:32" ht="21" x14ac:dyDescent="0.2">
      <c r="A24" s="31"/>
      <c r="B24" s="12"/>
      <c r="C24" s="12"/>
      <c r="D24" s="13"/>
      <c r="E24" s="12" t="s">
        <v>70</v>
      </c>
      <c r="F24" s="12" t="s">
        <v>68</v>
      </c>
      <c r="G24" s="12">
        <f>ROUND(B35*(K23-(K23-0.75*B6*B27)*((B9-B31)/(B34-B31))),0)</f>
        <v>3864</v>
      </c>
      <c r="H24" s="12" t="s">
        <v>56</v>
      </c>
      <c r="I24" s="15"/>
      <c r="J24" s="12" t="s">
        <v>71</v>
      </c>
      <c r="K24" s="13">
        <f>MIN(IF(B9&lt;=B31,G23,IF(AND(B9&gt;B31,B9&lt;=B34),G24,G25)),K23)</f>
        <v>3118.7999999999993</v>
      </c>
      <c r="L24" s="12" t="s">
        <v>56</v>
      </c>
      <c r="M24" s="13"/>
      <c r="N24" s="13"/>
      <c r="O24" s="13"/>
      <c r="R24" s="9">
        <v>700</v>
      </c>
      <c r="S24" s="9">
        <v>306</v>
      </c>
      <c r="T24" s="9">
        <v>241</v>
      </c>
      <c r="U24" s="9">
        <v>700</v>
      </c>
      <c r="V24" s="9">
        <v>300</v>
      </c>
      <c r="W24" s="9">
        <v>17</v>
      </c>
      <c r="X24" s="9">
        <v>32</v>
      </c>
      <c r="Y24" s="9">
        <v>59</v>
      </c>
      <c r="Z24" s="9">
        <v>582</v>
      </c>
      <c r="AA24" s="9">
        <v>256900</v>
      </c>
      <c r="AB24" s="9">
        <v>7340</v>
      </c>
      <c r="AC24" s="9">
        <v>29</v>
      </c>
      <c r="AD24" s="9">
        <v>14440</v>
      </c>
      <c r="AE24" s="9">
        <v>963</v>
      </c>
      <c r="AF24" s="11">
        <v>6.87</v>
      </c>
    </row>
    <row r="25" spans="1:32" ht="21" x14ac:dyDescent="0.2">
      <c r="A25" s="30" t="s">
        <v>111</v>
      </c>
      <c r="B25" s="30"/>
      <c r="C25" s="30"/>
      <c r="D25" s="13"/>
      <c r="E25" s="12" t="s">
        <v>72</v>
      </c>
      <c r="F25" s="12" t="s">
        <v>68</v>
      </c>
      <c r="G25" s="12">
        <f>ROUND(B27*SQRT(((1380*0.1*B18*0.1*B20)/(0.1*B17*B9))^2+(20700/(B9/B32)^2)^2),0)</f>
        <v>5766</v>
      </c>
      <c r="H25" s="12" t="s">
        <v>56</v>
      </c>
      <c r="I25" s="15"/>
      <c r="J25" s="12" t="s">
        <v>73</v>
      </c>
      <c r="K25" s="12">
        <f>1.5*0.5*B30*B6</f>
        <v>711</v>
      </c>
      <c r="L25" s="12" t="s">
        <v>56</v>
      </c>
      <c r="M25" s="12"/>
      <c r="N25" s="12"/>
      <c r="O25" s="12"/>
      <c r="R25" s="9">
        <v>800</v>
      </c>
      <c r="S25" s="9">
        <v>334</v>
      </c>
      <c r="T25" s="9">
        <v>262</v>
      </c>
      <c r="U25" s="9">
        <v>800</v>
      </c>
      <c r="V25" s="9">
        <v>300</v>
      </c>
      <c r="W25" s="10">
        <v>17.5</v>
      </c>
      <c r="X25" s="9">
        <v>33</v>
      </c>
      <c r="Y25" s="9">
        <v>63</v>
      </c>
      <c r="Z25" s="9">
        <v>674</v>
      </c>
      <c r="AA25" s="9">
        <v>359100</v>
      </c>
      <c r="AB25" s="9">
        <v>9890</v>
      </c>
      <c r="AC25" s="10">
        <v>32.799999999999997</v>
      </c>
      <c r="AD25" s="9">
        <v>14900</v>
      </c>
      <c r="AE25" s="9">
        <v>994</v>
      </c>
      <c r="AF25" s="11">
        <v>6.68</v>
      </c>
    </row>
    <row r="26" spans="1:32" ht="21" x14ac:dyDescent="0.2">
      <c r="A26" s="31" t="s">
        <v>21</v>
      </c>
      <c r="B26" s="12">
        <f>VLOOKUP(B15,table1,10,FALSE)</f>
        <v>14920</v>
      </c>
      <c r="C26" s="12" t="s">
        <v>22</v>
      </c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R26" s="9">
        <v>900</v>
      </c>
      <c r="S26" s="9">
        <v>371</v>
      </c>
      <c r="T26" s="9">
        <v>291</v>
      </c>
      <c r="U26" s="9">
        <v>900</v>
      </c>
      <c r="V26" s="9">
        <v>300</v>
      </c>
      <c r="W26" s="10">
        <v>18.5</v>
      </c>
      <c r="X26" s="9">
        <v>35</v>
      </c>
      <c r="Y26" s="9">
        <v>65</v>
      </c>
      <c r="Z26" s="9">
        <v>770</v>
      </c>
      <c r="AA26" s="9">
        <v>494100</v>
      </c>
      <c r="AB26" s="9">
        <v>10980</v>
      </c>
      <c r="AC26" s="10">
        <v>36.5</v>
      </c>
      <c r="AD26" s="9">
        <v>15820</v>
      </c>
      <c r="AE26" s="9">
        <v>1050</v>
      </c>
      <c r="AF26" s="11">
        <v>6.53</v>
      </c>
    </row>
    <row r="27" spans="1:32" ht="21" x14ac:dyDescent="0.2">
      <c r="A27" s="31" t="s">
        <v>23</v>
      </c>
      <c r="B27" s="12">
        <f>VLOOKUP(B15,table1,11,FALSE)</f>
        <v>1150</v>
      </c>
      <c r="C27" s="12" t="s">
        <v>24</v>
      </c>
      <c r="D27" s="13"/>
      <c r="E27" s="15" t="s">
        <v>74</v>
      </c>
      <c r="F27" s="15"/>
      <c r="G27" s="12">
        <f>J9/(0.85*K24)</f>
        <v>0.35844102935518196</v>
      </c>
      <c r="H27" s="12" t="str">
        <f>IF(G27&lt;=1,"Safe","Unsafe")</f>
        <v>Safe</v>
      </c>
      <c r="I27" s="12"/>
      <c r="J27" s="12"/>
      <c r="K27" s="12"/>
      <c r="L27" s="12"/>
      <c r="M27" s="12"/>
      <c r="N27" s="12"/>
      <c r="O27" s="12"/>
      <c r="R27" s="9">
        <v>1000</v>
      </c>
      <c r="S27" s="9">
        <v>400</v>
      </c>
      <c r="T27" s="9">
        <v>314</v>
      </c>
      <c r="U27" s="9">
        <v>1000</v>
      </c>
      <c r="V27" s="9">
        <v>300</v>
      </c>
      <c r="W27" s="9">
        <v>19</v>
      </c>
      <c r="X27" s="9">
        <v>36</v>
      </c>
      <c r="Y27" s="9">
        <v>66</v>
      </c>
      <c r="Z27" s="9">
        <v>868</v>
      </c>
      <c r="AA27" s="9">
        <v>644700</v>
      </c>
      <c r="AB27" s="9">
        <v>12890</v>
      </c>
      <c r="AC27" s="10">
        <v>40.1</v>
      </c>
      <c r="AD27" s="9">
        <v>16280</v>
      </c>
      <c r="AE27" s="9">
        <v>1090</v>
      </c>
      <c r="AF27" s="11">
        <v>6.38</v>
      </c>
    </row>
    <row r="28" spans="1:32" ht="21" x14ac:dyDescent="0.2">
      <c r="A28" s="31" t="s">
        <v>25</v>
      </c>
      <c r="B28" s="12">
        <f>1.13*B27</f>
        <v>1299.4999999999998</v>
      </c>
      <c r="C28" s="12" t="s">
        <v>24</v>
      </c>
      <c r="D28" s="13"/>
      <c r="E28" s="15" t="s">
        <v>75</v>
      </c>
      <c r="F28" s="15"/>
      <c r="G28" s="12">
        <f>(J9/(0.85*K23))+(J10/(0.85*K25))</f>
        <v>0.47757729145495859</v>
      </c>
      <c r="H28" s="28" t="str">
        <f>IF(G28&lt;=1,"Safe","Unsafe")</f>
        <v>Safe</v>
      </c>
      <c r="I28" s="12"/>
      <c r="J28" s="12"/>
      <c r="K28" s="12"/>
      <c r="L28" s="12"/>
      <c r="M28" s="12"/>
      <c r="N28" s="12"/>
      <c r="O28" s="12"/>
    </row>
    <row r="29" spans="1:32" ht="21" x14ac:dyDescent="0.2">
      <c r="A29" s="31" t="s">
        <v>26</v>
      </c>
      <c r="B29" s="12">
        <f>VLOOKUP(B15,table1,15,FALSE)</f>
        <v>6.58</v>
      </c>
      <c r="C29" s="12" t="s">
        <v>8</v>
      </c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32" ht="21" x14ac:dyDescent="0.2">
      <c r="A30" s="31" t="s">
        <v>27</v>
      </c>
      <c r="B30" s="12">
        <f>VLOOKUP(B15,table1,14,FALSE)</f>
        <v>395</v>
      </c>
      <c r="C30" s="12" t="s">
        <v>24</v>
      </c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32" ht="21" x14ac:dyDescent="0.2">
      <c r="A31" s="31" t="s">
        <v>28</v>
      </c>
      <c r="B31" s="12">
        <f>(80*B29)/SQRT(B6)</f>
        <v>339.789738907264</v>
      </c>
      <c r="C31" s="12" t="s">
        <v>8</v>
      </c>
      <c r="D31" s="13"/>
      <c r="E31" s="17" t="s">
        <v>76</v>
      </c>
      <c r="F31" s="17"/>
      <c r="G31" s="12"/>
      <c r="H31" s="12"/>
      <c r="I31" s="12"/>
      <c r="J31" s="12"/>
      <c r="K31" s="19" t="s">
        <v>77</v>
      </c>
      <c r="L31" s="19"/>
      <c r="M31" s="12"/>
      <c r="N31" s="12"/>
      <c r="O31" s="12"/>
    </row>
    <row r="32" spans="1:32" ht="21" x14ac:dyDescent="0.2">
      <c r="A32" s="31" t="s">
        <v>29</v>
      </c>
      <c r="B32" s="12">
        <f>ROUND(0.1*SQRT(((B20*(B18)^3)/12)/(B20*B18+(1/6)*(B17-2*B20)*B19)),2)</f>
        <v>7.21</v>
      </c>
      <c r="C32" s="12" t="s">
        <v>8</v>
      </c>
      <c r="D32" s="13"/>
      <c r="E32" s="12" t="s">
        <v>106</v>
      </c>
      <c r="F32" s="12">
        <f>J11/(0.85*0.6*B6*0.1*B17*0.1*B19)</f>
        <v>0.19905731523378584</v>
      </c>
      <c r="G32" s="12" t="str">
        <f>IF(F32&lt;=1,"Safe","Unsafe")</f>
        <v>Safe</v>
      </c>
      <c r="H32" s="12"/>
      <c r="I32" s="12"/>
      <c r="J32" s="12"/>
      <c r="K32" s="15" t="s">
        <v>78</v>
      </c>
      <c r="L32" s="15"/>
      <c r="M32" s="12" t="s">
        <v>79</v>
      </c>
      <c r="N32" s="12">
        <f>1.6*B11*(1+B10)</f>
        <v>6.0000000000000009</v>
      </c>
      <c r="O32" s="12" t="s">
        <v>33</v>
      </c>
    </row>
    <row r="33" spans="1:15" ht="21" x14ac:dyDescent="0.2">
      <c r="A33" s="31" t="s">
        <v>30</v>
      </c>
      <c r="B33" s="12">
        <f>ROUND(((0.104*B32*0.1*B17)/(0.1*B18*0.1*B20))^2,2)</f>
        <v>0.18</v>
      </c>
      <c r="C33" s="12" t="s">
        <v>10</v>
      </c>
      <c r="D33" s="13"/>
      <c r="E33" s="12"/>
      <c r="F33" s="12"/>
      <c r="G33" s="12"/>
      <c r="H33" s="12"/>
      <c r="I33" s="12"/>
      <c r="J33" s="12"/>
      <c r="K33" s="12" t="s">
        <v>80</v>
      </c>
      <c r="L33" s="12">
        <f>0.95*(2*B12+2.5*B21*0.1)*0.1*B19*B6</f>
        <v>46.454999999999998</v>
      </c>
      <c r="M33" s="12" t="s">
        <v>33</v>
      </c>
      <c r="N33" s="45" t="str">
        <f>IF(L33&gt;=N32,"Safe","Unsafe")</f>
        <v>Safe</v>
      </c>
      <c r="O33" s="12"/>
    </row>
    <row r="34" spans="1:15" ht="21" x14ac:dyDescent="0.2">
      <c r="A34" s="31" t="s">
        <v>31</v>
      </c>
      <c r="B34" s="12">
        <f>((1380*0.1*B18*0.1*B20)/(0.1*B17*0.75*B6))*SQRT(0.5*(1+SQRT(1+(2*0.75*B6*B33)^2)))</f>
        <v>1404.4620392813738</v>
      </c>
      <c r="C34" s="12" t="s">
        <v>8</v>
      </c>
      <c r="D34" s="13"/>
      <c r="E34" s="12"/>
      <c r="F34" s="12"/>
      <c r="G34" s="12"/>
      <c r="H34" s="12"/>
      <c r="I34" s="12"/>
      <c r="J34" s="12"/>
      <c r="K34" s="41" t="str">
        <f>IF(N33="Unsafe","Increase web thickness","")</f>
        <v/>
      </c>
      <c r="L34" s="41"/>
      <c r="M34" s="41"/>
      <c r="N34" s="41"/>
      <c r="O34" s="12"/>
    </row>
    <row r="35" spans="1:15" ht="21" x14ac:dyDescent="0.2">
      <c r="A35" s="32" t="s">
        <v>98</v>
      </c>
      <c r="B35" s="20">
        <v>1.35</v>
      </c>
      <c r="C35" s="12" t="s">
        <v>10</v>
      </c>
      <c r="D35" s="13"/>
      <c r="E35" s="17" t="s">
        <v>101</v>
      </c>
      <c r="F35" s="17"/>
      <c r="G35" s="12"/>
      <c r="H35" s="12"/>
      <c r="I35" s="12"/>
      <c r="J35" s="12"/>
      <c r="K35" s="42" t="s">
        <v>119</v>
      </c>
      <c r="L35" s="43"/>
      <c r="M35" s="1" t="s">
        <v>8</v>
      </c>
      <c r="N35" s="1"/>
    </row>
    <row r="36" spans="1:15" ht="21" x14ac:dyDescent="0.2">
      <c r="A36" s="13"/>
      <c r="B36" s="13"/>
      <c r="C36" s="13"/>
      <c r="D36" s="13"/>
      <c r="E36" s="15" t="s">
        <v>82</v>
      </c>
      <c r="F36" s="15"/>
      <c r="G36" s="12">
        <f>(F11*(1+B10))/B27</f>
        <v>0.4891304347826087</v>
      </c>
      <c r="H36" s="12" t="s">
        <v>5</v>
      </c>
      <c r="I36" s="12" t="str">
        <f>IF(G36&lt;=2.52,"Safe","Unsafe")</f>
        <v>Safe</v>
      </c>
      <c r="J36" s="13"/>
      <c r="K36" s="42" t="s">
        <v>120</v>
      </c>
      <c r="L36" s="1" t="str">
        <f>IF(N33="Unsafe",0.95*(2*B12+2.5*B21*0.1)*(L35)*B6,"")</f>
        <v/>
      </c>
      <c r="M36" s="1" t="s">
        <v>33</v>
      </c>
      <c r="N36" s="2" t="str">
        <f>IF(L36&gt;=N32,"Safe","Unsafe")</f>
        <v>Safe</v>
      </c>
      <c r="O36" s="12"/>
    </row>
    <row r="37" spans="1:1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2"/>
      <c r="L37" s="12"/>
      <c r="M37" s="12"/>
      <c r="N37" s="12"/>
      <c r="O37" s="12"/>
    </row>
    <row r="38" spans="1:15" ht="21" x14ac:dyDescent="0.2">
      <c r="A38" s="13"/>
      <c r="B38" s="13"/>
      <c r="C38" s="13" t="s">
        <v>99</v>
      </c>
      <c r="D38" s="13"/>
      <c r="E38" s="13"/>
      <c r="F38" s="13"/>
      <c r="G38" s="13"/>
      <c r="H38" s="13"/>
      <c r="I38" s="13"/>
      <c r="J38" s="12"/>
      <c r="K38" s="15" t="s">
        <v>81</v>
      </c>
      <c r="L38" s="15"/>
      <c r="M38" s="12" t="s">
        <v>79</v>
      </c>
      <c r="N38" s="12">
        <f>J11</f>
        <v>6.3348000000000013</v>
      </c>
      <c r="O38" s="12" t="s">
        <v>33</v>
      </c>
    </row>
    <row r="39" spans="1:15" ht="21" x14ac:dyDescent="0.2">
      <c r="A39" s="13"/>
      <c r="B39" s="13"/>
      <c r="C39" s="13"/>
      <c r="D39" s="13"/>
      <c r="E39" s="17" t="s">
        <v>102</v>
      </c>
      <c r="F39" s="17"/>
      <c r="G39" s="12"/>
      <c r="H39" s="12"/>
      <c r="I39" s="13"/>
      <c r="J39" s="12"/>
      <c r="K39" s="12" t="s">
        <v>80</v>
      </c>
      <c r="L39" s="12">
        <f>0.95*(0.5*B13+2.5*B21*0.1)*0.1*B19*B6</f>
        <v>57.854999999999997</v>
      </c>
      <c r="M39" s="12" t="s">
        <v>33</v>
      </c>
      <c r="N39" s="12" t="str">
        <f>IF(L39&gt;=N38,"Safe","Unsafe")</f>
        <v>Safe</v>
      </c>
      <c r="O39" s="13"/>
    </row>
    <row r="40" spans="1:15" ht="20.25" x14ac:dyDescent="0.2">
      <c r="A40" s="13"/>
      <c r="B40" s="13"/>
      <c r="C40" s="13"/>
      <c r="D40" s="13"/>
      <c r="E40" s="21" t="s">
        <v>107</v>
      </c>
      <c r="F40" s="12">
        <f>(B11*B9^3)/(48*2100*B26)</f>
        <v>0.43086939869781693</v>
      </c>
      <c r="G40" s="12" t="s">
        <v>8</v>
      </c>
      <c r="H40" s="12" t="str">
        <f>IF(F40&lt;= (B9/800),"Safe","Unsafe")</f>
        <v>Safe</v>
      </c>
      <c r="I40" s="13"/>
      <c r="J40" s="12"/>
      <c r="K40" s="46" t="str">
        <f>IF(N39="Unsafe","Use Doubler Plate","")</f>
        <v/>
      </c>
      <c r="L40" s="46"/>
      <c r="M40" s="46"/>
      <c r="N40" s="46"/>
      <c r="O40" s="13"/>
    </row>
    <row r="41" spans="1:15" ht="21" x14ac:dyDescent="0.2">
      <c r="A41" s="13"/>
      <c r="B41" s="13"/>
      <c r="C41" s="13"/>
      <c r="D41" s="13"/>
      <c r="E41" s="12"/>
      <c r="F41" s="12"/>
      <c r="G41" s="12"/>
      <c r="H41" s="12"/>
      <c r="I41" s="12"/>
      <c r="J41" s="12"/>
      <c r="K41" s="42" t="s">
        <v>121</v>
      </c>
      <c r="L41" s="43"/>
      <c r="M41" s="1" t="s">
        <v>8</v>
      </c>
      <c r="N41" s="1"/>
      <c r="O41" s="12"/>
    </row>
    <row r="42" spans="1:15" ht="21" x14ac:dyDescent="0.2">
      <c r="A42" s="13"/>
      <c r="B42" s="13"/>
      <c r="C42" s="13"/>
      <c r="E42" s="5"/>
      <c r="F42" s="5"/>
      <c r="G42" s="5"/>
      <c r="H42" s="5"/>
      <c r="I42" s="5"/>
      <c r="J42" s="5"/>
      <c r="K42" s="42" t="s">
        <v>120</v>
      </c>
      <c r="L42" s="1" t="str">
        <f>IF(N39="Unsafe",0.95*(0.5*B13+2.5*B21*0.1)*(0.1*B19+L41)*B6,"")</f>
        <v/>
      </c>
      <c r="M42" s="1" t="s">
        <v>33</v>
      </c>
      <c r="N42" s="2" t="str">
        <f>IF(L42&gt;=N38,"Safe","Unsafe")</f>
        <v>Safe</v>
      </c>
      <c r="O42" s="5"/>
    </row>
    <row r="43" spans="1:15" x14ac:dyDescent="0.2">
      <c r="A43" s="13"/>
      <c r="B43" s="13"/>
      <c r="C43" s="13"/>
      <c r="E43" s="19" t="s">
        <v>100</v>
      </c>
      <c r="F43" s="19"/>
      <c r="G43" s="13"/>
      <c r="H43" s="13"/>
      <c r="I43" s="5"/>
      <c r="J43" s="5"/>
      <c r="O43" s="5"/>
    </row>
    <row r="44" spans="1:15" ht="21" x14ac:dyDescent="0.2">
      <c r="A44" s="13"/>
      <c r="B44" s="13"/>
      <c r="C44" s="13"/>
      <c r="E44" s="12" t="s">
        <v>79</v>
      </c>
      <c r="F44" s="13">
        <f>1.6*B11*(1+B10)</f>
        <v>6.0000000000000009</v>
      </c>
      <c r="G44" s="13" t="s">
        <v>33</v>
      </c>
      <c r="H44" s="13"/>
      <c r="I44" s="5"/>
      <c r="J44" s="5"/>
      <c r="O44" s="5"/>
    </row>
    <row r="45" spans="1:15" ht="21" x14ac:dyDescent="0.2">
      <c r="E45" s="12" t="s">
        <v>80</v>
      </c>
      <c r="F45" s="12">
        <f>0.85*6.25*(0.1*B20)^2*B6</f>
        <v>39.046875</v>
      </c>
      <c r="G45" s="12" t="s">
        <v>33</v>
      </c>
      <c r="H45" s="12" t="str">
        <f>IF(F45&gt;=F44,"Safe","Unsafe")</f>
        <v>Safe</v>
      </c>
      <c r="K45" s="5"/>
      <c r="L45" s="5"/>
      <c r="M45" s="5"/>
      <c r="N45" s="5"/>
    </row>
    <row r="46" spans="1:15" x14ac:dyDescent="0.2">
      <c r="K46" s="5"/>
      <c r="L46" s="5"/>
      <c r="M46" s="5"/>
      <c r="N46" s="5"/>
    </row>
    <row r="47" spans="1:15" x14ac:dyDescent="0.2">
      <c r="K47" s="5"/>
      <c r="L47" s="5"/>
      <c r="M47" s="5"/>
      <c r="N47" s="5"/>
    </row>
  </sheetData>
  <mergeCells count="29">
    <mergeCell ref="A25:C25"/>
    <mergeCell ref="K34:N34"/>
    <mergeCell ref="K40:N40"/>
    <mergeCell ref="I8:K8"/>
    <mergeCell ref="B15:C15"/>
    <mergeCell ref="B5:C5"/>
    <mergeCell ref="V1:W1"/>
    <mergeCell ref="U2:Z2"/>
    <mergeCell ref="AA2:AC2"/>
    <mergeCell ref="AD2:AF2"/>
    <mergeCell ref="E5:F5"/>
    <mergeCell ref="K31:L31"/>
    <mergeCell ref="E10:F10"/>
    <mergeCell ref="E18:F18"/>
    <mergeCell ref="H19:H20"/>
    <mergeCell ref="E22:F22"/>
    <mergeCell ref="I23:I25"/>
    <mergeCell ref="E27:F27"/>
    <mergeCell ref="E28:F28"/>
    <mergeCell ref="E31:F31"/>
    <mergeCell ref="E17:F17"/>
    <mergeCell ref="I19:I20"/>
    <mergeCell ref="J19:J20"/>
    <mergeCell ref="E43:F43"/>
    <mergeCell ref="E36:F36"/>
    <mergeCell ref="E39:F39"/>
    <mergeCell ref="K32:L32"/>
    <mergeCell ref="K38:L38"/>
    <mergeCell ref="E35:F35"/>
  </mergeCells>
  <conditionalFormatting sqref="H27:H28 G32 I36 N39 H40 N33">
    <cfRule type="cellIs" dxfId="22" priority="10" operator="equal">
      <formula>"Safe"</formula>
    </cfRule>
  </conditionalFormatting>
  <conditionalFormatting sqref="H27:H28 G32 I36 N39 H40 N33">
    <cfRule type="cellIs" dxfId="21" priority="9" operator="equal">
      <formula>"Unsafe"</formula>
    </cfRule>
  </conditionalFormatting>
  <conditionalFormatting sqref="H45">
    <cfRule type="cellIs" dxfId="20" priority="7" operator="equal">
      <formula>"unsafe"</formula>
    </cfRule>
    <cfRule type="cellIs" dxfId="19" priority="8" operator="equal">
      <formula>"safe"</formula>
    </cfRule>
  </conditionalFormatting>
  <conditionalFormatting sqref="N36">
    <cfRule type="cellIs" dxfId="18" priority="5" operator="equal">
      <formula>"Unsafe"</formula>
    </cfRule>
    <cfRule type="cellIs" dxfId="17" priority="6" operator="equal">
      <formula>"Safe"</formula>
    </cfRule>
  </conditionalFormatting>
  <conditionalFormatting sqref="K34:N34">
    <cfRule type="cellIs" dxfId="16" priority="4" operator="equal">
      <formula>"Increase web thickness"</formula>
    </cfRule>
  </conditionalFormatting>
  <conditionalFormatting sqref="N42">
    <cfRule type="cellIs" dxfId="2" priority="2" operator="equal">
      <formula>"Unsafe"</formula>
    </cfRule>
    <cfRule type="cellIs" dxfId="1" priority="3" operator="equal">
      <formula>"Safe"</formula>
    </cfRule>
  </conditionalFormatting>
  <conditionalFormatting sqref="K40:N40">
    <cfRule type="cellIs" dxfId="0" priority="1" operator="equal">
      <formula>"Use Doubler Plate"</formula>
    </cfRule>
  </conditionalFormatting>
  <dataValidations disablePrompts="1" count="3">
    <dataValidation type="list" allowBlank="1" showInputMessage="1" showErrorMessage="1" sqref="B10" xr:uid="{7C9A1E67-EE01-465B-818A-D0B46C9DB97B}">
      <formula1>$E$1:$E$2</formula1>
    </dataValidation>
    <dataValidation type="list" allowBlank="1" showInputMessage="1" showErrorMessage="1" sqref="B15:C15" xr:uid="{5B2FCE54-73D3-49AF-B171-77AFB141AA78}">
      <formula1>$R$4:$R$27</formula1>
    </dataValidation>
    <dataValidation type="list" allowBlank="1" showInputMessage="1" showErrorMessage="1" sqref="B5:C5" xr:uid="{748FC9B3-6C39-42AC-A4C7-C820E664A640}">
      <formula1>$A$1:$A$3</formula1>
    </dataValidation>
  </dataValidations>
  <pageMargins left="0.7" right="0.7" top="0.75" bottom="0.75" header="0.3" footer="0.3"/>
  <pageSetup paperSize="8" scale="9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C842-D842-4D41-B775-D454C77D176E}">
  <sheetPr>
    <pageSetUpPr fitToPage="1"/>
  </sheetPr>
  <dimension ref="A1:Q49"/>
  <sheetViews>
    <sheetView showGridLines="0" topLeftCell="A31" zoomScaleNormal="100" workbookViewId="0">
      <selection activeCell="L35" sqref="L35"/>
    </sheetView>
  </sheetViews>
  <sheetFormatPr defaultRowHeight="18" x14ac:dyDescent="0.2"/>
  <cols>
    <col min="1" max="1" width="15.875" style="3" bestFit="1" customWidth="1"/>
    <col min="2" max="2" width="10.75" style="3" customWidth="1"/>
    <col min="3" max="4" width="9" style="3"/>
    <col min="5" max="5" width="13.875" style="3" customWidth="1"/>
    <col min="6" max="6" width="9" style="3"/>
    <col min="7" max="7" width="15.5" style="3" customWidth="1"/>
    <col min="8" max="8" width="9" style="3"/>
    <col min="9" max="9" width="10.5" style="3" customWidth="1"/>
    <col min="10" max="10" width="12.125" style="3" bestFit="1" customWidth="1"/>
    <col min="11" max="11" width="9.375" style="3" bestFit="1" customWidth="1"/>
    <col min="12" max="12" width="11.75" style="3" customWidth="1"/>
    <col min="13" max="14" width="9" style="3"/>
    <col min="15" max="15" width="7.125" style="3" customWidth="1"/>
    <col min="16" max="16384" width="9" style="3"/>
  </cols>
  <sheetData>
    <row r="1" spans="1:17" x14ac:dyDescent="0.2">
      <c r="A1" s="4">
        <v>37</v>
      </c>
      <c r="B1" s="5"/>
      <c r="C1" s="4" t="s">
        <v>0</v>
      </c>
      <c r="D1" s="5"/>
      <c r="E1" s="33">
        <v>0.1</v>
      </c>
      <c r="F1" s="33" t="s">
        <v>103</v>
      </c>
    </row>
    <row r="2" spans="1:17" x14ac:dyDescent="0.2">
      <c r="A2" s="4">
        <v>44</v>
      </c>
      <c r="B2" s="5"/>
      <c r="C2" s="4" t="s">
        <v>1</v>
      </c>
      <c r="D2" s="5"/>
      <c r="E2" s="33">
        <v>0.25</v>
      </c>
      <c r="F2" s="33" t="s">
        <v>104</v>
      </c>
    </row>
    <row r="3" spans="1:17" x14ac:dyDescent="0.2">
      <c r="A3" s="4">
        <v>52</v>
      </c>
      <c r="B3" s="5"/>
      <c r="C3" s="4" t="s">
        <v>2</v>
      </c>
      <c r="D3" s="5"/>
      <c r="E3" s="5"/>
    </row>
    <row r="4" spans="1:17" x14ac:dyDescent="0.2">
      <c r="E4" s="13"/>
      <c r="F4" s="13"/>
      <c r="G4" s="13"/>
      <c r="H4" s="13"/>
      <c r="I4" s="13"/>
      <c r="J4" s="13"/>
      <c r="K4" s="13"/>
    </row>
    <row r="5" spans="1:17" x14ac:dyDescent="0.2">
      <c r="A5" s="12" t="s">
        <v>3</v>
      </c>
      <c r="B5" s="16">
        <v>37</v>
      </c>
      <c r="C5" s="16"/>
      <c r="D5" s="13"/>
      <c r="E5" s="23" t="s">
        <v>52</v>
      </c>
      <c r="F5" s="17"/>
      <c r="G5" s="12"/>
      <c r="H5" s="12"/>
      <c r="I5" s="12"/>
      <c r="J5" s="12"/>
      <c r="K5" s="12"/>
      <c r="L5" s="13"/>
      <c r="M5" s="13"/>
      <c r="N5" s="13"/>
      <c r="O5" s="13"/>
      <c r="P5" s="13"/>
      <c r="Q5" s="13"/>
    </row>
    <row r="6" spans="1:17" ht="21" x14ac:dyDescent="0.2">
      <c r="A6" s="12" t="s">
        <v>4</v>
      </c>
      <c r="B6" s="12">
        <f>IF(B5=A1,2.4,IF(B5=A2,2.8,3.6))</f>
        <v>2.4</v>
      </c>
      <c r="C6" s="12" t="s">
        <v>5</v>
      </c>
      <c r="D6" s="13"/>
      <c r="E6" s="22" t="s">
        <v>53</v>
      </c>
      <c r="F6" s="12">
        <f>0.01*B25</f>
        <v>1.0676000000000001E-3</v>
      </c>
      <c r="G6" s="12" t="s">
        <v>54</v>
      </c>
      <c r="H6" s="12"/>
      <c r="I6" s="12"/>
      <c r="J6" s="12"/>
      <c r="K6" s="12"/>
      <c r="L6" s="13"/>
      <c r="M6" s="13"/>
      <c r="N6" s="13"/>
      <c r="O6" s="13"/>
      <c r="P6" s="13"/>
      <c r="Q6" s="13"/>
    </row>
    <row r="7" spans="1:17" ht="21" x14ac:dyDescent="0.2">
      <c r="A7" s="12" t="s">
        <v>6</v>
      </c>
      <c r="B7" s="12">
        <f>IF(B5=A1,3.7,IF(B5=A2,4.4,5.2))</f>
        <v>3.7</v>
      </c>
      <c r="C7" s="12" t="s">
        <v>5</v>
      </c>
      <c r="D7" s="13"/>
      <c r="E7" s="22" t="s">
        <v>55</v>
      </c>
      <c r="F7" s="12">
        <f>F6*((B10^2)/8)</f>
        <v>33.362500000000004</v>
      </c>
      <c r="G7" s="12" t="s">
        <v>56</v>
      </c>
      <c r="H7" s="12"/>
      <c r="I7" s="12"/>
      <c r="J7" s="12"/>
      <c r="K7" s="12"/>
      <c r="L7" s="13"/>
      <c r="M7" s="13"/>
      <c r="N7" s="13"/>
      <c r="O7" s="13"/>
      <c r="P7" s="13"/>
      <c r="Q7" s="13"/>
    </row>
    <row r="8" spans="1:17" ht="21" x14ac:dyDescent="0.2">
      <c r="A8" s="12"/>
      <c r="B8" s="12"/>
      <c r="C8" s="12"/>
      <c r="D8" s="13"/>
      <c r="E8" s="22" t="s">
        <v>57</v>
      </c>
      <c r="F8" s="12">
        <f>F6*0.5*B10</f>
        <v>0.26690000000000003</v>
      </c>
      <c r="G8" s="12" t="s">
        <v>33</v>
      </c>
      <c r="H8" s="12"/>
      <c r="I8" s="17" t="s">
        <v>97</v>
      </c>
      <c r="J8" s="17"/>
      <c r="K8" s="17"/>
      <c r="L8" s="13"/>
      <c r="M8" s="13"/>
      <c r="N8" s="13"/>
      <c r="O8" s="13"/>
      <c r="P8" s="13"/>
      <c r="Q8" s="13"/>
    </row>
    <row r="9" spans="1:17" ht="21" x14ac:dyDescent="0.2">
      <c r="A9" s="27" t="s">
        <v>122</v>
      </c>
      <c r="B9" s="27"/>
      <c r="C9" s="27"/>
      <c r="D9" s="13"/>
      <c r="E9" s="22"/>
      <c r="F9" s="12"/>
      <c r="G9" s="12"/>
      <c r="H9" s="12"/>
      <c r="I9" s="12" t="s">
        <v>114</v>
      </c>
      <c r="J9" s="12">
        <f>1.2*F7+1.6*F11*(1+B11)</f>
        <v>790.03499999999997</v>
      </c>
      <c r="K9" s="12" t="s">
        <v>56</v>
      </c>
      <c r="L9" s="13"/>
      <c r="M9" s="13"/>
      <c r="N9" s="13"/>
      <c r="O9" s="13"/>
      <c r="P9" s="13"/>
      <c r="Q9" s="13"/>
    </row>
    <row r="10" spans="1:17" ht="21" x14ac:dyDescent="0.2">
      <c r="A10" s="12" t="s">
        <v>7</v>
      </c>
      <c r="B10" s="18">
        <v>500</v>
      </c>
      <c r="C10" s="12" t="s">
        <v>8</v>
      </c>
      <c r="D10" s="13"/>
      <c r="E10" s="23" t="s">
        <v>58</v>
      </c>
      <c r="F10" s="17"/>
      <c r="G10" s="12"/>
      <c r="H10" s="12"/>
      <c r="I10" s="12" t="s">
        <v>113</v>
      </c>
      <c r="J10" s="12">
        <f>1.6*0.1*F11</f>
        <v>60.000000000000014</v>
      </c>
      <c r="K10" s="12" t="s">
        <v>56</v>
      </c>
      <c r="L10" s="13"/>
      <c r="M10" s="13"/>
      <c r="N10" s="13"/>
      <c r="O10" s="13"/>
      <c r="P10" s="13"/>
      <c r="Q10" s="13"/>
    </row>
    <row r="11" spans="1:17" ht="21" x14ac:dyDescent="0.2">
      <c r="A11" s="12" t="s">
        <v>9</v>
      </c>
      <c r="B11" s="18">
        <v>0.25</v>
      </c>
      <c r="C11" s="12" t="s">
        <v>10</v>
      </c>
      <c r="D11" s="13"/>
      <c r="E11" s="22" t="s">
        <v>59</v>
      </c>
      <c r="F11" s="12">
        <f>B12*0.25*B10</f>
        <v>375</v>
      </c>
      <c r="G11" s="12" t="s">
        <v>56</v>
      </c>
      <c r="H11" s="12"/>
      <c r="I11" s="12" t="s">
        <v>110</v>
      </c>
      <c r="J11" s="12">
        <f>1.2*F8+1.6*F12*(1+B11)</f>
        <v>6.3202800000000012</v>
      </c>
      <c r="K11" s="12" t="s">
        <v>33</v>
      </c>
      <c r="L11" s="13"/>
      <c r="M11" s="13"/>
      <c r="N11" s="13"/>
      <c r="O11" s="13"/>
      <c r="P11" s="13"/>
      <c r="Q11" s="13"/>
    </row>
    <row r="12" spans="1:17" ht="21" x14ac:dyDescent="0.2">
      <c r="A12" s="12" t="s">
        <v>32</v>
      </c>
      <c r="B12" s="18">
        <v>3</v>
      </c>
      <c r="C12" s="12" t="s">
        <v>33</v>
      </c>
      <c r="D12" s="13"/>
      <c r="E12" s="22" t="s">
        <v>60</v>
      </c>
      <c r="F12" s="12">
        <f>B12</f>
        <v>3</v>
      </c>
      <c r="G12" s="12" t="s">
        <v>33</v>
      </c>
      <c r="H12" s="12"/>
      <c r="I12" s="12"/>
      <c r="J12" s="12"/>
      <c r="K12" s="12"/>
      <c r="L12" s="13"/>
      <c r="M12" s="13"/>
      <c r="N12" s="13"/>
      <c r="O12" s="13"/>
      <c r="P12" s="13"/>
      <c r="Q12" s="13"/>
    </row>
    <row r="13" spans="1:17" ht="21" x14ac:dyDescent="0.2">
      <c r="A13" s="12" t="s">
        <v>34</v>
      </c>
      <c r="B13" s="18">
        <v>5</v>
      </c>
      <c r="C13" s="12" t="s">
        <v>8</v>
      </c>
      <c r="D13" s="13"/>
      <c r="E13" s="24"/>
      <c r="F13" s="25"/>
      <c r="G13" s="25"/>
      <c r="H13" s="25"/>
      <c r="I13" s="25"/>
      <c r="J13" s="25"/>
      <c r="K13" s="25"/>
      <c r="L13" s="13"/>
      <c r="M13" s="13"/>
      <c r="N13" s="13"/>
      <c r="O13" s="13"/>
      <c r="P13" s="13"/>
      <c r="Q13" s="13"/>
    </row>
    <row r="14" spans="1:17" ht="21" x14ac:dyDescent="0.2">
      <c r="A14" s="12" t="s">
        <v>35</v>
      </c>
      <c r="B14" s="18">
        <v>10</v>
      </c>
      <c r="C14" s="12" t="s">
        <v>8</v>
      </c>
      <c r="D14" s="13"/>
      <c r="E14" s="35"/>
      <c r="F14" s="36"/>
      <c r="G14" s="36"/>
      <c r="H14" s="36"/>
      <c r="I14" s="36"/>
      <c r="J14" s="36"/>
      <c r="K14" s="37"/>
      <c r="L14" s="13"/>
      <c r="M14" s="13"/>
      <c r="N14" s="13"/>
      <c r="O14" s="13"/>
      <c r="P14" s="13"/>
      <c r="Q14" s="13"/>
    </row>
    <row r="15" spans="1:17" x14ac:dyDescent="0.2">
      <c r="A15" s="12"/>
      <c r="B15" s="18"/>
      <c r="C15" s="12"/>
      <c r="D15" s="13"/>
      <c r="F15" s="26"/>
      <c r="G15" s="12"/>
      <c r="H15" s="12"/>
      <c r="I15" s="12"/>
      <c r="J15" s="12"/>
      <c r="K15" s="12"/>
      <c r="L15" s="12"/>
      <c r="M15" s="12"/>
      <c r="N15" s="12"/>
      <c r="O15" s="12"/>
      <c r="P15" s="13"/>
      <c r="Q15" s="13"/>
    </row>
    <row r="16" spans="1:17" x14ac:dyDescent="0.2">
      <c r="A16" s="30" t="s">
        <v>112</v>
      </c>
      <c r="B16" s="30"/>
      <c r="C16" s="30"/>
      <c r="D16" s="13"/>
      <c r="E16" s="26"/>
      <c r="F16" s="26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3"/>
    </row>
    <row r="17" spans="1:17" ht="21" x14ac:dyDescent="0.2">
      <c r="A17" s="12" t="s">
        <v>83</v>
      </c>
      <c r="B17" s="18">
        <v>70</v>
      </c>
      <c r="C17" s="12" t="s">
        <v>8</v>
      </c>
      <c r="D17" s="13"/>
      <c r="E17" s="27" t="s">
        <v>61</v>
      </c>
      <c r="F17" s="27"/>
      <c r="G17" s="12"/>
      <c r="H17" s="12"/>
      <c r="I17" s="12"/>
      <c r="J17" s="12"/>
      <c r="K17" s="12"/>
      <c r="L17" s="12"/>
      <c r="M17" s="12"/>
      <c r="N17" s="12"/>
      <c r="O17" s="12"/>
      <c r="P17" s="13"/>
      <c r="Q17" s="13"/>
    </row>
    <row r="18" spans="1:17" ht="21" x14ac:dyDescent="0.2">
      <c r="A18" s="12" t="s">
        <v>84</v>
      </c>
      <c r="B18" s="18">
        <v>12</v>
      </c>
      <c r="C18" s="12" t="s">
        <v>8</v>
      </c>
      <c r="D18" s="13"/>
      <c r="E18" s="17" t="s">
        <v>62</v>
      </c>
      <c r="F18" s="17"/>
      <c r="G18" s="12"/>
      <c r="H18" s="12"/>
      <c r="J18" s="12"/>
      <c r="K18" s="12"/>
      <c r="L18" s="12"/>
      <c r="M18" s="12"/>
      <c r="N18" s="12"/>
      <c r="O18" s="12"/>
      <c r="P18" s="13"/>
      <c r="Q18" s="13"/>
    </row>
    <row r="19" spans="1:17" ht="21" x14ac:dyDescent="0.2">
      <c r="A19" s="12" t="s">
        <v>85</v>
      </c>
      <c r="B19" s="18">
        <v>21</v>
      </c>
      <c r="C19" s="12" t="s">
        <v>8</v>
      </c>
      <c r="D19" s="13"/>
      <c r="E19" s="12" t="s">
        <v>63</v>
      </c>
      <c r="F19" s="12">
        <f>B17/B20</f>
        <v>70</v>
      </c>
      <c r="G19" s="12" t="str">
        <f>IF(F19&lt;127/SQRT(B6),C1,IF(F19&lt;222/SQRT(B6),C2,C3))</f>
        <v>Compact</v>
      </c>
      <c r="H19" s="15" t="s">
        <v>64</v>
      </c>
      <c r="I19" s="15" t="str">
        <f>IF(AND(G19=C1,G20=C1),C1,IF(OR(G19=C2,G20=C2),C2,C3))</f>
        <v>Compact</v>
      </c>
      <c r="J19" s="15" t="s">
        <v>11</v>
      </c>
      <c r="M19" s="29"/>
      <c r="N19" s="12"/>
      <c r="O19" s="12"/>
      <c r="P19" s="13"/>
      <c r="Q19" s="13"/>
    </row>
    <row r="20" spans="1:17" ht="21" x14ac:dyDescent="0.2">
      <c r="A20" s="12" t="s">
        <v>86</v>
      </c>
      <c r="B20" s="18">
        <v>1</v>
      </c>
      <c r="C20" s="12" t="s">
        <v>8</v>
      </c>
      <c r="D20" s="13"/>
      <c r="E20" s="12" t="s">
        <v>65</v>
      </c>
      <c r="F20" s="12">
        <f>(0.4*MAX(B19,B18))/B21</f>
        <v>4.2</v>
      </c>
      <c r="G20" s="12" t="str">
        <f>IF(F20&lt;=15.3/SQRT(B6),C1,IF(F20&lt;=21/SQRT(B6),C2,C3))</f>
        <v>Compact</v>
      </c>
      <c r="H20" s="15"/>
      <c r="I20" s="15"/>
      <c r="J20" s="15"/>
      <c r="K20" s="29"/>
      <c r="L20" s="29"/>
      <c r="M20" s="29"/>
      <c r="N20" s="12"/>
      <c r="O20" s="12"/>
      <c r="P20" s="13"/>
      <c r="Q20" s="13"/>
    </row>
    <row r="21" spans="1:17" ht="21" x14ac:dyDescent="0.2">
      <c r="A21" s="12" t="s">
        <v>87</v>
      </c>
      <c r="B21" s="18">
        <v>2</v>
      </c>
      <c r="C21" s="12" t="s">
        <v>8</v>
      </c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3"/>
      <c r="Q21" s="13"/>
    </row>
    <row r="22" spans="1:17" x14ac:dyDescent="0.2">
      <c r="A22" s="12"/>
      <c r="B22" s="18"/>
      <c r="C22" s="12"/>
      <c r="D22" s="13"/>
      <c r="E22" s="17" t="s">
        <v>66</v>
      </c>
      <c r="F22" s="17"/>
      <c r="G22" s="12"/>
      <c r="H22" s="12"/>
      <c r="I22" s="12"/>
      <c r="M22" s="12"/>
      <c r="N22" s="12"/>
      <c r="O22" s="12"/>
      <c r="P22" s="13"/>
      <c r="Q22" s="13"/>
    </row>
    <row r="23" spans="1:17" ht="21" x14ac:dyDescent="0.2">
      <c r="A23" s="30" t="s">
        <v>111</v>
      </c>
      <c r="B23" s="30"/>
      <c r="C23" s="30"/>
      <c r="D23" s="13"/>
      <c r="E23" s="12" t="s">
        <v>67</v>
      </c>
      <c r="F23" s="12" t="s">
        <v>68</v>
      </c>
      <c r="G23" s="39">
        <f>ROUND(K23,0)</f>
        <v>7637</v>
      </c>
      <c r="H23" s="12" t="s">
        <v>56</v>
      </c>
      <c r="I23" s="15" t="s">
        <v>64</v>
      </c>
      <c r="J23" s="12" t="s">
        <v>69</v>
      </c>
      <c r="K23" s="12">
        <f>B31*B6</f>
        <v>7636.7999999999993</v>
      </c>
      <c r="L23" s="12" t="s">
        <v>56</v>
      </c>
      <c r="M23" s="12"/>
      <c r="N23" s="12"/>
      <c r="O23" s="12"/>
      <c r="P23" s="13"/>
      <c r="Q23" s="13"/>
    </row>
    <row r="24" spans="1:17" ht="21" x14ac:dyDescent="0.2">
      <c r="A24" s="12" t="s">
        <v>38</v>
      </c>
      <c r="B24" s="12">
        <f>B17*B20+B18*B21+B19*B21</f>
        <v>136</v>
      </c>
      <c r="C24" s="12" t="s">
        <v>89</v>
      </c>
      <c r="D24" s="13"/>
      <c r="E24" s="12" t="s">
        <v>70</v>
      </c>
      <c r="F24" s="12" t="s">
        <v>68</v>
      </c>
      <c r="G24" s="38">
        <f>B40*(K23-(K23-0.6*B6*B28)*((B10-B36)/(B39-B36)))</f>
        <v>3276.0816142503245</v>
      </c>
      <c r="H24" s="12" t="s">
        <v>56</v>
      </c>
      <c r="I24" s="15"/>
      <c r="J24" s="12" t="s">
        <v>71</v>
      </c>
      <c r="K24" s="13">
        <f>MIN(IF(B10&lt;=B36,G23,IF(AND(B10&gt;B36,B10&lt;=B39),G24,G25)),K23)</f>
        <v>2969</v>
      </c>
      <c r="L24" s="12" t="s">
        <v>56</v>
      </c>
      <c r="M24" s="12"/>
      <c r="N24" s="12"/>
      <c r="O24" s="12"/>
      <c r="P24" s="13"/>
      <c r="Q24" s="13"/>
    </row>
    <row r="25" spans="1:17" ht="21" x14ac:dyDescent="0.2">
      <c r="A25" s="12" t="s">
        <v>12</v>
      </c>
      <c r="B25" s="40">
        <f>B24*(10^-4)*7.85</f>
        <v>0.10676000000000001</v>
      </c>
      <c r="C25" s="12" t="s">
        <v>88</v>
      </c>
      <c r="D25" s="13"/>
      <c r="E25" s="12" t="s">
        <v>72</v>
      </c>
      <c r="F25" s="12" t="s">
        <v>68</v>
      </c>
      <c r="G25" s="39">
        <f>ROUND(B28*SQRT(((1380*B18*B21)/((B17+2*B21)*B10))^2+(20700/(B10/B37)^2)^2),0)</f>
        <v>2969</v>
      </c>
      <c r="H25" s="12" t="s">
        <v>56</v>
      </c>
      <c r="I25" s="15"/>
      <c r="J25" s="12" t="s">
        <v>73</v>
      </c>
      <c r="K25" s="12">
        <f>IF(G20=C1,B33*B6,B32*B6)</f>
        <v>345.59999999999997</v>
      </c>
      <c r="L25" s="12" t="s">
        <v>56</v>
      </c>
      <c r="M25" s="12"/>
      <c r="N25" s="12"/>
      <c r="O25" s="12"/>
      <c r="P25" s="13"/>
      <c r="Q25" s="13"/>
    </row>
    <row r="26" spans="1:17" ht="18.75" x14ac:dyDescent="0.2">
      <c r="A26" s="34" t="s">
        <v>90</v>
      </c>
      <c r="B26" s="12">
        <f>( B18*B21*(B17+1.5*B21) + B19*B21*0.5*B21 + B17*B20* ( 0.5*B17+B21 ))/B24</f>
        <v>32.235294117647058</v>
      </c>
      <c r="C26" s="12" t="s">
        <v>8</v>
      </c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3"/>
      <c r="Q26" s="13"/>
    </row>
    <row r="27" spans="1:17" ht="21" x14ac:dyDescent="0.2">
      <c r="A27" s="12" t="s">
        <v>21</v>
      </c>
      <c r="B27" s="12">
        <f>B19*B21*(B26-0.5*B21)^2 + B18*B21*( B17+1.5*B21-B26)^2 + (B20*(B17)^3)/12 + B20*B17* (0.5*B17+B21-B26)^2</f>
        <v>111031.80392156863</v>
      </c>
      <c r="C27" s="12" t="s">
        <v>22</v>
      </c>
      <c r="D27" s="13"/>
      <c r="E27" s="15" t="s">
        <v>74</v>
      </c>
      <c r="F27" s="15"/>
      <c r="G27" s="38">
        <f>(J9/(0.85*K24))</f>
        <v>0.31305252313117904</v>
      </c>
      <c r="H27" s="12" t="str">
        <f>IF(G27&lt;=1,"Safe","Unsafe")</f>
        <v>Safe</v>
      </c>
      <c r="I27" s="12"/>
      <c r="J27" s="12"/>
      <c r="K27" s="12"/>
      <c r="L27" s="12"/>
      <c r="M27" s="12"/>
      <c r="N27" s="12"/>
      <c r="O27" s="12"/>
      <c r="P27" s="13"/>
      <c r="Q27" s="13"/>
    </row>
    <row r="28" spans="1:17" ht="21" x14ac:dyDescent="0.2">
      <c r="A28" s="12" t="s">
        <v>91</v>
      </c>
      <c r="B28" s="12">
        <f>B27/(B17+2*B21-B26)</f>
        <v>2658.5079812206573</v>
      </c>
      <c r="C28" s="12" t="s">
        <v>24</v>
      </c>
      <c r="D28" s="13"/>
      <c r="E28" s="15" t="s">
        <v>75</v>
      </c>
      <c r="F28" s="15"/>
      <c r="G28" s="38">
        <f>(J9/(0.85*K23))+(J10/(0.85*K25))</f>
        <v>0.32595548695069909</v>
      </c>
      <c r="H28" s="28" t="str">
        <f>IF(G28&lt;=1,"Safe","Unsafe")</f>
        <v>Safe</v>
      </c>
      <c r="I28" s="12"/>
      <c r="J28" s="12"/>
      <c r="K28" s="12"/>
      <c r="L28" s="12"/>
      <c r="M28" s="12"/>
      <c r="N28" s="12"/>
      <c r="O28" s="12"/>
      <c r="P28" s="13"/>
      <c r="Q28" s="13"/>
    </row>
    <row r="29" spans="1:17" ht="21" x14ac:dyDescent="0.2">
      <c r="A29" s="12" t="s">
        <v>92</v>
      </c>
      <c r="B29" s="12">
        <f>B27/B26</f>
        <v>3444.4172749391728</v>
      </c>
      <c r="C29" s="12" t="s">
        <v>24</v>
      </c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3"/>
      <c r="Q29" s="13"/>
    </row>
    <row r="30" spans="1:17" ht="21" x14ac:dyDescent="0.2">
      <c r="A30" s="12" t="s">
        <v>93</v>
      </c>
      <c r="B30" s="12">
        <f>((B18-B19)*B21+B17*B20)/(2*B20)</f>
        <v>26</v>
      </c>
      <c r="C30" s="12" t="s">
        <v>8</v>
      </c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3"/>
      <c r="Q30" s="13"/>
    </row>
    <row r="31" spans="1:17" ht="21" x14ac:dyDescent="0.2">
      <c r="A31" s="12" t="s">
        <v>25</v>
      </c>
      <c r="B31" s="12">
        <f>B18*B21*(B17+0.5*B21-B30)+(B17-B30)*B20*0.5*(B17-B30)+B19*B21*(B30+0.5*B21)</f>
        <v>3182</v>
      </c>
      <c r="C31" s="12" t="s">
        <v>24</v>
      </c>
      <c r="D31" s="13"/>
      <c r="E31" s="17" t="s">
        <v>76</v>
      </c>
      <c r="F31" s="17"/>
      <c r="G31" s="12"/>
      <c r="H31" s="12"/>
      <c r="I31" s="12"/>
      <c r="J31" s="12"/>
      <c r="K31" s="17" t="s">
        <v>118</v>
      </c>
      <c r="L31" s="17"/>
      <c r="M31" s="12"/>
      <c r="N31" s="12"/>
      <c r="O31" s="12"/>
      <c r="P31" s="13"/>
      <c r="Q31" s="13"/>
    </row>
    <row r="32" spans="1:17" ht="21" x14ac:dyDescent="0.2">
      <c r="A32" s="12" t="s">
        <v>95</v>
      </c>
      <c r="B32" s="12">
        <f>(B21*(B18)^3/12)/(0.5*B18)</f>
        <v>48</v>
      </c>
      <c r="C32" s="12" t="s">
        <v>24</v>
      </c>
      <c r="D32" s="13"/>
      <c r="E32" s="12" t="s">
        <v>106</v>
      </c>
      <c r="F32" s="12">
        <f>J11/(0.85*0.6*B6*B17*B20)</f>
        <v>7.3766106442577056E-2</v>
      </c>
      <c r="G32" s="12" t="str">
        <f>IF(F32&lt;=1,"Safe","Unsafe")</f>
        <v>Safe</v>
      </c>
      <c r="H32" s="12"/>
      <c r="I32" s="12"/>
      <c r="J32" s="12"/>
      <c r="K32" s="15" t="s">
        <v>78</v>
      </c>
      <c r="L32" s="15"/>
      <c r="M32" s="12" t="s">
        <v>79</v>
      </c>
      <c r="N32" s="12">
        <f>1.6*B12*(1+B11)</f>
        <v>6.0000000000000009</v>
      </c>
      <c r="O32" s="12" t="s">
        <v>33</v>
      </c>
      <c r="P32" s="13"/>
      <c r="Q32" s="13"/>
    </row>
    <row r="33" spans="1:17" ht="21" x14ac:dyDescent="0.2">
      <c r="A33" s="12" t="s">
        <v>96</v>
      </c>
      <c r="B33" s="12">
        <f>B18*B21*0.5*B18</f>
        <v>144</v>
      </c>
      <c r="C33" s="12" t="s">
        <v>24</v>
      </c>
      <c r="D33" s="13"/>
      <c r="E33" s="12"/>
      <c r="F33" s="12"/>
      <c r="G33" s="12"/>
      <c r="H33" s="12"/>
      <c r="I33" s="12"/>
      <c r="J33" s="12"/>
      <c r="K33" s="12" t="s">
        <v>80</v>
      </c>
      <c r="L33" s="12">
        <f>0.95*(2*B13+2.5*2*B21)*B20*B6</f>
        <v>45.6</v>
      </c>
      <c r="M33" s="12" t="s">
        <v>33</v>
      </c>
      <c r="N33" s="45" t="str">
        <f>IF(L33&gt;=N32,"Safe","Unsafe")</f>
        <v>Safe</v>
      </c>
      <c r="O33" s="12"/>
      <c r="P33" s="13"/>
      <c r="Q33" s="13"/>
    </row>
    <row r="34" spans="1:17" ht="21" x14ac:dyDescent="0.2">
      <c r="A34" s="12" t="s">
        <v>94</v>
      </c>
      <c r="B34" s="12">
        <f>((B21*(B18)^3)/12)+((B21*(B19)^3)/12)</f>
        <v>1831.5</v>
      </c>
      <c r="C34" s="12" t="s">
        <v>22</v>
      </c>
      <c r="D34" s="13"/>
      <c r="E34" s="12"/>
      <c r="F34" s="12"/>
      <c r="G34" s="12"/>
      <c r="H34" s="12"/>
      <c r="I34" s="12"/>
      <c r="J34" s="12"/>
      <c r="K34" s="41" t="str">
        <f>IF(N33="Unsafe","Increase web thickness","")</f>
        <v/>
      </c>
      <c r="L34" s="41"/>
      <c r="M34" s="41"/>
      <c r="N34" s="41"/>
      <c r="O34" s="12"/>
      <c r="P34" s="13"/>
      <c r="Q34" s="13"/>
    </row>
    <row r="35" spans="1:17" ht="21" x14ac:dyDescent="0.2">
      <c r="A35" s="12" t="s">
        <v>26</v>
      </c>
      <c r="B35" s="12">
        <f>ROUND(SQRT(B34/B24),2)</f>
        <v>3.67</v>
      </c>
      <c r="C35" s="12" t="s">
        <v>8</v>
      </c>
      <c r="D35" s="13"/>
      <c r="E35" s="17" t="s">
        <v>115</v>
      </c>
      <c r="F35" s="17"/>
      <c r="G35" s="12"/>
      <c r="H35" s="12"/>
      <c r="I35" s="12"/>
      <c r="J35" s="12"/>
      <c r="K35" s="42" t="s">
        <v>119</v>
      </c>
      <c r="L35" s="43"/>
      <c r="M35" s="1" t="s">
        <v>8</v>
      </c>
      <c r="N35" s="1"/>
      <c r="O35" s="12"/>
      <c r="P35" s="13"/>
      <c r="Q35" s="13"/>
    </row>
    <row r="36" spans="1:17" ht="21" x14ac:dyDescent="0.2">
      <c r="A36" s="12" t="s">
        <v>28</v>
      </c>
      <c r="B36" s="12">
        <f>ROUND((80*B35)/SQRT(B6),2)</f>
        <v>189.52</v>
      </c>
      <c r="C36" s="12" t="s">
        <v>8</v>
      </c>
      <c r="D36" s="13"/>
      <c r="E36" s="15" t="s">
        <v>82</v>
      </c>
      <c r="F36" s="15"/>
      <c r="G36" s="38">
        <f>(F11*(1+B11))/B29</f>
        <v>0.13608978314286208</v>
      </c>
      <c r="H36" s="12" t="s">
        <v>5</v>
      </c>
      <c r="I36" s="12" t="str">
        <f>IF(G36&lt;=2,"Safe","Unsafe")</f>
        <v>Safe</v>
      </c>
      <c r="J36" s="12"/>
      <c r="K36" s="42" t="s">
        <v>120</v>
      </c>
      <c r="L36" s="1" t="str">
        <f>IF(N33="Unsafe",0.95*(2*B13+2.5*2*B21)*(L35)*B6,"")</f>
        <v/>
      </c>
      <c r="M36" s="1" t="s">
        <v>33</v>
      </c>
      <c r="N36" s="2" t="str">
        <f>IF(L36&gt;=N32,"Safe","Unsafe")</f>
        <v>Safe</v>
      </c>
      <c r="O36" s="12"/>
      <c r="P36" s="13"/>
      <c r="Q36" s="13"/>
    </row>
    <row r="37" spans="1:17" ht="21" x14ac:dyDescent="0.2">
      <c r="A37" s="12" t="s">
        <v>29</v>
      </c>
      <c r="B37" s="12">
        <f>ROUND(SQRT(((B21*(B18)^3)/12)/(B18*B21+(1/6)*(B17)*B20)),2)</f>
        <v>2.84</v>
      </c>
      <c r="C37" s="12" t="s">
        <v>8</v>
      </c>
      <c r="D37" s="12"/>
      <c r="E37" s="13"/>
      <c r="F37" s="13"/>
      <c r="G37" s="13"/>
      <c r="H37" s="13"/>
      <c r="I37" s="13"/>
      <c r="J37" s="12"/>
      <c r="K37" s="12"/>
      <c r="L37" s="12"/>
      <c r="M37" s="12"/>
      <c r="N37" s="12"/>
      <c r="O37" s="12"/>
      <c r="P37" s="13"/>
      <c r="Q37" s="13"/>
    </row>
    <row r="38" spans="1:17" x14ac:dyDescent="0.2">
      <c r="A38" s="12" t="s">
        <v>30</v>
      </c>
      <c r="B38" s="12">
        <f>ROUND(((0.104*B37*(B17+2*B21))/(B18*B21))^2,2)</f>
        <v>0.83</v>
      </c>
      <c r="C38" s="12" t="s">
        <v>10</v>
      </c>
      <c r="D38" s="12"/>
      <c r="E38" s="13"/>
      <c r="F38" s="13"/>
      <c r="G38" s="13"/>
      <c r="H38" s="13"/>
      <c r="I38" s="13"/>
      <c r="J38" s="12"/>
      <c r="K38" s="12"/>
      <c r="L38" s="12"/>
      <c r="M38" s="12"/>
      <c r="N38" s="12"/>
      <c r="O38" s="12"/>
      <c r="P38" s="13"/>
      <c r="Q38" s="13"/>
    </row>
    <row r="39" spans="1:17" ht="21" x14ac:dyDescent="0.2">
      <c r="A39" s="12" t="s">
        <v>31</v>
      </c>
      <c r="B39" s="12">
        <f>ROUND(((1380*B18*B21)/((B17+2*B21)*0.6*B6))*SQRT(0.5*(1+SQRT(1+(2*B38*0.6*B6)^2))),2)</f>
        <v>416.48</v>
      </c>
      <c r="C39" s="12" t="s">
        <v>8</v>
      </c>
      <c r="D39" s="13"/>
      <c r="E39" s="17" t="s">
        <v>116</v>
      </c>
      <c r="F39" s="17"/>
      <c r="G39" s="12"/>
      <c r="H39" s="12"/>
      <c r="I39" s="13"/>
      <c r="J39" s="12"/>
      <c r="K39" s="15" t="s">
        <v>81</v>
      </c>
      <c r="L39" s="15"/>
      <c r="M39" s="12" t="s">
        <v>79</v>
      </c>
      <c r="N39" s="12">
        <f>J11</f>
        <v>6.3202800000000012</v>
      </c>
      <c r="O39" s="12" t="s">
        <v>33</v>
      </c>
      <c r="P39" s="13"/>
      <c r="Q39" s="13"/>
    </row>
    <row r="40" spans="1:17" ht="21" x14ac:dyDescent="0.2">
      <c r="A40" s="13" t="s">
        <v>98</v>
      </c>
      <c r="B40" s="20">
        <v>1.35</v>
      </c>
      <c r="C40" s="12" t="s">
        <v>10</v>
      </c>
      <c r="D40" s="13"/>
      <c r="E40" s="21" t="s">
        <v>107</v>
      </c>
      <c r="F40" s="12">
        <f>(B12*B10^3)/(48*2100*B27)</f>
        <v>3.3506058298989914E-2</v>
      </c>
      <c r="G40" s="12" t="s">
        <v>8</v>
      </c>
      <c r="H40" s="12" t="str">
        <f>IF(F40&lt;= (B10/800),"Safe","Unsafe")</f>
        <v>Safe</v>
      </c>
      <c r="I40" s="13"/>
      <c r="J40" s="12"/>
      <c r="K40" s="12" t="s">
        <v>80</v>
      </c>
      <c r="L40" s="12">
        <f>0.95*(0.5*B14+2.5*2*B21)*B20*B6</f>
        <v>34.199999999999996</v>
      </c>
      <c r="M40" s="12" t="s">
        <v>33</v>
      </c>
      <c r="N40" s="45" t="str">
        <f>IF(L40&gt;=N39,"Safe","Unsafe")</f>
        <v>Safe</v>
      </c>
      <c r="O40" s="12"/>
      <c r="P40" s="13"/>
      <c r="Q40" s="13"/>
    </row>
    <row r="41" spans="1:17" x14ac:dyDescent="0.2">
      <c r="A41" s="13"/>
      <c r="B41" s="13"/>
      <c r="C41" s="12"/>
      <c r="D41" s="13"/>
      <c r="E41" s="13"/>
      <c r="F41" s="13"/>
      <c r="G41" s="13"/>
      <c r="H41" s="13"/>
      <c r="I41" s="13"/>
      <c r="J41" s="12"/>
      <c r="K41" s="41" t="str">
        <f>IF(N40="Unsafe","Use Doubler Plate","")</f>
        <v/>
      </c>
      <c r="L41" s="41"/>
      <c r="M41" s="41"/>
      <c r="N41" s="41"/>
      <c r="P41" s="13"/>
      <c r="Q41" s="13"/>
    </row>
    <row r="42" spans="1:17" ht="21" x14ac:dyDescent="0.2">
      <c r="A42" s="13"/>
      <c r="B42" s="13"/>
      <c r="C42" s="12"/>
      <c r="D42" s="13"/>
      <c r="E42" s="12"/>
      <c r="F42" s="12"/>
      <c r="G42" s="12"/>
      <c r="H42" s="12"/>
      <c r="I42" s="12"/>
      <c r="J42" s="12"/>
      <c r="K42" s="42" t="s">
        <v>121</v>
      </c>
      <c r="L42" s="43"/>
      <c r="M42" s="1" t="s">
        <v>8</v>
      </c>
      <c r="N42" s="1"/>
      <c r="P42" s="13"/>
      <c r="Q42" s="13"/>
    </row>
    <row r="43" spans="1:17" ht="21" x14ac:dyDescent="0.2">
      <c r="A43" s="13"/>
      <c r="B43" s="13"/>
      <c r="C43" s="13"/>
      <c r="D43" s="13"/>
      <c r="E43" s="19" t="s">
        <v>117</v>
      </c>
      <c r="F43" s="19"/>
      <c r="G43" s="13"/>
      <c r="H43" s="13"/>
      <c r="I43" s="12"/>
      <c r="J43" s="12"/>
      <c r="K43" s="42" t="s">
        <v>120</v>
      </c>
      <c r="L43" s="1" t="str">
        <f>IF(N40="Unsafe",0.95*(0.5*B14+2.5*2*B21)*(B20+L42)*B6,"")</f>
        <v/>
      </c>
      <c r="M43" s="1" t="s">
        <v>33</v>
      </c>
      <c r="N43" s="2" t="str">
        <f>IF(L43&gt;=N39,"Safe","Unsafe")</f>
        <v>Safe</v>
      </c>
      <c r="P43" s="13"/>
      <c r="Q43" s="13"/>
    </row>
    <row r="44" spans="1:17" ht="21" x14ac:dyDescent="0.2">
      <c r="A44" s="13"/>
      <c r="B44" s="13"/>
      <c r="C44" s="13"/>
      <c r="D44" s="13"/>
      <c r="E44" s="12" t="s">
        <v>79</v>
      </c>
      <c r="F44" s="13">
        <f>1.6*B12*(1+B11)</f>
        <v>6.0000000000000009</v>
      </c>
      <c r="G44" s="13" t="s">
        <v>33</v>
      </c>
      <c r="H44" s="13"/>
      <c r="I44" s="12"/>
      <c r="J44" s="12"/>
      <c r="P44" s="13"/>
      <c r="Q44" s="13"/>
    </row>
    <row r="45" spans="1:17" ht="21" x14ac:dyDescent="0.2">
      <c r="A45" s="13"/>
      <c r="B45" s="13"/>
      <c r="C45" s="13"/>
      <c r="D45" s="13"/>
      <c r="E45" s="12" t="s">
        <v>80</v>
      </c>
      <c r="F45" s="12">
        <f>0.85*6.25*(B21)^2*B6</f>
        <v>51</v>
      </c>
      <c r="G45" s="12" t="s">
        <v>33</v>
      </c>
      <c r="H45" s="12" t="str">
        <f>IF(F45&gt;=F44,"Safe","Unsafe")</f>
        <v>Safe</v>
      </c>
      <c r="I45" s="13"/>
      <c r="J45" s="13"/>
      <c r="P45" s="13"/>
      <c r="Q45" s="13"/>
    </row>
    <row r="46" spans="1:17" x14ac:dyDescent="0.2">
      <c r="A46" s="13"/>
      <c r="B46" s="13"/>
      <c r="C46" s="13"/>
      <c r="D46" s="13"/>
      <c r="E46" s="44" t="str">
        <f>IF(H45=F2,"Use Doubler Plate","")</f>
        <v/>
      </c>
      <c r="F46" s="44"/>
      <c r="G46" s="44"/>
      <c r="H46" s="44"/>
      <c r="I46" s="13"/>
      <c r="J46" s="13"/>
      <c r="P46" s="13"/>
      <c r="Q46" s="13"/>
    </row>
    <row r="47" spans="1:17" ht="21" x14ac:dyDescent="0.2">
      <c r="A47" s="13"/>
      <c r="B47" s="13"/>
      <c r="C47" s="13"/>
      <c r="D47" s="13"/>
      <c r="E47" s="12" t="s">
        <v>105</v>
      </c>
      <c r="F47" s="18"/>
      <c r="G47" s="12" t="s">
        <v>8</v>
      </c>
      <c r="H47" s="12"/>
      <c r="I47" s="13"/>
      <c r="J47" s="13"/>
      <c r="P47" s="13"/>
      <c r="Q47" s="13"/>
    </row>
    <row r="48" spans="1:17" ht="21" x14ac:dyDescent="0.2">
      <c r="A48" s="13"/>
      <c r="B48" s="13"/>
      <c r="C48" s="13"/>
      <c r="D48" s="13"/>
      <c r="E48" s="12" t="s">
        <v>80</v>
      </c>
      <c r="F48" s="12" t="str">
        <f>IF(H45=F2,0.85*6.25*(B21+F47)^2*B6,"0")</f>
        <v>0</v>
      </c>
      <c r="G48" s="12" t="s">
        <v>33</v>
      </c>
      <c r="H48" s="12" t="str">
        <f>IF(F48&gt;=F44,"Safe","Unsafe")</f>
        <v>Safe</v>
      </c>
      <c r="I48" s="13"/>
      <c r="J48" s="13"/>
      <c r="P48" s="13"/>
      <c r="Q48" s="13"/>
    </row>
    <row r="49" spans="1:3" x14ac:dyDescent="0.2">
      <c r="A49" s="13"/>
      <c r="B49" s="13"/>
      <c r="C49" s="13"/>
    </row>
  </sheetData>
  <mergeCells count="27">
    <mergeCell ref="K41:N41"/>
    <mergeCell ref="A9:C9"/>
    <mergeCell ref="K31:L31"/>
    <mergeCell ref="I8:K8"/>
    <mergeCell ref="B5:C5"/>
    <mergeCell ref="E5:F5"/>
    <mergeCell ref="A23:C23"/>
    <mergeCell ref="A16:C16"/>
    <mergeCell ref="E10:F10"/>
    <mergeCell ref="E18:F18"/>
    <mergeCell ref="E31:F31"/>
    <mergeCell ref="H19:H20"/>
    <mergeCell ref="E27:F27"/>
    <mergeCell ref="E28:F28"/>
    <mergeCell ref="E17:F17"/>
    <mergeCell ref="J19:J20"/>
    <mergeCell ref="I19:I20"/>
    <mergeCell ref="E22:F22"/>
    <mergeCell ref="I23:I25"/>
    <mergeCell ref="E46:H46"/>
    <mergeCell ref="E36:F36"/>
    <mergeCell ref="E39:F39"/>
    <mergeCell ref="K32:L32"/>
    <mergeCell ref="K39:L39"/>
    <mergeCell ref="E35:F35"/>
    <mergeCell ref="E43:F43"/>
    <mergeCell ref="K34:N34"/>
  </mergeCells>
  <conditionalFormatting sqref="H27:H28 G32 I36 H40 N40 N33 N37">
    <cfRule type="cellIs" dxfId="15" priority="13" operator="equal">
      <formula>"Safe"</formula>
    </cfRule>
  </conditionalFormatting>
  <conditionalFormatting sqref="H27:H28 G32 I36 H40 N40 N33 N37">
    <cfRule type="cellIs" dxfId="14" priority="12" operator="equal">
      <formula>"Unsafe"</formula>
    </cfRule>
  </conditionalFormatting>
  <conditionalFormatting sqref="H45">
    <cfRule type="cellIs" dxfId="13" priority="10" operator="equal">
      <formula>"unsafe"</formula>
    </cfRule>
    <cfRule type="cellIs" dxfId="12" priority="11" operator="equal">
      <formula>"safe"</formula>
    </cfRule>
  </conditionalFormatting>
  <conditionalFormatting sqref="E46:H46">
    <cfRule type="cellIs" dxfId="11" priority="9" operator="equal">
      <formula>"use doubler plate"</formula>
    </cfRule>
  </conditionalFormatting>
  <conditionalFormatting sqref="H48">
    <cfRule type="cellIs" dxfId="10" priority="7" operator="equal">
      <formula>"unsafe"</formula>
    </cfRule>
    <cfRule type="cellIs" dxfId="9" priority="8" operator="equal">
      <formula>"safe"</formula>
    </cfRule>
  </conditionalFormatting>
  <conditionalFormatting sqref="N36">
    <cfRule type="cellIs" dxfId="8" priority="5" operator="equal">
      <formula>"Unsafe"</formula>
    </cfRule>
    <cfRule type="cellIs" dxfId="7" priority="6" operator="equal">
      <formula>"Safe"</formula>
    </cfRule>
  </conditionalFormatting>
  <conditionalFormatting sqref="K34:N34">
    <cfRule type="cellIs" dxfId="6" priority="4" operator="equal">
      <formula>"Increase web thickness"</formula>
    </cfRule>
  </conditionalFormatting>
  <conditionalFormatting sqref="N43">
    <cfRule type="cellIs" dxfId="5" priority="2" operator="equal">
      <formula>"Unsafe"</formula>
    </cfRule>
    <cfRule type="cellIs" dxfId="4" priority="3" operator="equal">
      <formula>"Safe"</formula>
    </cfRule>
  </conditionalFormatting>
  <conditionalFormatting sqref="K41:N41">
    <cfRule type="cellIs" dxfId="3" priority="1" operator="equal">
      <formula>"Use Doubler Plate"</formula>
    </cfRule>
  </conditionalFormatting>
  <dataValidations count="2">
    <dataValidation type="list" allowBlank="1" showInputMessage="1" showErrorMessage="1" sqref="B11" xr:uid="{C9857CB6-ED03-4D89-AC82-07566CAAE13C}">
      <formula1>$E$1:$E$2</formula1>
    </dataValidation>
    <dataValidation type="list" allowBlank="1" showInputMessage="1" showErrorMessage="1" sqref="B5:C5" xr:uid="{BADC8BC7-BC72-410C-83F1-AE44A71B029C}">
      <formula1>$A$1:$A$3</formula1>
    </dataValidation>
  </dataValidations>
  <pageMargins left="0.7" right="0.7" top="0.75" bottom="0.75" header="0.3" footer="0.3"/>
  <pageSetup paperSize="8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Rolled</vt:lpstr>
      <vt:lpstr>B.U.S</vt:lpstr>
      <vt:lpstr>B.U.S!Print_Area</vt:lpstr>
      <vt:lpstr>Rolled!Print_Area</vt:lpstr>
      <vt:lpstr>table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Windows User</cp:lastModifiedBy>
  <cp:lastPrinted>2022-03-11T14:44:21Z</cp:lastPrinted>
  <dcterms:created xsi:type="dcterms:W3CDTF">2019-09-17T18:34:45Z</dcterms:created>
  <dcterms:modified xsi:type="dcterms:W3CDTF">2022-03-11T14:50:10Z</dcterms:modified>
</cp:coreProperties>
</file>