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Study\all about steel structure\Excel Sheets\my sheets\LRFD\"/>
    </mc:Choice>
  </mc:AlternateContent>
  <xr:revisionPtr revIDLastSave="0" documentId="13_ncr:1_{D05A4776-CCA2-4E3B-8BB1-FC8F76F26A87}" xr6:coauthVersionLast="47" xr6:coauthVersionMax="47" xr10:uidLastSave="{00000000-0000-0000-0000-000000000000}"/>
  <bookViews>
    <workbookView xWindow="-120" yWindow="-120" windowWidth="20730" windowHeight="11310" activeTab="1" xr2:uid="{59C5A3F8-C2D2-47D1-A551-F3C38B65300D}"/>
  </bookViews>
  <sheets>
    <sheet name="Rolled IPE" sheetId="1" r:id="rId1"/>
    <sheet name="Rolled HEB" sheetId="2" r:id="rId2"/>
    <sheet name="chart" sheetId="3" r:id="rId3"/>
  </sheets>
  <definedNames>
    <definedName name="_xlnm.Print_Area" localSheetId="1">'Rolled HEB'!$A$4:$J$27</definedName>
    <definedName name="_xlnm.Print_Area" localSheetId="0">'Rolled IPE'!$A$4:$J$28</definedName>
    <definedName name="table1" localSheetId="2">chart!$R$2:$AG$21</definedName>
    <definedName name="table1">'Rolled IPE'!$N$2:$AC$21</definedName>
    <definedName name="table2">'Rolled HEB'!$O$2:$AC$28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7" i="3" l="1"/>
  <c r="J68" i="3"/>
  <c r="J69" i="3"/>
  <c r="J70" i="3"/>
  <c r="J71" i="3"/>
  <c r="J72" i="3"/>
  <c r="J73" i="3"/>
  <c r="J74" i="3"/>
  <c r="J75" i="3"/>
  <c r="J76" i="3"/>
  <c r="J77" i="3"/>
  <c r="J78" i="3"/>
  <c r="J66" i="3"/>
  <c r="J53" i="3"/>
  <c r="J56" i="3"/>
  <c r="J57" i="3"/>
  <c r="J58" i="3"/>
  <c r="J59" i="3"/>
  <c r="J60" i="3"/>
  <c r="J61" i="3"/>
  <c r="J41" i="3"/>
  <c r="J42" i="3"/>
  <c r="J43" i="3"/>
  <c r="J44" i="3"/>
  <c r="M24" i="3"/>
  <c r="F18" i="3"/>
  <c r="F17" i="3"/>
  <c r="F16" i="3"/>
  <c r="F15" i="3"/>
  <c r="F14" i="3"/>
  <c r="F13" i="3"/>
  <c r="F12" i="3"/>
  <c r="J11" i="3"/>
  <c r="F11" i="3"/>
  <c r="F10" i="3"/>
  <c r="F9" i="3"/>
  <c r="F8" i="3"/>
  <c r="F7" i="3"/>
  <c r="F6" i="3"/>
  <c r="B6" i="3"/>
  <c r="F5" i="3"/>
  <c r="B5" i="3"/>
  <c r="J33" i="3" s="1"/>
  <c r="I27" i="2"/>
  <c r="J52" i="3" l="1"/>
  <c r="J55" i="3"/>
  <c r="J51" i="3"/>
  <c r="J49" i="3"/>
  <c r="J54" i="3"/>
  <c r="J50" i="3"/>
  <c r="J40" i="3"/>
  <c r="J36" i="3"/>
  <c r="J39" i="3"/>
  <c r="J35" i="3"/>
  <c r="J38" i="3"/>
  <c r="J34" i="3"/>
  <c r="J32" i="3"/>
  <c r="J37" i="3"/>
  <c r="J7" i="3"/>
  <c r="K7" i="3" s="1"/>
  <c r="K21" i="3"/>
  <c r="L21" i="3" s="1"/>
  <c r="J13" i="3"/>
  <c r="J14" i="3" s="1"/>
  <c r="J15" i="3" s="1"/>
  <c r="J12" i="3"/>
  <c r="J8" i="3"/>
  <c r="K8" i="3" s="1"/>
  <c r="I28" i="1"/>
  <c r="L7" i="3" l="1"/>
  <c r="M13" i="3"/>
  <c r="K18" i="3" s="1"/>
  <c r="L18" i="3" s="1"/>
  <c r="B12" i="2"/>
  <c r="B6" i="2"/>
  <c r="B5" i="2"/>
  <c r="B24" i="2"/>
  <c r="B22" i="2"/>
  <c r="B21" i="2"/>
  <c r="B23" i="2"/>
  <c r="B20" i="2"/>
  <c r="B13" i="2"/>
  <c r="B19" i="2"/>
  <c r="B18" i="2"/>
  <c r="B17" i="2"/>
  <c r="B16" i="2"/>
  <c r="B15" i="2"/>
  <c r="B14" i="2"/>
  <c r="B24" i="1"/>
  <c r="B25" i="1"/>
  <c r="B23" i="1"/>
  <c r="B22" i="1"/>
  <c r="F15" i="1" s="1"/>
  <c r="B21" i="1"/>
  <c r="B20" i="1"/>
  <c r="B19" i="1"/>
  <c r="B18" i="1"/>
  <c r="B17" i="1"/>
  <c r="B16" i="1"/>
  <c r="B15" i="1"/>
  <c r="B14" i="1"/>
  <c r="B13" i="1"/>
  <c r="B12" i="1"/>
  <c r="G24" i="2" l="1"/>
  <c r="F17" i="1"/>
  <c r="F18" i="1" s="1"/>
  <c r="F11" i="2"/>
  <c r="G11" i="2" s="1"/>
  <c r="F10" i="2"/>
  <c r="G10" i="2" s="1"/>
  <c r="H10" i="2" s="1"/>
  <c r="H24" i="2"/>
  <c r="F15" i="2"/>
  <c r="F16" i="2"/>
  <c r="F17" i="2" s="1"/>
  <c r="F18" i="2" s="1"/>
  <c r="F14" i="2"/>
  <c r="F11" i="1"/>
  <c r="F12" i="1"/>
  <c r="I16" i="2" l="1"/>
  <c r="G21" i="2" s="1"/>
  <c r="H21" i="2" s="1"/>
  <c r="B6" i="1"/>
  <c r="B5" i="1"/>
  <c r="G25" i="1" l="1"/>
  <c r="H25" i="1" s="1"/>
  <c r="G12" i="1"/>
  <c r="G11" i="1"/>
  <c r="F19" i="1"/>
  <c r="F16" i="1"/>
  <c r="I17" i="1" l="1"/>
  <c r="G22" i="1" s="1"/>
  <c r="H22" i="1" s="1"/>
  <c r="H11" i="1"/>
</calcChain>
</file>

<file path=xl/sharedStrings.xml><?xml version="1.0" encoding="utf-8"?>
<sst xmlns="http://schemas.openxmlformats.org/spreadsheetml/2006/main" count="314" uniqueCount="131">
  <si>
    <t>Compact</t>
  </si>
  <si>
    <t>Non-Compact</t>
  </si>
  <si>
    <t>Slender</t>
  </si>
  <si>
    <t>Steel Type</t>
  </si>
  <si>
    <t>cm</t>
  </si>
  <si>
    <t>IPE</t>
  </si>
  <si>
    <t>Sec.</t>
  </si>
  <si>
    <t>Area</t>
  </si>
  <si>
    <t>Weight</t>
  </si>
  <si>
    <t>Dimensions (mm)</t>
  </si>
  <si>
    <t>x-x</t>
  </si>
  <si>
    <t>y-y</t>
  </si>
  <si>
    <t>No.</t>
  </si>
  <si>
    <t>(kg/m`)</t>
  </si>
  <si>
    <t>h</t>
  </si>
  <si>
    <t>b</t>
  </si>
  <si>
    <t>s</t>
  </si>
  <si>
    <t>r</t>
  </si>
  <si>
    <t>t</t>
  </si>
  <si>
    <t>c</t>
  </si>
  <si>
    <t>h-2c</t>
  </si>
  <si>
    <t>mm</t>
  </si>
  <si>
    <t>kg/m'</t>
  </si>
  <si>
    <t>unitless</t>
  </si>
  <si>
    <t>Checks:</t>
  </si>
  <si>
    <t>i- Compactness</t>
  </si>
  <si>
    <t>ii- L.T.B</t>
  </si>
  <si>
    <t>Cm.t</t>
  </si>
  <si>
    <t>iii- Bending</t>
  </si>
  <si>
    <t>iv- Shear</t>
  </si>
  <si>
    <t xml:space="preserve">Straining Actions </t>
  </si>
  <si>
    <t>cm.t</t>
  </si>
  <si>
    <t>ton</t>
  </si>
  <si>
    <t>HEB</t>
  </si>
  <si>
    <t>v- Deflection</t>
  </si>
  <si>
    <r>
      <t>(cm</t>
    </r>
    <r>
      <rPr>
        <b/>
        <vertAlign val="superscript"/>
        <sz val="14"/>
        <rFont val="Agency FB"/>
        <family val="2"/>
      </rPr>
      <t>2</t>
    </r>
    <r>
      <rPr>
        <b/>
        <sz val="14"/>
        <rFont val="Agency FB"/>
        <family val="2"/>
      </rPr>
      <t>)</t>
    </r>
  </si>
  <si>
    <r>
      <t>I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4</t>
    </r>
    <r>
      <rPr>
        <b/>
        <sz val="14"/>
        <rFont val="Agency FB"/>
        <family val="2"/>
      </rPr>
      <t>)</t>
    </r>
  </si>
  <si>
    <r>
      <t>S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3</t>
    </r>
    <r>
      <rPr>
        <b/>
        <sz val="14"/>
        <rFont val="Agency FB"/>
        <family val="2"/>
      </rPr>
      <t>)</t>
    </r>
  </si>
  <si>
    <r>
      <t>r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(cm)</t>
    </r>
  </si>
  <si>
    <r>
      <t>I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4</t>
    </r>
    <r>
      <rPr>
        <b/>
        <sz val="14"/>
        <rFont val="Agency FB"/>
        <family val="2"/>
      </rPr>
      <t>)</t>
    </r>
  </si>
  <si>
    <r>
      <t>S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3</t>
    </r>
    <r>
      <rPr>
        <b/>
        <sz val="14"/>
        <rFont val="Agency FB"/>
        <family val="2"/>
      </rPr>
      <t>)</t>
    </r>
  </si>
  <si>
    <r>
      <t>r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(cm)</t>
    </r>
  </si>
  <si>
    <r>
      <t>t/cm</t>
    </r>
    <r>
      <rPr>
        <b/>
        <vertAlign val="superscript"/>
        <sz val="14"/>
        <color theme="1"/>
        <rFont val="Agency FB"/>
        <family val="2"/>
      </rPr>
      <t>2</t>
    </r>
  </si>
  <si>
    <r>
      <t>cm</t>
    </r>
    <r>
      <rPr>
        <b/>
        <vertAlign val="superscript"/>
        <sz val="14"/>
        <color theme="1"/>
        <rFont val="Agency FB"/>
        <family val="2"/>
      </rPr>
      <t>2</t>
    </r>
  </si>
  <si>
    <r>
      <t>M</t>
    </r>
    <r>
      <rPr>
        <b/>
        <vertAlign val="subscript"/>
        <sz val="14"/>
        <color theme="1"/>
        <rFont val="Agency FB"/>
        <family val="2"/>
      </rPr>
      <t>nx</t>
    </r>
    <r>
      <rPr>
        <b/>
        <sz val="14"/>
        <color theme="1"/>
        <rFont val="Agency FB"/>
        <family val="2"/>
      </rPr>
      <t xml:space="preserve"> =</t>
    </r>
  </si>
  <si>
    <r>
      <t>cm</t>
    </r>
    <r>
      <rPr>
        <b/>
        <vertAlign val="superscript"/>
        <sz val="14"/>
        <color theme="1"/>
        <rFont val="Agency FB"/>
        <family val="2"/>
      </rPr>
      <t>4</t>
    </r>
    <r>
      <rPr>
        <sz val="11"/>
        <color theme="1"/>
        <rFont val="Arial"/>
        <family val="2"/>
        <scheme val="minor"/>
      </rPr>
      <t/>
    </r>
  </si>
  <si>
    <r>
      <t>cm</t>
    </r>
    <r>
      <rPr>
        <b/>
        <vertAlign val="superscript"/>
        <sz val="14"/>
        <color theme="1"/>
        <rFont val="Agency FB"/>
        <family val="2"/>
      </rPr>
      <t>3</t>
    </r>
    <r>
      <rPr>
        <sz val="11"/>
        <color theme="1"/>
        <rFont val="Arial"/>
        <family val="2"/>
        <scheme val="minor"/>
      </rPr>
      <t/>
    </r>
  </si>
  <si>
    <r>
      <t>M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/ fM</t>
    </r>
    <r>
      <rPr>
        <b/>
        <vertAlign val="subscript"/>
        <sz val="14"/>
        <color theme="1"/>
        <rFont val="Agency FB"/>
        <family val="2"/>
      </rPr>
      <t>nx</t>
    </r>
    <r>
      <rPr>
        <b/>
        <sz val="14"/>
        <color theme="1"/>
        <rFont val="Agency FB"/>
        <family val="2"/>
      </rPr>
      <t xml:space="preserve"> =</t>
    </r>
  </si>
  <si>
    <r>
      <t>Q</t>
    </r>
    <r>
      <rPr>
        <b/>
        <vertAlign val="subscript"/>
        <sz val="14"/>
        <color theme="1"/>
        <rFont val="Agency FB"/>
        <family val="2"/>
      </rPr>
      <t>u</t>
    </r>
    <r>
      <rPr>
        <b/>
        <sz val="14"/>
        <color theme="1"/>
        <rFont val="Agency FB"/>
        <family val="2"/>
      </rPr>
      <t xml:space="preserve"> / V</t>
    </r>
    <r>
      <rPr>
        <b/>
        <vertAlign val="subscript"/>
        <sz val="14"/>
        <color theme="1"/>
        <rFont val="Agency FB"/>
        <family val="2"/>
      </rPr>
      <t>r</t>
    </r>
    <r>
      <rPr>
        <b/>
        <sz val="14"/>
        <color theme="1"/>
        <rFont val="Agency FB"/>
        <family val="2"/>
      </rPr>
      <t xml:space="preserve"> =</t>
    </r>
  </si>
  <si>
    <r>
      <t>F</t>
    </r>
    <r>
      <rPr>
        <b/>
        <vertAlign val="subscript"/>
        <sz val="14"/>
        <color theme="1"/>
        <rFont val="Agency FB"/>
        <family val="2"/>
      </rPr>
      <t>y</t>
    </r>
    <r>
      <rPr>
        <b/>
        <sz val="14"/>
        <color theme="1"/>
        <rFont val="Agency FB"/>
        <family val="2"/>
      </rPr>
      <t xml:space="preserve"> =</t>
    </r>
  </si>
  <si>
    <r>
      <t>F</t>
    </r>
    <r>
      <rPr>
        <b/>
        <vertAlign val="subscript"/>
        <sz val="14"/>
        <color theme="1"/>
        <rFont val="Agency FB"/>
        <family val="2"/>
      </rPr>
      <t>u</t>
    </r>
    <r>
      <rPr>
        <b/>
        <sz val="14"/>
        <color theme="1"/>
        <rFont val="Agency FB"/>
        <family val="2"/>
      </rPr>
      <t xml:space="preserve"> =</t>
    </r>
  </si>
  <si>
    <t>Span =</t>
  </si>
  <si>
    <r>
      <t>L</t>
    </r>
    <r>
      <rPr>
        <b/>
        <vertAlign val="subscript"/>
        <sz val="14"/>
        <color theme="1"/>
        <rFont val="Agency FB"/>
        <family val="2"/>
      </rPr>
      <t>b</t>
    </r>
    <r>
      <rPr>
        <b/>
        <sz val="14"/>
        <color theme="1"/>
        <rFont val="Agency FB"/>
        <family val="2"/>
      </rPr>
      <t xml:space="preserve"> =</t>
    </r>
  </si>
  <si>
    <t>Section:</t>
  </si>
  <si>
    <t>Weight =</t>
  </si>
  <si>
    <t>Area =</t>
  </si>
  <si>
    <t>h =</t>
  </si>
  <si>
    <t>b =</t>
  </si>
  <si>
    <t>s =</t>
  </si>
  <si>
    <t>r =</t>
  </si>
  <si>
    <t>t =</t>
  </si>
  <si>
    <t>c =</t>
  </si>
  <si>
    <t>h-2c =</t>
  </si>
  <si>
    <r>
      <t>I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=</t>
    </r>
  </si>
  <si>
    <r>
      <t>S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=</t>
    </r>
  </si>
  <si>
    <r>
      <t>Z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=</t>
    </r>
  </si>
  <si>
    <r>
      <t>r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=</t>
    </r>
  </si>
  <si>
    <r>
      <t>I</t>
    </r>
    <r>
      <rPr>
        <b/>
        <vertAlign val="subscript"/>
        <sz val="14"/>
        <color theme="1"/>
        <rFont val="Agency FB"/>
        <family val="2"/>
      </rPr>
      <t>y</t>
    </r>
    <r>
      <rPr>
        <b/>
        <sz val="14"/>
        <color theme="1"/>
        <rFont val="Agency FB"/>
        <family val="2"/>
      </rPr>
      <t xml:space="preserve"> =</t>
    </r>
  </si>
  <si>
    <r>
      <t>r</t>
    </r>
    <r>
      <rPr>
        <b/>
        <vertAlign val="subscript"/>
        <sz val="14"/>
        <color theme="1"/>
        <rFont val="Agency FB"/>
        <family val="2"/>
      </rPr>
      <t>y</t>
    </r>
    <r>
      <rPr>
        <b/>
        <sz val="14"/>
        <color theme="1"/>
        <rFont val="Agency FB"/>
        <family val="2"/>
      </rPr>
      <t xml:space="preserve"> =</t>
    </r>
  </si>
  <si>
    <r>
      <t>L</t>
    </r>
    <r>
      <rPr>
        <b/>
        <vertAlign val="subscript"/>
        <sz val="14"/>
        <color theme="1"/>
        <rFont val="Agency FB"/>
        <family val="2"/>
      </rPr>
      <t>p</t>
    </r>
    <r>
      <rPr>
        <b/>
        <sz val="14"/>
        <color theme="1"/>
        <rFont val="Agency FB"/>
        <family val="2"/>
      </rPr>
      <t xml:space="preserve"> =</t>
    </r>
  </si>
  <si>
    <r>
      <t>r</t>
    </r>
    <r>
      <rPr>
        <b/>
        <vertAlign val="subscript"/>
        <sz val="14"/>
        <color theme="1"/>
        <rFont val="Agency FB"/>
        <family val="2"/>
      </rPr>
      <t>t</t>
    </r>
    <r>
      <rPr>
        <b/>
        <sz val="14"/>
        <color theme="1"/>
        <rFont val="Agency FB"/>
        <family val="2"/>
      </rPr>
      <t xml:space="preserve"> =</t>
    </r>
  </si>
  <si>
    <t>X =</t>
  </si>
  <si>
    <r>
      <t>L</t>
    </r>
    <r>
      <rPr>
        <b/>
        <vertAlign val="subscript"/>
        <sz val="14"/>
        <color theme="1"/>
        <rFont val="Agency FB"/>
        <family val="2"/>
      </rPr>
      <t>r</t>
    </r>
    <r>
      <rPr>
        <b/>
        <sz val="14"/>
        <color theme="1"/>
        <rFont val="Agency FB"/>
        <family val="2"/>
      </rPr>
      <t xml:space="preserve"> =</t>
    </r>
  </si>
  <si>
    <r>
      <t>M</t>
    </r>
    <r>
      <rPr>
        <b/>
        <vertAlign val="subscript"/>
        <sz val="14"/>
        <color theme="1"/>
        <rFont val="Agency FB"/>
        <family val="2"/>
      </rPr>
      <t>u</t>
    </r>
    <r>
      <rPr>
        <b/>
        <sz val="14"/>
        <color theme="1"/>
        <rFont val="Agency FB"/>
        <family val="2"/>
      </rPr>
      <t xml:space="preserve"> =</t>
    </r>
  </si>
  <si>
    <r>
      <t>Q</t>
    </r>
    <r>
      <rPr>
        <b/>
        <vertAlign val="subscript"/>
        <sz val="14"/>
        <color theme="1"/>
        <rFont val="Agency FB"/>
        <family val="2"/>
      </rPr>
      <t>u</t>
    </r>
    <r>
      <rPr>
        <b/>
        <sz val="14"/>
        <color theme="1"/>
        <rFont val="Agency FB"/>
        <family val="2"/>
      </rPr>
      <t xml:space="preserve"> =</t>
    </r>
  </si>
  <si>
    <r>
      <t>h</t>
    </r>
    <r>
      <rPr>
        <b/>
        <vertAlign val="subscript"/>
        <sz val="14"/>
        <color theme="1"/>
        <rFont val="Agency FB"/>
        <family val="2"/>
      </rPr>
      <t>w</t>
    </r>
    <r>
      <rPr>
        <b/>
        <sz val="14"/>
        <color theme="1"/>
        <rFont val="Agency FB"/>
        <family val="2"/>
      </rPr>
      <t>/t</t>
    </r>
    <r>
      <rPr>
        <b/>
        <vertAlign val="subscript"/>
        <sz val="14"/>
        <color theme="1"/>
        <rFont val="Agency FB"/>
        <family val="2"/>
      </rPr>
      <t>w</t>
    </r>
    <r>
      <rPr>
        <b/>
        <sz val="14"/>
        <color theme="1"/>
        <rFont val="Agency FB"/>
        <family val="2"/>
      </rPr>
      <t xml:space="preserve"> =</t>
    </r>
  </si>
  <si>
    <r>
      <t>C/t</t>
    </r>
    <r>
      <rPr>
        <b/>
        <vertAlign val="subscript"/>
        <sz val="14"/>
        <color theme="1"/>
        <rFont val="Agency FB"/>
        <family val="2"/>
      </rPr>
      <t>f</t>
    </r>
    <r>
      <rPr>
        <b/>
        <sz val="14"/>
        <color theme="1"/>
        <rFont val="Agency FB"/>
        <family val="2"/>
      </rPr>
      <t xml:space="preserve"> =</t>
    </r>
  </si>
  <si>
    <t>t=r =</t>
  </si>
  <si>
    <r>
      <rPr>
        <b/>
        <sz val="14"/>
        <color theme="1"/>
        <rFont val="Symbol"/>
        <family val="1"/>
        <charset val="2"/>
      </rPr>
      <t>d</t>
    </r>
    <r>
      <rPr>
        <b/>
        <vertAlign val="subscript"/>
        <sz val="14"/>
        <color theme="1"/>
        <rFont val="Agency FB"/>
        <family val="2"/>
      </rPr>
      <t>act</t>
    </r>
    <r>
      <rPr>
        <b/>
        <sz val="14"/>
        <color theme="1"/>
        <rFont val="Agency FB"/>
        <family val="2"/>
      </rPr>
      <t xml:space="preserve"> =</t>
    </r>
  </si>
  <si>
    <r>
      <t>M</t>
    </r>
    <r>
      <rPr>
        <b/>
        <vertAlign val="subscript"/>
        <sz val="14"/>
        <color theme="1"/>
        <rFont val="Agency FB"/>
        <family val="2"/>
      </rPr>
      <t>nx</t>
    </r>
    <r>
      <rPr>
        <b/>
        <sz val="14"/>
        <color theme="1"/>
        <rFont val="Agency FB"/>
        <family val="2"/>
      </rPr>
      <t xml:space="preserve"> </t>
    </r>
  </si>
  <si>
    <r>
      <t>L</t>
    </r>
    <r>
      <rPr>
        <b/>
        <vertAlign val="subscript"/>
        <sz val="14"/>
        <color theme="1"/>
        <rFont val="Agency FB"/>
        <family val="2"/>
      </rPr>
      <t>b</t>
    </r>
    <r>
      <rPr>
        <b/>
        <sz val="14"/>
        <color theme="1"/>
        <rFont val="Agency FB"/>
        <family val="2"/>
      </rPr>
      <t xml:space="preserve"> </t>
    </r>
  </si>
  <si>
    <t xml:space="preserve">h </t>
  </si>
  <si>
    <t xml:space="preserve">b </t>
  </si>
  <si>
    <t xml:space="preserve">t </t>
  </si>
  <si>
    <t xml:space="preserve">Sx </t>
  </si>
  <si>
    <t>IPE 400</t>
  </si>
  <si>
    <t xml:space="preserve">Lb </t>
  </si>
  <si>
    <t xml:space="preserve">Mnx </t>
  </si>
  <si>
    <t>IPE 360</t>
  </si>
  <si>
    <t>IPE 300</t>
  </si>
  <si>
    <r>
      <t>Z</t>
    </r>
    <r>
      <rPr>
        <b/>
        <vertAlign val="subscript"/>
        <sz val="14"/>
        <color theme="1"/>
        <rFont val="Agency FB"/>
        <family val="2"/>
      </rPr>
      <t>x</t>
    </r>
    <r>
      <rPr>
        <b/>
        <sz val="14"/>
        <color theme="1"/>
        <rFont val="Agency FB"/>
        <family val="2"/>
      </rPr>
      <t xml:space="preserve"> </t>
    </r>
  </si>
  <si>
    <r>
      <t>r</t>
    </r>
    <r>
      <rPr>
        <b/>
        <vertAlign val="subscript"/>
        <sz val="14"/>
        <color theme="1"/>
        <rFont val="Agency FB"/>
        <family val="2"/>
      </rPr>
      <t>t</t>
    </r>
    <r>
      <rPr>
        <b/>
        <sz val="14"/>
        <color theme="1"/>
        <rFont val="Agency FB"/>
        <family val="2"/>
      </rPr>
      <t xml:space="preserve"> </t>
    </r>
  </si>
  <si>
    <r>
      <t>L</t>
    </r>
    <r>
      <rPr>
        <b/>
        <vertAlign val="subscript"/>
        <sz val="14"/>
        <color theme="1"/>
        <rFont val="Agency FB"/>
        <family val="2"/>
      </rPr>
      <t>p</t>
    </r>
    <r>
      <rPr>
        <b/>
        <sz val="14"/>
        <color theme="1"/>
        <rFont val="Agency FB"/>
        <family val="2"/>
      </rPr>
      <t xml:space="preserve"> </t>
    </r>
  </si>
  <si>
    <r>
      <t>L</t>
    </r>
    <r>
      <rPr>
        <b/>
        <vertAlign val="subscript"/>
        <sz val="14"/>
        <color theme="1"/>
        <rFont val="Agency FB"/>
        <family val="2"/>
      </rPr>
      <t>r</t>
    </r>
    <r>
      <rPr>
        <b/>
        <sz val="14"/>
        <color theme="1"/>
        <rFont val="Agency FB"/>
        <family val="2"/>
      </rPr>
      <t xml:space="preserve"> </t>
    </r>
  </si>
  <si>
    <t>Compact Section</t>
  </si>
  <si>
    <t>Steel 37</t>
  </si>
  <si>
    <t>Cb = 1</t>
  </si>
  <si>
    <r>
      <t>M</t>
    </r>
    <r>
      <rPr>
        <b/>
        <vertAlign val="subscript"/>
        <sz val="14"/>
        <color theme="1"/>
        <rFont val="Calibri"/>
        <family val="2"/>
      </rPr>
      <t>u</t>
    </r>
    <r>
      <rPr>
        <b/>
        <sz val="14"/>
        <color theme="1"/>
        <rFont val="Calibri"/>
        <family val="2"/>
      </rPr>
      <t xml:space="preserve"> =</t>
    </r>
  </si>
  <si>
    <r>
      <t>(cm</t>
    </r>
    <r>
      <rPr>
        <b/>
        <vertAlign val="superscript"/>
        <sz val="14"/>
        <rFont val="Calibri"/>
        <family val="2"/>
      </rPr>
      <t>2</t>
    </r>
    <r>
      <rPr>
        <b/>
        <sz val="14"/>
        <rFont val="Calibri"/>
        <family val="2"/>
      </rPr>
      <t>)</t>
    </r>
  </si>
  <si>
    <r>
      <t>I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4</t>
    </r>
    <r>
      <rPr>
        <b/>
        <sz val="14"/>
        <rFont val="Calibri"/>
        <family val="2"/>
      </rPr>
      <t>)</t>
    </r>
  </si>
  <si>
    <r>
      <t>S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)</t>
    </r>
  </si>
  <si>
    <r>
      <t>r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(cm)</t>
    </r>
  </si>
  <si>
    <r>
      <t>I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4</t>
    </r>
    <r>
      <rPr>
        <b/>
        <sz val="14"/>
        <rFont val="Calibri"/>
        <family val="2"/>
      </rPr>
      <t>)</t>
    </r>
  </si>
  <si>
    <r>
      <t>S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)</t>
    </r>
  </si>
  <si>
    <r>
      <t>r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(cm)</t>
    </r>
  </si>
  <si>
    <r>
      <t>Q</t>
    </r>
    <r>
      <rPr>
        <b/>
        <vertAlign val="subscript"/>
        <sz val="14"/>
        <color theme="1"/>
        <rFont val="Calibri"/>
        <family val="2"/>
      </rPr>
      <t>u</t>
    </r>
    <r>
      <rPr>
        <b/>
        <sz val="14"/>
        <color theme="1"/>
        <rFont val="Calibri"/>
        <family val="2"/>
      </rPr>
      <t xml:space="preserve"> =</t>
    </r>
  </si>
  <si>
    <r>
      <t>F</t>
    </r>
    <r>
      <rPr>
        <b/>
        <vertAlign val="subscript"/>
        <sz val="14"/>
        <color theme="1"/>
        <rFont val="Calibri"/>
        <family val="2"/>
      </rPr>
      <t>y</t>
    </r>
    <r>
      <rPr>
        <b/>
        <sz val="14"/>
        <color theme="1"/>
        <rFont val="Calibri"/>
        <family val="2"/>
      </rPr>
      <t xml:space="preserve"> =</t>
    </r>
  </si>
  <si>
    <r>
      <t>t/cm</t>
    </r>
    <r>
      <rPr>
        <b/>
        <vertAlign val="superscript"/>
        <sz val="14"/>
        <color theme="1"/>
        <rFont val="Calibri"/>
        <family val="2"/>
      </rPr>
      <t>2</t>
    </r>
  </si>
  <si>
    <r>
      <t>F</t>
    </r>
    <r>
      <rPr>
        <b/>
        <vertAlign val="subscript"/>
        <sz val="14"/>
        <color theme="1"/>
        <rFont val="Calibri"/>
        <family val="2"/>
      </rPr>
      <t>u</t>
    </r>
    <r>
      <rPr>
        <b/>
        <sz val="14"/>
        <color theme="1"/>
        <rFont val="Calibri"/>
        <family val="2"/>
      </rPr>
      <t xml:space="preserve"> =</t>
    </r>
  </si>
  <si>
    <r>
      <t>h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>/t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 xml:space="preserve"> =</t>
    </r>
  </si>
  <si>
    <r>
      <t>C/t</t>
    </r>
    <r>
      <rPr>
        <b/>
        <vertAlign val="subscript"/>
        <sz val="14"/>
        <color theme="1"/>
        <rFont val="Calibri"/>
        <family val="2"/>
      </rPr>
      <t>f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</si>
  <si>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bscript"/>
        <sz val="14"/>
        <color theme="1"/>
        <rFont val="Calibri"/>
        <family val="2"/>
      </rPr>
      <t>b</t>
    </r>
    <r>
      <rPr>
        <b/>
        <sz val="14"/>
        <color theme="1"/>
        <rFont val="Calibri"/>
        <family val="2"/>
      </rPr>
      <t xml:space="preserve"> =</t>
    </r>
  </si>
  <si>
    <r>
      <t>Z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</si>
  <si>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3</t>
    </r>
    <r>
      <rPr>
        <sz val="11"/>
        <color theme="1"/>
        <rFont val="Arial"/>
        <family val="2"/>
        <scheme val="minor"/>
      </rPr>
      <t/>
    </r>
  </si>
  <si>
    <r>
      <t>L</t>
    </r>
    <r>
      <rPr>
        <b/>
        <vertAlign val="subscript"/>
        <sz val="14"/>
        <color theme="1"/>
        <rFont val="Calibri"/>
        <family val="2"/>
      </rPr>
      <t>p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</si>
  <si>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2</t>
    </r>
  </si>
  <si>
    <r>
      <t>r</t>
    </r>
    <r>
      <rPr>
        <b/>
        <vertAlign val="subscript"/>
        <sz val="14"/>
        <color theme="1"/>
        <rFont val="Calibri"/>
        <family val="2"/>
      </rPr>
      <t>t</t>
    </r>
    <r>
      <rPr>
        <b/>
        <sz val="14"/>
        <color theme="1"/>
        <rFont val="Calibri"/>
        <family val="2"/>
      </rPr>
      <t xml:space="preserve"> =</t>
    </r>
  </si>
  <si>
    <r>
      <t>M</t>
    </r>
    <r>
      <rPr>
        <b/>
        <vertAlign val="subscript"/>
        <sz val="14"/>
        <color theme="1"/>
        <rFont val="Calibri"/>
        <family val="2"/>
      </rPr>
      <t>nx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</si>
  <si>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bscript"/>
        <sz val="14"/>
        <color theme="1"/>
        <rFont val="Calibri"/>
        <family val="2"/>
      </rPr>
      <t>r</t>
    </r>
    <r>
      <rPr>
        <b/>
        <sz val="14"/>
        <color theme="1"/>
        <rFont val="Calibri"/>
        <family val="2"/>
      </rPr>
      <t xml:space="preserve"> =</t>
    </r>
  </si>
  <si>
    <r>
      <t>I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</si>
  <si>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4</t>
    </r>
    <r>
      <rPr>
        <sz val="11"/>
        <color theme="1"/>
        <rFont val="Arial"/>
        <family val="2"/>
        <scheme val="minor"/>
      </rPr>
      <t/>
    </r>
  </si>
  <si>
    <r>
      <t>Q</t>
    </r>
    <r>
      <rPr>
        <b/>
        <vertAlign val="subscript"/>
        <sz val="14"/>
        <color theme="1"/>
        <rFont val="Calibri"/>
        <family val="2"/>
      </rPr>
      <t>u</t>
    </r>
    <r>
      <rPr>
        <b/>
        <sz val="14"/>
        <color theme="1"/>
        <rFont val="Calibri"/>
        <family val="2"/>
      </rPr>
      <t xml:space="preserve"> / V</t>
    </r>
    <r>
      <rPr>
        <b/>
        <vertAlign val="subscript"/>
        <sz val="14"/>
        <color theme="1"/>
        <rFont val="Calibri"/>
        <family val="2"/>
      </rPr>
      <t>r</t>
    </r>
    <r>
      <rPr>
        <b/>
        <sz val="14"/>
        <color theme="1"/>
        <rFont val="Calibri"/>
        <family val="2"/>
      </rPr>
      <t xml:space="preserve"> =</t>
    </r>
  </si>
  <si>
    <r>
      <t>S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</si>
  <si>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r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</si>
  <si>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r</t>
    </r>
    <r>
      <rPr>
        <b/>
        <vertAlign val="subscript"/>
        <sz val="14"/>
        <color theme="1"/>
        <rFont val="Calibri"/>
        <family val="2"/>
      </rPr>
      <t>y</t>
    </r>
    <r>
      <rPr>
        <b/>
        <sz val="14"/>
        <color theme="1"/>
        <rFont val="Calibri"/>
        <family val="2"/>
      </rPr>
      <t xml:space="preserve"> =</t>
    </r>
  </si>
  <si>
    <r>
      <t>I</t>
    </r>
    <r>
      <rPr>
        <b/>
        <vertAlign val="subscript"/>
        <sz val="14"/>
        <color theme="1"/>
        <rFont val="Calibri"/>
        <family val="2"/>
      </rPr>
      <t>y</t>
    </r>
    <r>
      <rPr>
        <b/>
        <sz val="14"/>
        <color theme="1"/>
        <rFont val="Calibri"/>
        <family val="2"/>
      </rPr>
      <t xml:space="preserve"> =</t>
    </r>
  </si>
  <si>
    <t>st</t>
  </si>
  <si>
    <t>Section</t>
  </si>
  <si>
    <r>
      <t>M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/ </t>
    </r>
    <r>
      <rPr>
        <b/>
        <sz val="14"/>
        <color theme="1"/>
        <rFont val="Symbol"/>
        <family val="1"/>
        <charset val="2"/>
      </rPr>
      <t>f</t>
    </r>
    <r>
      <rPr>
        <b/>
        <sz val="14"/>
        <color theme="1"/>
        <rFont val="Calibri"/>
        <family val="2"/>
      </rPr>
      <t>M</t>
    </r>
    <r>
      <rPr>
        <b/>
        <vertAlign val="subscript"/>
        <sz val="14"/>
        <color theme="1"/>
        <rFont val="Calibri"/>
        <family val="2"/>
      </rPr>
      <t>nx</t>
    </r>
    <r>
      <rPr>
        <b/>
        <sz val="14"/>
        <color theme="1"/>
        <rFont val="Calibri"/>
        <family val="2"/>
      </rPr>
      <t xml:space="preserve"> =</t>
    </r>
  </si>
  <si>
    <r>
      <rPr>
        <b/>
        <sz val="14"/>
        <color theme="1"/>
        <rFont val="Symbol"/>
        <family val="1"/>
        <charset val="2"/>
      </rPr>
      <t>d</t>
    </r>
    <r>
      <rPr>
        <b/>
        <vertAlign val="subscript"/>
        <sz val="14"/>
        <color theme="1"/>
        <rFont val="Calibri"/>
        <family val="2"/>
      </rPr>
      <t>act</t>
    </r>
    <r>
      <rPr>
        <b/>
        <sz val="14"/>
        <color theme="1"/>
        <rFont val="Calibri"/>
        <family val="2"/>
      </rPr>
      <t xml:space="preserve"> =</t>
    </r>
  </si>
  <si>
    <r>
      <t>M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/ ᶲM</t>
    </r>
    <r>
      <rPr>
        <b/>
        <vertAlign val="subscript"/>
        <sz val="14"/>
        <color theme="1"/>
        <rFont val="Calibri"/>
        <family val="2"/>
      </rPr>
      <t>nx</t>
    </r>
    <r>
      <rPr>
        <b/>
        <sz val="14"/>
        <color theme="1"/>
        <rFont val="Calibri"/>
        <family val="2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</si>
</sst>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1"/>
      <name val="Agency FB"/>
      <family val="2"/>
    </font>
    <font>
      <b/>
      <sz val="11"/>
      <color theme="1"/>
      <name val="Agency FB"/>
      <family val="2"/>
    </font>
    <font>
      <b/>
      <sz val="14"/>
      <name val="Agency FB"/>
      <family val="2"/>
    </font>
    <font>
      <b/>
      <vertAlign val="superscript"/>
      <sz val="14"/>
      <name val="Agency FB"/>
      <family val="2"/>
    </font>
    <font>
      <b/>
      <vertAlign val="subscript"/>
      <sz val="14"/>
      <name val="Agency FB"/>
      <family val="2"/>
    </font>
    <font>
      <b/>
      <sz val="14"/>
      <color rgb="FF000000"/>
      <name val="Agency FB"/>
      <family val="2"/>
    </font>
    <font>
      <b/>
      <u/>
      <sz val="14"/>
      <color theme="1"/>
      <name val="Agency FB"/>
      <family val="2"/>
    </font>
    <font>
      <b/>
      <vertAlign val="subscript"/>
      <sz val="14"/>
      <color theme="1"/>
      <name val="Agency FB"/>
      <family val="2"/>
    </font>
    <font>
      <b/>
      <sz val="14"/>
      <color rgb="FFFF0000"/>
      <name val="Agency FB"/>
      <family val="2"/>
    </font>
    <font>
      <b/>
      <vertAlign val="superscript"/>
      <sz val="14"/>
      <color theme="1"/>
      <name val="Agency FB"/>
      <family val="2"/>
    </font>
    <font>
      <b/>
      <u val="double"/>
      <sz val="14"/>
      <color theme="1"/>
      <name val="Agency FB"/>
      <family val="2"/>
    </font>
    <font>
      <b/>
      <sz val="14"/>
      <color theme="0"/>
      <name val="Agency FB"/>
      <family val="2"/>
    </font>
    <font>
      <b/>
      <sz val="14"/>
      <color theme="1"/>
      <name val="Symbol"/>
      <family val="1"/>
      <charset val="2"/>
    </font>
    <font>
      <b/>
      <sz val="14"/>
      <color theme="1"/>
      <name val="Agency FB"/>
      <family val="1"/>
      <charset val="2"/>
    </font>
    <font>
      <b/>
      <sz val="11"/>
      <color theme="1"/>
      <name val="Arial"/>
      <family val="2"/>
      <scheme val="minor"/>
    </font>
    <font>
      <b/>
      <u/>
      <sz val="18"/>
      <color theme="1"/>
      <name val="Agency FB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u val="double"/>
      <sz val="14"/>
      <color theme="1"/>
      <name val="Calibri"/>
      <family val="2"/>
    </font>
    <font>
      <b/>
      <sz val="14"/>
      <name val="Calibri"/>
      <family val="2"/>
    </font>
    <font>
      <b/>
      <vertAlign val="subscript"/>
      <sz val="14"/>
      <color theme="1"/>
      <name val="Calibri"/>
      <family val="2"/>
    </font>
    <font>
      <b/>
      <sz val="14"/>
      <color rgb="FFFF0000"/>
      <name val="Calibri"/>
      <family val="2"/>
    </font>
    <font>
      <b/>
      <vertAlign val="superscript"/>
      <sz val="14"/>
      <name val="Calibri"/>
      <family val="2"/>
    </font>
    <font>
      <b/>
      <vertAlign val="subscript"/>
      <sz val="14"/>
      <name val="Calibri"/>
      <family val="2"/>
    </font>
    <font>
      <b/>
      <sz val="14"/>
      <color rgb="FF000000"/>
      <name val="Calibri"/>
      <family val="2"/>
    </font>
    <font>
      <b/>
      <vertAlign val="superscript"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sz val="14"/>
      <color theme="1"/>
      <name val="Calibri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shrinkToFit="1"/>
    </xf>
    <xf numFmtId="2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/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1" fontId="27" fillId="2" borderId="0" xfId="0" applyNumberFormat="1" applyFont="1" applyFill="1" applyBorder="1" applyAlignment="1">
      <alignment horizontal="center" vertical="center" shrinkToFit="1"/>
    </xf>
    <xf numFmtId="2" fontId="27" fillId="2" borderId="0" xfId="0" applyNumberFormat="1" applyFont="1" applyFill="1" applyBorder="1" applyAlignment="1">
      <alignment horizontal="center" vertical="center" shrinkToFit="1"/>
    </xf>
    <xf numFmtId="164" fontId="27" fillId="2" borderId="0" xfId="0" applyNumberFormat="1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Nominal</a:t>
            </a:r>
            <a:r>
              <a:rPr lang="en-US" baseline="0"/>
              <a:t> Moment Capacity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chart!$J$31</c:f>
              <c:strCache>
                <c:ptCount val="1"/>
                <c:pt idx="0">
                  <c:v>Mnx 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E8-4036-954B-EC58F71E0BCC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E8-4036-954B-EC58F71E0BCC}"/>
              </c:ext>
            </c:extLst>
          </c:dPt>
          <c:cat>
            <c:numRef>
              <c:f>chart!$A$32:$A$44</c:f>
              <c:numCache>
                <c:formatCode>General</c:formatCode>
                <c:ptCount val="1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203.97712290025729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619.64598779844516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cat>
          <c:val>
            <c:numRef>
              <c:f>chart!$J$32:$J$44</c:f>
              <c:numCache>
                <c:formatCode>General</c:formatCode>
                <c:ptCount val="13"/>
                <c:pt idx="0">
                  <c:v>3145.9199999999996</c:v>
                </c:pt>
                <c:pt idx="1">
                  <c:v>3145.9199999999996</c:v>
                </c:pt>
                <c:pt idx="2">
                  <c:v>3145.9199999999996</c:v>
                </c:pt>
                <c:pt idx="3">
                  <c:v>3145.9199999999996</c:v>
                </c:pt>
                <c:pt idx="4">
                  <c:v>2901.5319047640442</c:v>
                </c:pt>
                <c:pt idx="5">
                  <c:v>2647.0216228214404</c:v>
                </c:pt>
                <c:pt idx="6">
                  <c:v>2392.5113408788366</c:v>
                </c:pt>
                <c:pt idx="7">
                  <c:v>2138.0010589362323</c:v>
                </c:pt>
                <c:pt idx="8">
                  <c:v>2088</c:v>
                </c:pt>
                <c:pt idx="9">
                  <c:v>1762.4440264777181</c:v>
                </c:pt>
                <c:pt idx="10">
                  <c:v>1472.1205682521411</c:v>
                </c:pt>
                <c:pt idx="11">
                  <c:v>1264.1119609045484</c:v>
                </c:pt>
                <c:pt idx="12">
                  <c:v>1108.2069158540226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8-4036-954B-EC58F71E0BCC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30-7EE8-4036-954B-EC58F71E0BCC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2F-7EE8-4036-954B-EC58F71E0BCC}"/>
              </c:ext>
            </c:extLst>
          </c:dPt>
          <c:val>
            <c:numRef>
              <c:f>chart!$J$49:$J$61</c:f>
              <c:numCache>
                <c:formatCode>General</c:formatCode>
                <c:ptCount val="13"/>
                <c:pt idx="0">
                  <c:v>2451.6479999999997</c:v>
                </c:pt>
                <c:pt idx="1">
                  <c:v>2451.6479999999997</c:v>
                </c:pt>
                <c:pt idx="2">
                  <c:v>2442.8615628726197</c:v>
                </c:pt>
                <c:pt idx="3">
                  <c:v>2434.7068906734735</c:v>
                </c:pt>
                <c:pt idx="4">
                  <c:v>2237.8220807228877</c:v>
                </c:pt>
                <c:pt idx="5">
                  <c:v>2032.7825985731556</c:v>
                </c:pt>
                <c:pt idx="6">
                  <c:v>1827.7431164234235</c:v>
                </c:pt>
                <c:pt idx="7">
                  <c:v>1622.1003407971707</c:v>
                </c:pt>
                <c:pt idx="8">
                  <c:v>1550.4937354948627</c:v>
                </c:pt>
                <c:pt idx="9">
                  <c:v>1312.7581069316002</c:v>
                </c:pt>
                <c:pt idx="10">
                  <c:v>1102.3492221328647</c:v>
                </c:pt>
                <c:pt idx="11">
                  <c:v>950.61163835445677</c:v>
                </c:pt>
                <c:pt idx="12">
                  <c:v>836.20915753873783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EE8-4036-954B-EC58F71E0BCC}"/>
            </c:ext>
          </c:extLst>
        </c:ser>
        <c:ser>
          <c:idx val="2"/>
          <c:order val="2"/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tx2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33-7EE8-4036-954B-EC58F71E0BCC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tx2"/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32-7EE8-4036-954B-EC58F71E0BCC}"/>
              </c:ext>
            </c:extLst>
          </c:dPt>
          <c:val>
            <c:numRef>
              <c:f>chart!$J$66:$J$78</c:f>
              <c:numCache>
                <c:formatCode>General</c:formatCode>
                <c:ptCount val="13"/>
                <c:pt idx="0">
                  <c:v>1510.5839999999998</c:v>
                </c:pt>
                <c:pt idx="1">
                  <c:v>1510.5839999999998</c:v>
                </c:pt>
                <c:pt idx="2">
                  <c:v>1472.1656912717619</c:v>
                </c:pt>
                <c:pt idx="3">
                  <c:v>1466.5080549357747</c:v>
                </c:pt>
                <c:pt idx="4">
                  <c:v>1329.911190270014</c:v>
                </c:pt>
                <c:pt idx="5">
                  <c:v>1187.6566892682663</c:v>
                </c:pt>
                <c:pt idx="6">
                  <c:v>1045.4021882665186</c:v>
                </c:pt>
                <c:pt idx="7">
                  <c:v>847.31696659302065</c:v>
                </c:pt>
                <c:pt idx="8">
                  <c:v>811.55456720956374</c:v>
                </c:pt>
                <c:pt idx="9">
                  <c:v>692.16611615148565</c:v>
                </c:pt>
                <c:pt idx="10">
                  <c:v>585.46304235848754</c:v>
                </c:pt>
                <c:pt idx="11">
                  <c:v>507.74598233382449</c:v>
                </c:pt>
                <c:pt idx="12">
                  <c:v>448.64006848471701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EE8-4036-954B-EC58F71E0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02712"/>
        <c:axId val="571496480"/>
      </c:lineChart>
      <c:catAx>
        <c:axId val="571502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71496480"/>
        <c:crosses val="autoZero"/>
        <c:auto val="1"/>
        <c:lblAlgn val="ctr"/>
        <c:lblOffset val="100"/>
        <c:noMultiLvlLbl val="0"/>
      </c:catAx>
      <c:valAx>
        <c:axId val="5714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71502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20</xdr:row>
      <xdr:rowOff>266663</xdr:rowOff>
    </xdr:from>
    <xdr:ext cx="410845" cy="112395"/>
    <xdr:sp macro="" textlink="">
      <xdr:nvSpPr>
        <xdr:cNvPr id="2" name="Shape 713">
          <a:extLst>
            <a:ext uri="{FF2B5EF4-FFF2-40B4-BE49-F238E27FC236}">
              <a16:creationId xmlns:a16="http://schemas.microsoft.com/office/drawing/2014/main" id="{561C8F35-C3C9-439E-BD75-ADD7565BEF00}"/>
            </a:ext>
          </a:extLst>
        </xdr:cNvPr>
        <xdr:cNvSpPr/>
      </xdr:nvSpPr>
      <xdr:spPr>
        <a:xfrm>
          <a:off x="9991725" y="5295863"/>
          <a:ext cx="410845" cy="112395"/>
        </a:xfrm>
        <a:custGeom>
          <a:avLst/>
          <a:gdLst/>
          <a:ahLst/>
          <a:cxnLst/>
          <a:rect l="0" t="0" r="0" b="0"/>
          <a:pathLst>
            <a:path w="410845" h="112395">
              <a:moveTo>
                <a:pt x="5304366" y="-11455685"/>
              </a:moveTo>
              <a:lnTo>
                <a:pt x="5304366" y="-11530912"/>
              </a:lnTo>
              <a:lnTo>
                <a:pt x="5304459" y="-11530912"/>
              </a:lnTo>
            </a:path>
            <a:path w="410845" h="112395">
              <a:moveTo>
                <a:pt x="5304366" y="-11480733"/>
              </a:moveTo>
              <a:lnTo>
                <a:pt x="5331826" y="-11505865"/>
              </a:lnTo>
              <a:lnTo>
                <a:pt x="5345416" y="-11505865"/>
              </a:lnTo>
              <a:lnTo>
                <a:pt x="5359100" y="-11493256"/>
              </a:lnTo>
              <a:lnTo>
                <a:pt x="5359100" y="-11455685"/>
              </a:lnTo>
              <a:lnTo>
                <a:pt x="5359286" y="-11455685"/>
              </a:lnTo>
            </a:path>
            <a:path w="410845" h="112395">
              <a:moveTo>
                <a:pt x="5386466" y="-11493256"/>
              </a:moveTo>
              <a:lnTo>
                <a:pt x="5441107" y="-11493256"/>
              </a:lnTo>
              <a:lnTo>
                <a:pt x="5441200" y="-11493256"/>
              </a:lnTo>
            </a:path>
            <a:path w="410845" h="112395">
              <a:moveTo>
                <a:pt x="5468380" y="-11518389"/>
              </a:moveTo>
              <a:lnTo>
                <a:pt x="5482064" y="-11530912"/>
              </a:lnTo>
              <a:lnTo>
                <a:pt x="5509523" y="-11530912"/>
              </a:lnTo>
              <a:lnTo>
                <a:pt x="5523207" y="-11518389"/>
              </a:lnTo>
              <a:lnTo>
                <a:pt x="5523207" y="-11505865"/>
              </a:lnTo>
              <a:lnTo>
                <a:pt x="5509523" y="-11493256"/>
              </a:lnTo>
              <a:lnTo>
                <a:pt x="5482064" y="-11493256"/>
              </a:lnTo>
              <a:lnTo>
                <a:pt x="5468380" y="-11480733"/>
              </a:lnTo>
              <a:lnTo>
                <a:pt x="5468380" y="-11455685"/>
              </a:lnTo>
              <a:lnTo>
                <a:pt x="5523207" y="-11455685"/>
              </a:lnTo>
            </a:path>
            <a:path w="410845" h="112395">
              <a:moveTo>
                <a:pt x="5605121" y="-11505865"/>
              </a:moveTo>
              <a:lnTo>
                <a:pt x="5564164" y="-11505865"/>
              </a:lnTo>
              <a:lnTo>
                <a:pt x="5550480" y="-11493256"/>
              </a:lnTo>
              <a:lnTo>
                <a:pt x="5550480" y="-11468209"/>
              </a:lnTo>
              <a:lnTo>
                <a:pt x="5564164" y="-11455685"/>
              </a:lnTo>
              <a:lnTo>
                <a:pt x="5605121" y="-11455685"/>
              </a:lnTo>
              <a:lnTo>
                <a:pt x="5605307" y="-1145568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277939</xdr:colOff>
      <xdr:row>26</xdr:row>
      <xdr:rowOff>101376</xdr:rowOff>
    </xdr:from>
    <xdr:ext cx="0" cy="0"/>
    <xdr:sp macro="" textlink="">
      <xdr:nvSpPr>
        <xdr:cNvPr id="2" name="Shape 1172">
          <a:extLst>
            <a:ext uri="{FF2B5EF4-FFF2-40B4-BE49-F238E27FC236}">
              <a16:creationId xmlns:a16="http://schemas.microsoft.com/office/drawing/2014/main" id="{24D3F09D-C52F-4540-B97A-B37979A3A489}"/>
            </a:ext>
          </a:extLst>
        </xdr:cNvPr>
        <xdr:cNvSpPr/>
      </xdr:nvSpPr>
      <xdr:spPr>
        <a:xfrm>
          <a:off x="10822674" y="6679229"/>
          <a:ext cx="0" cy="0"/>
        </a:xfrm>
        <a:custGeom>
          <a:avLst/>
          <a:gdLst/>
          <a:ahLst/>
          <a:cxnLst/>
          <a:rect l="0" t="0" r="0" b="0"/>
          <a:pathLst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17</xdr:col>
      <xdr:colOff>3619</xdr:colOff>
      <xdr:row>25</xdr:row>
      <xdr:rowOff>1174</xdr:rowOff>
    </xdr:from>
    <xdr:ext cx="7620" cy="0"/>
    <xdr:sp macro="" textlink="">
      <xdr:nvSpPr>
        <xdr:cNvPr id="3" name="Shape 1179">
          <a:extLst>
            <a:ext uri="{FF2B5EF4-FFF2-40B4-BE49-F238E27FC236}">
              <a16:creationId xmlns:a16="http://schemas.microsoft.com/office/drawing/2014/main" id="{1A19F20D-8183-4249-B346-D110ECC1B5C5}"/>
            </a:ext>
          </a:extLst>
        </xdr:cNvPr>
        <xdr:cNvSpPr/>
      </xdr:nvSpPr>
      <xdr:spPr>
        <a:xfrm>
          <a:off x="11915472" y="6343703"/>
          <a:ext cx="7620" cy="0"/>
        </a:xfrm>
        <a:custGeom>
          <a:avLst/>
          <a:gdLst/>
          <a:ahLst/>
          <a:cxnLst/>
          <a:rect l="0" t="0" r="0" b="0"/>
          <a:pathLst>
            <a:path w="7620">
              <a:moveTo>
                <a:pt x="4955928" y="-12927571"/>
              </a:moveTo>
              <a:lnTo>
                <a:pt x="4956031" y="-12927571"/>
              </a:lnTo>
            </a:path>
            <a:path w="7620">
              <a:moveTo>
                <a:pt x="4958805" y="-12927571"/>
              </a:moveTo>
              <a:lnTo>
                <a:pt x="4952949" y="-12927571"/>
              </a:lnTo>
              <a:lnTo>
                <a:pt x="4953052" y="-1292757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20</xdr:row>
      <xdr:rowOff>485738</xdr:rowOff>
    </xdr:from>
    <xdr:ext cx="410845" cy="112395"/>
    <xdr:sp macro="" textlink="">
      <xdr:nvSpPr>
        <xdr:cNvPr id="2" name="Shape 713">
          <a:extLst>
            <a:ext uri="{FF2B5EF4-FFF2-40B4-BE49-F238E27FC236}">
              <a16:creationId xmlns:a16="http://schemas.microsoft.com/office/drawing/2014/main" id="{2DBB87D3-26C8-4CDE-975F-39087C5970BA}"/>
            </a:ext>
          </a:extLst>
        </xdr:cNvPr>
        <xdr:cNvSpPr/>
      </xdr:nvSpPr>
      <xdr:spPr>
        <a:xfrm>
          <a:off x="12658725" y="5581613"/>
          <a:ext cx="410845" cy="112395"/>
        </a:xfrm>
        <a:custGeom>
          <a:avLst/>
          <a:gdLst/>
          <a:ahLst/>
          <a:cxnLst/>
          <a:rect l="0" t="0" r="0" b="0"/>
          <a:pathLst>
            <a:path w="410845" h="112395">
              <a:moveTo>
                <a:pt x="5304366" y="-11455685"/>
              </a:moveTo>
              <a:lnTo>
                <a:pt x="5304366" y="-11530912"/>
              </a:lnTo>
              <a:lnTo>
                <a:pt x="5304459" y="-11530912"/>
              </a:lnTo>
            </a:path>
            <a:path w="410845" h="112395">
              <a:moveTo>
                <a:pt x="5304366" y="-11480733"/>
              </a:moveTo>
              <a:lnTo>
                <a:pt x="5331826" y="-11505865"/>
              </a:lnTo>
              <a:lnTo>
                <a:pt x="5345416" y="-11505865"/>
              </a:lnTo>
              <a:lnTo>
                <a:pt x="5359100" y="-11493256"/>
              </a:lnTo>
              <a:lnTo>
                <a:pt x="5359100" y="-11455685"/>
              </a:lnTo>
              <a:lnTo>
                <a:pt x="5359286" y="-11455685"/>
              </a:lnTo>
            </a:path>
            <a:path w="410845" h="112395">
              <a:moveTo>
                <a:pt x="5386466" y="-11493256"/>
              </a:moveTo>
              <a:lnTo>
                <a:pt x="5441107" y="-11493256"/>
              </a:lnTo>
              <a:lnTo>
                <a:pt x="5441200" y="-11493256"/>
              </a:lnTo>
            </a:path>
            <a:path w="410845" h="112395">
              <a:moveTo>
                <a:pt x="5468380" y="-11518389"/>
              </a:moveTo>
              <a:lnTo>
                <a:pt x="5482064" y="-11530912"/>
              </a:lnTo>
              <a:lnTo>
                <a:pt x="5509523" y="-11530912"/>
              </a:lnTo>
              <a:lnTo>
                <a:pt x="5523207" y="-11518389"/>
              </a:lnTo>
              <a:lnTo>
                <a:pt x="5523207" y="-11505865"/>
              </a:lnTo>
              <a:lnTo>
                <a:pt x="5509523" y="-11493256"/>
              </a:lnTo>
              <a:lnTo>
                <a:pt x="5482064" y="-11493256"/>
              </a:lnTo>
              <a:lnTo>
                <a:pt x="5468380" y="-11480733"/>
              </a:lnTo>
              <a:lnTo>
                <a:pt x="5468380" y="-11455685"/>
              </a:lnTo>
              <a:lnTo>
                <a:pt x="5523207" y="-11455685"/>
              </a:lnTo>
            </a:path>
            <a:path w="410845" h="112395">
              <a:moveTo>
                <a:pt x="5605121" y="-11505865"/>
              </a:moveTo>
              <a:lnTo>
                <a:pt x="5564164" y="-11505865"/>
              </a:lnTo>
              <a:lnTo>
                <a:pt x="5550480" y="-11493256"/>
              </a:lnTo>
              <a:lnTo>
                <a:pt x="5550480" y="-11468209"/>
              </a:lnTo>
              <a:lnTo>
                <a:pt x="5564164" y="-11455685"/>
              </a:lnTo>
              <a:lnTo>
                <a:pt x="5605121" y="-11455685"/>
              </a:lnTo>
              <a:lnTo>
                <a:pt x="5605307" y="-1145568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>
    <xdr:from>
      <xdr:col>12</xdr:col>
      <xdr:colOff>381000</xdr:colOff>
      <xdr:row>33</xdr:row>
      <xdr:rowOff>234041</xdr:rowOff>
    </xdr:from>
    <xdr:to>
      <xdr:col>20</xdr:col>
      <xdr:colOff>557893</xdr:colOff>
      <xdr:row>47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D5598-3E35-44C5-86DE-6E4260856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8C2-A610-4201-99D5-74F228C7DDFD}">
  <sheetPr>
    <pageSetUpPr fitToPage="1"/>
  </sheetPr>
  <dimension ref="A1:AC34"/>
  <sheetViews>
    <sheetView view="pageBreakPreview" zoomScaleNormal="100" zoomScaleSheetLayoutView="100" workbookViewId="0">
      <selection activeCell="F29" sqref="F29"/>
    </sheetView>
  </sheetViews>
  <sheetFormatPr defaultRowHeight="18.75"/>
  <cols>
    <col min="1" max="1" width="10" style="56" bestFit="1" customWidth="1"/>
    <col min="2" max="3" width="9" style="56"/>
    <col min="4" max="4" width="9" style="57"/>
    <col min="5" max="5" width="9.625" style="57" customWidth="1"/>
    <col min="6" max="6" width="10.875" style="57" customWidth="1"/>
    <col min="7" max="7" width="15" style="57" bestFit="1" customWidth="1"/>
    <col min="8" max="8" width="9.75" style="57" bestFit="1" customWidth="1"/>
    <col min="9" max="10" width="9" style="57"/>
    <col min="11" max="16384" width="9" style="56"/>
  </cols>
  <sheetData>
    <row r="1" spans="1:29">
      <c r="A1" s="54">
        <v>37</v>
      </c>
      <c r="B1" s="55" t="s">
        <v>0</v>
      </c>
      <c r="R1" s="58" t="s">
        <v>5</v>
      </c>
      <c r="S1" s="58"/>
    </row>
    <row r="2" spans="1:29">
      <c r="A2" s="54">
        <v>44</v>
      </c>
      <c r="B2" s="55" t="s">
        <v>1</v>
      </c>
      <c r="H2" s="56"/>
      <c r="I2" s="56"/>
      <c r="J2" s="56"/>
      <c r="N2" s="60" t="s">
        <v>6</v>
      </c>
      <c r="O2" s="60" t="s">
        <v>7</v>
      </c>
      <c r="P2" s="60" t="s">
        <v>8</v>
      </c>
      <c r="Q2" s="61" t="s">
        <v>9</v>
      </c>
      <c r="R2" s="61"/>
      <c r="S2" s="61"/>
      <c r="T2" s="61"/>
      <c r="U2" s="61"/>
      <c r="V2" s="61"/>
      <c r="W2" s="61"/>
      <c r="X2" s="61" t="s">
        <v>10</v>
      </c>
      <c r="Y2" s="61"/>
      <c r="Z2" s="61"/>
      <c r="AA2" s="61" t="s">
        <v>11</v>
      </c>
      <c r="AB2" s="61"/>
      <c r="AC2" s="61"/>
    </row>
    <row r="3" spans="1:29" ht="21.75">
      <c r="A3" s="54">
        <v>52</v>
      </c>
      <c r="B3" s="55" t="s">
        <v>2</v>
      </c>
      <c r="E3" s="56"/>
      <c r="F3" s="56"/>
      <c r="G3" s="56"/>
      <c r="H3" s="56"/>
      <c r="I3" s="56"/>
      <c r="J3" s="56"/>
      <c r="N3" s="60" t="s">
        <v>12</v>
      </c>
      <c r="O3" s="60" t="s">
        <v>98</v>
      </c>
      <c r="P3" s="60" t="s">
        <v>13</v>
      </c>
      <c r="Q3" s="60" t="s">
        <v>14</v>
      </c>
      <c r="R3" s="60" t="s">
        <v>15</v>
      </c>
      <c r="S3" s="60" t="s">
        <v>16</v>
      </c>
      <c r="T3" s="60" t="s">
        <v>17</v>
      </c>
      <c r="U3" s="60" t="s">
        <v>18</v>
      </c>
      <c r="V3" s="60" t="s">
        <v>19</v>
      </c>
      <c r="W3" s="60" t="s">
        <v>20</v>
      </c>
      <c r="X3" s="60" t="s">
        <v>99</v>
      </c>
      <c r="Y3" s="60" t="s">
        <v>100</v>
      </c>
      <c r="Z3" s="60" t="s">
        <v>101</v>
      </c>
      <c r="AA3" s="60" t="s">
        <v>102</v>
      </c>
      <c r="AB3" s="60" t="s">
        <v>103</v>
      </c>
      <c r="AC3" s="60" t="s">
        <v>104</v>
      </c>
    </row>
    <row r="4" spans="1:29">
      <c r="A4" s="62" t="s">
        <v>126</v>
      </c>
      <c r="B4" s="64">
        <v>37</v>
      </c>
      <c r="C4" s="64"/>
      <c r="E4" s="59" t="s">
        <v>30</v>
      </c>
      <c r="F4" s="59"/>
      <c r="H4" s="56"/>
      <c r="I4" s="56"/>
      <c r="J4" s="56"/>
      <c r="N4" s="65">
        <v>80</v>
      </c>
      <c r="O4" s="66">
        <v>7.64</v>
      </c>
      <c r="P4" s="65">
        <v>6</v>
      </c>
      <c r="Q4" s="65">
        <v>80</v>
      </c>
      <c r="R4" s="65">
        <v>46</v>
      </c>
      <c r="S4" s="67">
        <v>3.8</v>
      </c>
      <c r="T4" s="65">
        <v>5</v>
      </c>
      <c r="U4" s="67">
        <v>5.2</v>
      </c>
      <c r="V4" s="67">
        <v>10.199999999999999</v>
      </c>
      <c r="W4" s="65">
        <v>59</v>
      </c>
      <c r="X4" s="67">
        <v>80.099999999999994</v>
      </c>
      <c r="Y4" s="65">
        <v>20</v>
      </c>
      <c r="Z4" s="66">
        <v>3.24</v>
      </c>
      <c r="AA4" s="66">
        <v>8.49</v>
      </c>
      <c r="AB4" s="66">
        <v>3.69</v>
      </c>
      <c r="AC4" s="66">
        <v>1.05</v>
      </c>
    </row>
    <row r="5" spans="1:29" ht="19.5" customHeight="1">
      <c r="A5" s="62" t="s">
        <v>106</v>
      </c>
      <c r="B5" s="56">
        <f>IF(B4=A1,2.4,IF(B4=A2,2.8,3.6))</f>
        <v>2.4</v>
      </c>
      <c r="C5" s="56" t="s">
        <v>107</v>
      </c>
      <c r="E5" s="62" t="s">
        <v>97</v>
      </c>
      <c r="F5" s="63">
        <v>2400</v>
      </c>
      <c r="G5" s="56" t="s">
        <v>31</v>
      </c>
      <c r="H5" s="62"/>
      <c r="I5" s="63"/>
      <c r="J5" s="56"/>
      <c r="N5" s="65">
        <v>100</v>
      </c>
      <c r="O5" s="67">
        <v>10.3</v>
      </c>
      <c r="P5" s="67">
        <v>8.1</v>
      </c>
      <c r="Q5" s="65">
        <v>100</v>
      </c>
      <c r="R5" s="65">
        <v>55</v>
      </c>
      <c r="S5" s="67">
        <v>4.0999999999999996</v>
      </c>
      <c r="T5" s="65">
        <v>7</v>
      </c>
      <c r="U5" s="67">
        <v>5.7</v>
      </c>
      <c r="V5" s="67">
        <v>12.7</v>
      </c>
      <c r="W5" s="65">
        <v>74</v>
      </c>
      <c r="X5" s="65">
        <v>171</v>
      </c>
      <c r="Y5" s="67">
        <v>34.200000000000003</v>
      </c>
      <c r="Z5" s="66">
        <v>4.07</v>
      </c>
      <c r="AA5" s="67">
        <v>15.9</v>
      </c>
      <c r="AB5" s="66">
        <v>5.79</v>
      </c>
      <c r="AC5" s="66">
        <v>1.24</v>
      </c>
    </row>
    <row r="6" spans="1:29" ht="21" customHeight="1">
      <c r="A6" s="62" t="s">
        <v>108</v>
      </c>
      <c r="B6" s="56">
        <f>IF(B4=A1,3.7,IF(B4=A2,4.4,5.2))</f>
        <v>3.7</v>
      </c>
      <c r="C6" s="56" t="s">
        <v>107</v>
      </c>
      <c r="E6" s="62" t="s">
        <v>105</v>
      </c>
      <c r="F6" s="63">
        <v>20</v>
      </c>
      <c r="G6" s="56" t="s">
        <v>32</v>
      </c>
      <c r="H6" s="62"/>
      <c r="I6" s="63"/>
      <c r="J6" s="56"/>
      <c r="N6" s="65">
        <v>120</v>
      </c>
      <c r="O6" s="67">
        <v>13.2</v>
      </c>
      <c r="P6" s="67">
        <v>10.4</v>
      </c>
      <c r="Q6" s="65">
        <v>120</v>
      </c>
      <c r="R6" s="65">
        <v>64</v>
      </c>
      <c r="S6" s="67">
        <v>4.4000000000000004</v>
      </c>
      <c r="T6" s="65">
        <v>7</v>
      </c>
      <c r="U6" s="67">
        <v>6.3</v>
      </c>
      <c r="V6" s="67">
        <v>13.3</v>
      </c>
      <c r="W6" s="65">
        <v>93</v>
      </c>
      <c r="X6" s="65">
        <v>318</v>
      </c>
      <c r="Y6" s="65">
        <v>53</v>
      </c>
      <c r="Z6" s="67">
        <v>4.9000000000000004</v>
      </c>
      <c r="AA6" s="67">
        <v>27.7</v>
      </c>
      <c r="AB6" s="66">
        <v>8.65</v>
      </c>
      <c r="AC6" s="66">
        <v>1.45</v>
      </c>
    </row>
    <row r="7" spans="1:29">
      <c r="E7" s="56"/>
      <c r="F7" s="56"/>
      <c r="G7" s="56"/>
      <c r="H7" s="62"/>
      <c r="I7" s="63"/>
      <c r="J7" s="56"/>
      <c r="N7" s="65">
        <v>140</v>
      </c>
      <c r="O7" s="67">
        <v>16.399999999999999</v>
      </c>
      <c r="P7" s="67">
        <v>12.9</v>
      </c>
      <c r="Q7" s="65">
        <v>140</v>
      </c>
      <c r="R7" s="65">
        <v>73</v>
      </c>
      <c r="S7" s="67">
        <v>4.7</v>
      </c>
      <c r="T7" s="65">
        <v>7</v>
      </c>
      <c r="U7" s="67">
        <v>6.9</v>
      </c>
      <c r="V7" s="67">
        <v>13.9</v>
      </c>
      <c r="W7" s="65">
        <v>112</v>
      </c>
      <c r="X7" s="65">
        <v>541</v>
      </c>
      <c r="Y7" s="67">
        <v>77.3</v>
      </c>
      <c r="Z7" s="66">
        <v>5.74</v>
      </c>
      <c r="AA7" s="67">
        <v>44.9</v>
      </c>
      <c r="AB7" s="67">
        <v>12.3</v>
      </c>
      <c r="AC7" s="66">
        <v>1.65</v>
      </c>
    </row>
    <row r="8" spans="1:29">
      <c r="A8" s="62" t="s">
        <v>51</v>
      </c>
      <c r="B8" s="63">
        <v>720</v>
      </c>
      <c r="C8" s="56" t="s">
        <v>4</v>
      </c>
      <c r="E8" s="56"/>
      <c r="F8" s="56"/>
      <c r="G8" s="56"/>
      <c r="H8" s="62"/>
      <c r="I8" s="63"/>
      <c r="J8" s="56"/>
      <c r="N8" s="65">
        <v>160</v>
      </c>
      <c r="O8" s="67">
        <v>20.100000000000001</v>
      </c>
      <c r="P8" s="67">
        <v>15.8</v>
      </c>
      <c r="Q8" s="65">
        <v>160</v>
      </c>
      <c r="R8" s="65">
        <v>82</v>
      </c>
      <c r="S8" s="65">
        <v>5</v>
      </c>
      <c r="T8" s="65">
        <v>9</v>
      </c>
      <c r="U8" s="67">
        <v>7.4</v>
      </c>
      <c r="V8" s="67">
        <v>16.399999999999999</v>
      </c>
      <c r="W8" s="65">
        <v>127</v>
      </c>
      <c r="X8" s="65">
        <v>869</v>
      </c>
      <c r="Y8" s="65">
        <v>109</v>
      </c>
      <c r="Z8" s="66">
        <v>6.58</v>
      </c>
      <c r="AA8" s="67">
        <v>68.3</v>
      </c>
      <c r="AB8" s="67">
        <v>16.7</v>
      </c>
      <c r="AC8" s="66">
        <v>1.84</v>
      </c>
    </row>
    <row r="9" spans="1:29" ht="20.25">
      <c r="A9" s="62" t="s">
        <v>111</v>
      </c>
      <c r="B9" s="63">
        <v>720</v>
      </c>
      <c r="C9" s="56" t="s">
        <v>4</v>
      </c>
      <c r="D9" s="56"/>
      <c r="E9" s="68" t="s">
        <v>24</v>
      </c>
      <c r="F9" s="56"/>
      <c r="G9" s="56"/>
      <c r="H9" s="56"/>
      <c r="I9" s="56"/>
      <c r="J9" s="56"/>
      <c r="L9" s="57"/>
      <c r="N9" s="65">
        <v>180</v>
      </c>
      <c r="O9" s="67">
        <v>23.9</v>
      </c>
      <c r="P9" s="67">
        <v>18.8</v>
      </c>
      <c r="Q9" s="65">
        <v>180</v>
      </c>
      <c r="R9" s="65">
        <v>91</v>
      </c>
      <c r="S9" s="67">
        <v>5.3</v>
      </c>
      <c r="T9" s="65">
        <v>9</v>
      </c>
      <c r="U9" s="65">
        <v>8</v>
      </c>
      <c r="V9" s="65">
        <v>17</v>
      </c>
      <c r="W9" s="65">
        <v>146</v>
      </c>
      <c r="X9" s="65">
        <v>1320</v>
      </c>
      <c r="Y9" s="65">
        <v>146</v>
      </c>
      <c r="Z9" s="66">
        <v>7.42</v>
      </c>
      <c r="AA9" s="65">
        <v>101</v>
      </c>
      <c r="AB9" s="67">
        <v>22.2</v>
      </c>
      <c r="AC9" s="66">
        <v>2.0499999999999998</v>
      </c>
    </row>
    <row r="10" spans="1:29">
      <c r="D10" s="56"/>
      <c r="E10" s="69" t="s">
        <v>25</v>
      </c>
      <c r="F10" s="69"/>
      <c r="G10" s="56"/>
      <c r="H10" s="56"/>
      <c r="I10" s="56"/>
      <c r="J10" s="56"/>
      <c r="L10" s="57"/>
      <c r="N10" s="65">
        <v>200</v>
      </c>
      <c r="O10" s="67">
        <v>28.5</v>
      </c>
      <c r="P10" s="67">
        <v>22.4</v>
      </c>
      <c r="Q10" s="65">
        <v>200</v>
      </c>
      <c r="R10" s="65">
        <v>100</v>
      </c>
      <c r="S10" s="67">
        <v>5.6</v>
      </c>
      <c r="T10" s="65">
        <v>12</v>
      </c>
      <c r="U10" s="67">
        <v>8.5</v>
      </c>
      <c r="V10" s="67">
        <v>20.5</v>
      </c>
      <c r="W10" s="65">
        <v>159</v>
      </c>
      <c r="X10" s="65">
        <v>1940</v>
      </c>
      <c r="Y10" s="65">
        <v>194</v>
      </c>
      <c r="Z10" s="66">
        <v>8.26</v>
      </c>
      <c r="AA10" s="65">
        <v>142</v>
      </c>
      <c r="AB10" s="67">
        <v>28.5</v>
      </c>
      <c r="AC10" s="66">
        <v>2.2400000000000002</v>
      </c>
    </row>
    <row r="11" spans="1:29" ht="20.25">
      <c r="A11" s="62" t="s">
        <v>5</v>
      </c>
      <c r="B11" s="64">
        <v>500</v>
      </c>
      <c r="C11" s="64"/>
      <c r="D11" s="56"/>
      <c r="E11" s="56" t="s">
        <v>109</v>
      </c>
      <c r="F11" s="56">
        <f>B20/B16</f>
        <v>41.764705882352942</v>
      </c>
      <c r="G11" s="56" t="str">
        <f>IF(F11&lt;=(127/SQRT(B5)),B1,IF(AND(F11&gt;(127/SQRT(B5)),F11&lt;=(222/SQRT(B5))),B2))</f>
        <v>Compact</v>
      </c>
      <c r="H11" s="58" t="str">
        <f>IF(AND(G11=B1,G12=B1),B1,IF(OR(G11=B2,G12=B2),B2))</f>
        <v>Compact</v>
      </c>
      <c r="I11" s="58" t="s">
        <v>127</v>
      </c>
      <c r="J11" s="56"/>
      <c r="L11" s="63"/>
      <c r="N11" s="65">
        <v>220</v>
      </c>
      <c r="O11" s="67">
        <v>33.4</v>
      </c>
      <c r="P11" s="67">
        <v>26.2</v>
      </c>
      <c r="Q11" s="65">
        <v>220</v>
      </c>
      <c r="R11" s="65">
        <v>110</v>
      </c>
      <c r="S11" s="67">
        <v>5.9</v>
      </c>
      <c r="T11" s="65">
        <v>12</v>
      </c>
      <c r="U11" s="67">
        <v>9.1999999999999993</v>
      </c>
      <c r="V11" s="67">
        <v>21.2</v>
      </c>
      <c r="W11" s="65">
        <v>177</v>
      </c>
      <c r="X11" s="65">
        <v>2770</v>
      </c>
      <c r="Y11" s="65">
        <v>252</v>
      </c>
      <c r="Z11" s="66">
        <v>9.11</v>
      </c>
      <c r="AA11" s="65">
        <v>205</v>
      </c>
      <c r="AB11" s="67">
        <v>37.299999999999997</v>
      </c>
      <c r="AC11" s="66">
        <v>2.48</v>
      </c>
    </row>
    <row r="12" spans="1:29" ht="20.25">
      <c r="A12" s="62" t="s">
        <v>54</v>
      </c>
      <c r="B12" s="56">
        <f>VLOOKUP(B11,table1,3,FALSE)</f>
        <v>90.7</v>
      </c>
      <c r="C12" s="56" t="s">
        <v>22</v>
      </c>
      <c r="E12" s="56" t="s">
        <v>110</v>
      </c>
      <c r="F12" s="56">
        <f>(B15-B16-2*B17)/(2*B18)</f>
        <v>4.6187500000000004</v>
      </c>
      <c r="G12" s="56" t="str">
        <f>IF(F12&lt;=(16.9/SQRT(B5)),B1,IF(AND(F12&gt;(16.9/SQRT(B5)),F12&lt;=(33/SQRT(B5))),B2))</f>
        <v>Compact</v>
      </c>
      <c r="H12" s="58"/>
      <c r="I12" s="58"/>
      <c r="J12" s="56"/>
      <c r="N12" s="65">
        <v>240</v>
      </c>
      <c r="O12" s="67">
        <v>39.1</v>
      </c>
      <c r="P12" s="67">
        <v>30.7</v>
      </c>
      <c r="Q12" s="65">
        <v>240</v>
      </c>
      <c r="R12" s="65">
        <v>120</v>
      </c>
      <c r="S12" s="67">
        <v>6.2</v>
      </c>
      <c r="T12" s="65">
        <v>15</v>
      </c>
      <c r="U12" s="67">
        <v>9.8000000000000007</v>
      </c>
      <c r="V12" s="67">
        <v>24.8</v>
      </c>
      <c r="W12" s="65">
        <v>190</v>
      </c>
      <c r="X12" s="65">
        <v>3890</v>
      </c>
      <c r="Y12" s="65">
        <v>324</v>
      </c>
      <c r="Z12" s="66">
        <v>9.9700000000000006</v>
      </c>
      <c r="AA12" s="65">
        <v>284</v>
      </c>
      <c r="AB12" s="67">
        <v>47.3</v>
      </c>
      <c r="AC12" s="66">
        <v>2.69</v>
      </c>
    </row>
    <row r="13" spans="1:29" ht="21">
      <c r="A13" s="62" t="s">
        <v>55</v>
      </c>
      <c r="B13" s="56">
        <f>VLOOKUP(B11,table1,2,FALSE)</f>
        <v>116</v>
      </c>
      <c r="C13" s="56" t="s">
        <v>115</v>
      </c>
      <c r="E13" s="56"/>
      <c r="F13" s="56"/>
      <c r="G13" s="56"/>
      <c r="H13" s="56"/>
      <c r="I13" s="56"/>
      <c r="J13" s="56"/>
      <c r="N13" s="65">
        <v>270</v>
      </c>
      <c r="O13" s="67">
        <v>45.9</v>
      </c>
      <c r="P13" s="67">
        <v>36.1</v>
      </c>
      <c r="Q13" s="65">
        <v>270</v>
      </c>
      <c r="R13" s="65">
        <v>135</v>
      </c>
      <c r="S13" s="67">
        <v>6.6</v>
      </c>
      <c r="T13" s="65">
        <v>15</v>
      </c>
      <c r="U13" s="67">
        <v>10.199999999999999</v>
      </c>
      <c r="V13" s="67">
        <v>25.2</v>
      </c>
      <c r="W13" s="65">
        <v>219</v>
      </c>
      <c r="X13" s="65">
        <v>5790</v>
      </c>
      <c r="Y13" s="65">
        <v>429</v>
      </c>
      <c r="Z13" s="67">
        <v>11.2</v>
      </c>
      <c r="AA13" s="65">
        <v>420</v>
      </c>
      <c r="AB13" s="67">
        <v>62.2</v>
      </c>
      <c r="AC13" s="66">
        <v>3.02</v>
      </c>
    </row>
    <row r="14" spans="1:29">
      <c r="A14" s="62" t="s">
        <v>56</v>
      </c>
      <c r="B14" s="56">
        <f>VLOOKUP(B11,table1,4,FALSE)</f>
        <v>500</v>
      </c>
      <c r="C14" s="56" t="s">
        <v>21</v>
      </c>
      <c r="E14" s="70" t="s">
        <v>26</v>
      </c>
      <c r="F14" s="56"/>
      <c r="G14" s="56"/>
      <c r="H14" s="56"/>
      <c r="J14" s="56"/>
      <c r="N14" s="65">
        <v>300</v>
      </c>
      <c r="O14" s="67">
        <v>53.8</v>
      </c>
      <c r="P14" s="67">
        <v>42.2</v>
      </c>
      <c r="Q14" s="65">
        <v>300</v>
      </c>
      <c r="R14" s="65">
        <v>150</v>
      </c>
      <c r="S14" s="67">
        <v>7.1</v>
      </c>
      <c r="T14" s="65">
        <v>15</v>
      </c>
      <c r="U14" s="67">
        <v>10.7</v>
      </c>
      <c r="V14" s="67">
        <v>25.7</v>
      </c>
      <c r="W14" s="65">
        <v>248</v>
      </c>
      <c r="X14" s="65">
        <v>8360</v>
      </c>
      <c r="Y14" s="65">
        <v>557</v>
      </c>
      <c r="Z14" s="67">
        <v>12.5</v>
      </c>
      <c r="AA14" s="65">
        <v>604</v>
      </c>
      <c r="AB14" s="67">
        <v>80.5</v>
      </c>
      <c r="AC14" s="66">
        <v>3.35</v>
      </c>
    </row>
    <row r="15" spans="1:29" ht="21">
      <c r="A15" s="62" t="s">
        <v>57</v>
      </c>
      <c r="B15" s="56">
        <f>VLOOKUP(B11,table1,5,FALSE)</f>
        <v>200</v>
      </c>
      <c r="C15" s="56" t="s">
        <v>21</v>
      </c>
      <c r="D15" s="56"/>
      <c r="E15" s="62" t="s">
        <v>112</v>
      </c>
      <c r="F15" s="56">
        <f>1.13*B22</f>
        <v>2180.8999999999996</v>
      </c>
      <c r="G15" s="56" t="s">
        <v>113</v>
      </c>
      <c r="H15" s="56"/>
      <c r="I15" s="56"/>
      <c r="J15" s="71"/>
      <c r="N15" s="65">
        <v>330</v>
      </c>
      <c r="O15" s="67">
        <v>62.6</v>
      </c>
      <c r="P15" s="67">
        <v>49.1</v>
      </c>
      <c r="Q15" s="65">
        <v>330</v>
      </c>
      <c r="R15" s="65">
        <v>160</v>
      </c>
      <c r="S15" s="67">
        <v>7.5</v>
      </c>
      <c r="T15" s="65">
        <v>18</v>
      </c>
      <c r="U15" s="67">
        <v>11.5</v>
      </c>
      <c r="V15" s="67">
        <v>29.5</v>
      </c>
      <c r="W15" s="65">
        <v>271</v>
      </c>
      <c r="X15" s="65">
        <v>11770</v>
      </c>
      <c r="Y15" s="65">
        <v>713</v>
      </c>
      <c r="Z15" s="67">
        <v>13.7</v>
      </c>
      <c r="AA15" s="65">
        <v>788</v>
      </c>
      <c r="AB15" s="67">
        <v>98.5</v>
      </c>
      <c r="AC15" s="66">
        <v>3.55</v>
      </c>
    </row>
    <row r="16" spans="1:29" ht="20.25">
      <c r="A16" s="62" t="s">
        <v>58</v>
      </c>
      <c r="B16" s="56">
        <f>VLOOKUP(B11,table1,6,FALSE)</f>
        <v>10.199999999999999</v>
      </c>
      <c r="C16" s="56" t="s">
        <v>21</v>
      </c>
      <c r="D16" s="56"/>
      <c r="E16" s="62" t="s">
        <v>114</v>
      </c>
      <c r="F16" s="56">
        <f>(80*B24)/SQRT(B5)</f>
        <v>222.56744296205287</v>
      </c>
      <c r="G16" s="56" t="s">
        <v>4</v>
      </c>
      <c r="H16" s="56"/>
      <c r="I16" s="56"/>
      <c r="J16" s="71"/>
      <c r="L16" s="63"/>
      <c r="N16" s="65">
        <v>360</v>
      </c>
      <c r="O16" s="67">
        <v>72.7</v>
      </c>
      <c r="P16" s="67">
        <v>57.1</v>
      </c>
      <c r="Q16" s="65">
        <v>360</v>
      </c>
      <c r="R16" s="65">
        <v>170</v>
      </c>
      <c r="S16" s="65">
        <v>8</v>
      </c>
      <c r="T16" s="65">
        <v>18</v>
      </c>
      <c r="U16" s="67">
        <v>12.7</v>
      </c>
      <c r="V16" s="67">
        <v>30.7</v>
      </c>
      <c r="W16" s="65">
        <v>298</v>
      </c>
      <c r="X16" s="65">
        <v>16270</v>
      </c>
      <c r="Y16" s="65">
        <v>904</v>
      </c>
      <c r="Z16" s="65">
        <v>15</v>
      </c>
      <c r="AA16" s="65">
        <v>1040</v>
      </c>
      <c r="AB16" s="65">
        <v>123</v>
      </c>
      <c r="AC16" s="66">
        <v>3.79</v>
      </c>
    </row>
    <row r="17" spans="1:29" ht="20.25">
      <c r="A17" s="62" t="s">
        <v>59</v>
      </c>
      <c r="B17" s="56">
        <f>VLOOKUP(B11,table1,7,FALSE)</f>
        <v>21</v>
      </c>
      <c r="C17" s="56" t="s">
        <v>21</v>
      </c>
      <c r="D17" s="56"/>
      <c r="E17" s="62" t="s">
        <v>116</v>
      </c>
      <c r="F17" s="56">
        <f>0.1*SQRT(((B18*B15^3)/12)/(B15*B18+(1/6)*(B14-2*B18)*B16))</f>
        <v>5.1668203280353273</v>
      </c>
      <c r="G17" s="56" t="s">
        <v>4</v>
      </c>
      <c r="H17" s="62" t="s">
        <v>117</v>
      </c>
      <c r="I17" s="56">
        <f>IF(B9&lt;=F16,F15*B5,IF(AND(B9&gt;F16,B9&lt;=F19),MIN(F15*B5,F15*B5-(F15*B5-0.75*B5*B22)*((B9-F16)/(F19-F16))),B22*SQRT(((1380*(B15/10)*(B18/10))/((B14/10)*B9))^2+(20700/(B9/F17)^2)^2)))</f>
        <v>3136.4965849856062</v>
      </c>
      <c r="J17" s="56" t="s">
        <v>27</v>
      </c>
      <c r="N17" s="65">
        <v>400</v>
      </c>
      <c r="O17" s="67">
        <v>84.5</v>
      </c>
      <c r="P17" s="67">
        <v>66.3</v>
      </c>
      <c r="Q17" s="65">
        <v>400</v>
      </c>
      <c r="R17" s="65">
        <v>180</v>
      </c>
      <c r="S17" s="67">
        <v>8.6</v>
      </c>
      <c r="T17" s="65">
        <v>21</v>
      </c>
      <c r="U17" s="67">
        <v>13.5</v>
      </c>
      <c r="V17" s="67">
        <v>34.5</v>
      </c>
      <c r="W17" s="65">
        <v>331</v>
      </c>
      <c r="X17" s="65">
        <v>23130</v>
      </c>
      <c r="Y17" s="65">
        <v>1160</v>
      </c>
      <c r="Z17" s="67">
        <v>16.5</v>
      </c>
      <c r="AA17" s="65">
        <v>1320</v>
      </c>
      <c r="AB17" s="65">
        <v>146</v>
      </c>
      <c r="AC17" s="66">
        <v>3.95</v>
      </c>
    </row>
    <row r="18" spans="1:29">
      <c r="A18" s="62" t="s">
        <v>60</v>
      </c>
      <c r="B18" s="56">
        <f>VLOOKUP(B11,table1,8,FALSE)</f>
        <v>16</v>
      </c>
      <c r="C18" s="56" t="s">
        <v>21</v>
      </c>
      <c r="D18" s="56"/>
      <c r="E18" s="62" t="s">
        <v>71</v>
      </c>
      <c r="F18" s="56">
        <f>((0.104*F17*0.1*B14)/(0.1*B15*0.1*B18))^2</f>
        <v>0.70494210297994464</v>
      </c>
      <c r="G18" s="56" t="s">
        <v>23</v>
      </c>
      <c r="H18" s="56"/>
      <c r="I18" s="56"/>
      <c r="J18" s="56"/>
      <c r="N18" s="65">
        <v>450</v>
      </c>
      <c r="O18" s="67">
        <v>98.8</v>
      </c>
      <c r="P18" s="67">
        <v>77.599999999999994</v>
      </c>
      <c r="Q18" s="65">
        <v>450</v>
      </c>
      <c r="R18" s="65">
        <v>190</v>
      </c>
      <c r="S18" s="67">
        <v>9.4</v>
      </c>
      <c r="T18" s="65">
        <v>21</v>
      </c>
      <c r="U18" s="67">
        <v>14.6</v>
      </c>
      <c r="V18" s="67">
        <v>35.6</v>
      </c>
      <c r="W18" s="65">
        <v>378</v>
      </c>
      <c r="X18" s="65">
        <v>33740</v>
      </c>
      <c r="Y18" s="65">
        <v>1500</v>
      </c>
      <c r="Z18" s="67">
        <v>18.5</v>
      </c>
      <c r="AA18" s="65">
        <v>1680</v>
      </c>
      <c r="AB18" s="65">
        <v>176</v>
      </c>
      <c r="AC18" s="66">
        <v>4.12</v>
      </c>
    </row>
    <row r="19" spans="1:29" ht="20.25">
      <c r="A19" s="62" t="s">
        <v>61</v>
      </c>
      <c r="B19" s="56">
        <f>VLOOKUP(B11,table1,9,FALSE)</f>
        <v>37</v>
      </c>
      <c r="C19" s="56" t="s">
        <v>21</v>
      </c>
      <c r="D19" s="56"/>
      <c r="E19" s="62" t="s">
        <v>118</v>
      </c>
      <c r="F19" s="56">
        <f>((1380*(B15/10)*(B18/10))/((B14/10)*0.75*B5))*SQRT(0.5*(1+SQRT(1+(2*F18*0.75*B5)^2)))</f>
        <v>669.87296117745905</v>
      </c>
      <c r="G19" s="56" t="s">
        <v>4</v>
      </c>
      <c r="H19" s="56"/>
      <c r="I19" s="56"/>
      <c r="J19" s="56"/>
      <c r="N19" s="65">
        <v>500</v>
      </c>
      <c r="O19" s="65">
        <v>116</v>
      </c>
      <c r="P19" s="67">
        <v>90.7</v>
      </c>
      <c r="Q19" s="65">
        <v>500</v>
      </c>
      <c r="R19" s="65">
        <v>200</v>
      </c>
      <c r="S19" s="67">
        <v>10.199999999999999</v>
      </c>
      <c r="T19" s="65">
        <v>21</v>
      </c>
      <c r="U19" s="65">
        <v>16</v>
      </c>
      <c r="V19" s="65">
        <v>37</v>
      </c>
      <c r="W19" s="65">
        <v>426</v>
      </c>
      <c r="X19" s="65">
        <v>48200</v>
      </c>
      <c r="Y19" s="65">
        <v>1930</v>
      </c>
      <c r="Z19" s="67">
        <v>20.399999999999999</v>
      </c>
      <c r="AA19" s="65">
        <v>2140</v>
      </c>
      <c r="AB19" s="65">
        <v>214</v>
      </c>
      <c r="AC19" s="66">
        <v>4.3099999999999996</v>
      </c>
    </row>
    <row r="20" spans="1:29">
      <c r="A20" s="62" t="s">
        <v>62</v>
      </c>
      <c r="B20" s="56">
        <f>VLOOKUP(B11,table1,10,FALSE)</f>
        <v>426</v>
      </c>
      <c r="C20" s="56" t="s">
        <v>21</v>
      </c>
      <c r="D20" s="56"/>
      <c r="E20" s="56"/>
      <c r="F20" s="71"/>
      <c r="G20" s="71"/>
      <c r="H20" s="71"/>
      <c r="I20" s="71"/>
      <c r="J20" s="71"/>
      <c r="N20" s="65">
        <v>550</v>
      </c>
      <c r="O20" s="65">
        <v>134</v>
      </c>
      <c r="P20" s="65">
        <v>106</v>
      </c>
      <c r="Q20" s="65">
        <v>550</v>
      </c>
      <c r="R20" s="65">
        <v>210</v>
      </c>
      <c r="S20" s="67">
        <v>11.1</v>
      </c>
      <c r="T20" s="65">
        <v>24</v>
      </c>
      <c r="U20" s="67">
        <v>17.2</v>
      </c>
      <c r="V20" s="67">
        <v>41.2</v>
      </c>
      <c r="W20" s="65">
        <v>467</v>
      </c>
      <c r="X20" s="65">
        <v>67120</v>
      </c>
      <c r="Y20" s="65">
        <v>2440</v>
      </c>
      <c r="Z20" s="67">
        <v>22.3</v>
      </c>
      <c r="AA20" s="65">
        <v>2670</v>
      </c>
      <c r="AB20" s="65">
        <v>254</v>
      </c>
      <c r="AC20" s="66">
        <v>4.45</v>
      </c>
    </row>
    <row r="21" spans="1:29" ht="21">
      <c r="A21" s="62" t="s">
        <v>119</v>
      </c>
      <c r="B21" s="56">
        <f>VLOOKUP(B11,table1,11,FALSE)</f>
        <v>48200</v>
      </c>
      <c r="C21" s="56" t="s">
        <v>120</v>
      </c>
      <c r="F21" s="70" t="s">
        <v>28</v>
      </c>
      <c r="G21" s="56"/>
      <c r="H21" s="56"/>
      <c r="N21" s="65">
        <v>600</v>
      </c>
      <c r="O21" s="65">
        <v>156</v>
      </c>
      <c r="P21" s="65">
        <v>122</v>
      </c>
      <c r="Q21" s="65">
        <v>600</v>
      </c>
      <c r="R21" s="65">
        <v>220</v>
      </c>
      <c r="S21" s="65">
        <v>12</v>
      </c>
      <c r="T21" s="65">
        <v>24</v>
      </c>
      <c r="U21" s="65">
        <v>19</v>
      </c>
      <c r="V21" s="65">
        <v>43</v>
      </c>
      <c r="W21" s="65">
        <v>514</v>
      </c>
      <c r="X21" s="65">
        <v>92080</v>
      </c>
      <c r="Y21" s="65">
        <v>3070</v>
      </c>
      <c r="Z21" s="67">
        <v>24.3</v>
      </c>
      <c r="AA21" s="65">
        <v>3390</v>
      </c>
      <c r="AB21" s="65">
        <v>308</v>
      </c>
      <c r="AC21" s="66">
        <v>4.66</v>
      </c>
    </row>
    <row r="22" spans="1:29" ht="21">
      <c r="A22" s="62" t="s">
        <v>122</v>
      </c>
      <c r="B22" s="56">
        <f>VLOOKUP(B11,table1,12,FALSE)</f>
        <v>1930</v>
      </c>
      <c r="C22" s="56" t="s">
        <v>113</v>
      </c>
      <c r="D22" s="56"/>
      <c r="E22" s="56"/>
      <c r="F22" s="56" t="s">
        <v>128</v>
      </c>
      <c r="G22" s="56">
        <f>F5/(0.85*I17)</f>
        <v>0.90021759477785745</v>
      </c>
      <c r="H22" s="54" t="str">
        <f>IF(G22&lt;=1,"Safe","Unsafe")</f>
        <v>Safe</v>
      </c>
      <c r="I22" s="56"/>
      <c r="J22" s="56"/>
    </row>
    <row r="23" spans="1:29" ht="20.25">
      <c r="A23" s="62" t="s">
        <v>123</v>
      </c>
      <c r="B23" s="56">
        <f>VLOOKUP(B11,table1,13,FALSE)</f>
        <v>20.399999999999999</v>
      </c>
      <c r="C23" s="56" t="s">
        <v>4</v>
      </c>
      <c r="D23" s="56"/>
      <c r="E23" s="56"/>
      <c r="F23" s="56"/>
      <c r="G23" s="56"/>
      <c r="H23" s="56"/>
      <c r="I23" s="56"/>
      <c r="J23" s="56"/>
    </row>
    <row r="24" spans="1:29" ht="20.25">
      <c r="A24" s="62" t="s">
        <v>124</v>
      </c>
      <c r="B24" s="56">
        <f>VLOOKUP(B11,table1,16,FALSE)</f>
        <v>4.3099999999999996</v>
      </c>
      <c r="C24" s="56" t="s">
        <v>4</v>
      </c>
      <c r="D24" s="56"/>
      <c r="E24" s="56"/>
      <c r="F24" s="70" t="s">
        <v>29</v>
      </c>
      <c r="G24" s="56"/>
      <c r="H24" s="56"/>
      <c r="I24" s="56"/>
      <c r="J24" s="56"/>
    </row>
    <row r="25" spans="1:29" ht="21">
      <c r="A25" s="62" t="s">
        <v>125</v>
      </c>
      <c r="B25" s="56">
        <f>VLOOKUP(B11,table1,14,FALSE)</f>
        <v>2140</v>
      </c>
      <c r="C25" s="56" t="s">
        <v>120</v>
      </c>
      <c r="D25" s="56"/>
      <c r="E25" s="56"/>
      <c r="F25" s="56" t="s">
        <v>121</v>
      </c>
      <c r="G25" s="56">
        <f>F6/(0.85*0.6*B5*0.1*B14*0.1*B16)</f>
        <v>0.32038959374599507</v>
      </c>
      <c r="H25" s="54" t="str">
        <f>IF(G25&lt;=1,"Safe","Unsafe")</f>
        <v>Safe</v>
      </c>
    </row>
    <row r="26" spans="1:29">
      <c r="D26" s="56"/>
      <c r="E26" s="56"/>
      <c r="F26" s="56"/>
      <c r="G26" s="56"/>
    </row>
    <row r="27" spans="1:29">
      <c r="D27" s="56"/>
      <c r="E27" s="56"/>
      <c r="F27" s="70" t="s">
        <v>34</v>
      </c>
      <c r="J27" s="56"/>
    </row>
    <row r="28" spans="1:29" ht="20.25">
      <c r="D28" s="56"/>
      <c r="E28" s="56"/>
      <c r="F28" s="72" t="s">
        <v>129</v>
      </c>
      <c r="G28" s="63">
        <v>0.11</v>
      </c>
      <c r="H28" s="56" t="s">
        <v>4</v>
      </c>
      <c r="I28" s="54" t="str">
        <f>IF(G28&lt;=(B8/300),"Safe","Unsafe")</f>
        <v>Safe</v>
      </c>
      <c r="J28" s="56"/>
    </row>
    <row r="29" spans="1:29">
      <c r="D29" s="56"/>
      <c r="E29" s="56"/>
      <c r="F29" s="56"/>
      <c r="G29" s="56"/>
      <c r="H29" s="56"/>
    </row>
    <row r="30" spans="1:29">
      <c r="D30" s="56"/>
      <c r="E30" s="56"/>
      <c r="F30" s="56"/>
      <c r="G30" s="56"/>
      <c r="H30" s="56"/>
    </row>
    <row r="32" spans="1:29">
      <c r="D32" s="56"/>
      <c r="E32" s="56"/>
    </row>
    <row r="33" spans="4:8">
      <c r="D33" s="56"/>
      <c r="E33" s="56"/>
      <c r="F33" s="56"/>
      <c r="G33" s="56"/>
      <c r="H33" s="56"/>
    </row>
    <row r="34" spans="4:8">
      <c r="D34" s="56"/>
      <c r="E34" s="56"/>
      <c r="F34" s="56"/>
      <c r="G34" s="56"/>
      <c r="H34" s="56"/>
    </row>
  </sheetData>
  <mergeCells count="10">
    <mergeCell ref="X2:Z2"/>
    <mergeCell ref="AA2:AC2"/>
    <mergeCell ref="B4:C4"/>
    <mergeCell ref="B11:C11"/>
    <mergeCell ref="I11:I12"/>
    <mergeCell ref="R1:S1"/>
    <mergeCell ref="Q2:W2"/>
    <mergeCell ref="E4:F4"/>
    <mergeCell ref="H11:H12"/>
    <mergeCell ref="E10:F10"/>
  </mergeCells>
  <phoneticPr fontId="1" type="noConversion"/>
  <conditionalFormatting sqref="H25 H22">
    <cfRule type="cellIs" dxfId="11" priority="3" operator="equal">
      <formula>"Unsafe"</formula>
    </cfRule>
    <cfRule type="cellIs" dxfId="10" priority="4" operator="equal">
      <formula>"Safe"</formula>
    </cfRule>
  </conditionalFormatting>
  <conditionalFormatting sqref="I28">
    <cfRule type="cellIs" dxfId="9" priority="1" operator="equal">
      <formula>"unsafe"</formula>
    </cfRule>
    <cfRule type="cellIs" dxfId="8" priority="2" operator="equal">
      <formula>"safe"</formula>
    </cfRule>
  </conditionalFormatting>
  <dataValidations count="2">
    <dataValidation type="list" allowBlank="1" showInputMessage="1" showErrorMessage="1" sqref="K17 L11 B4:C4" xr:uid="{FE4117A8-7678-4A35-869D-C9F8CDA317C4}">
      <formula1>$A$1:$A$3</formula1>
    </dataValidation>
    <dataValidation type="list" allowBlank="1" showInputMessage="1" showErrorMessage="1" sqref="L16 B11:C11" xr:uid="{CDB517DE-D637-49A9-9221-0E82C2E71F3F}">
      <formula1>$N$4:$N$21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91C4-75D6-4184-A2D6-D082F26FE97E}">
  <dimension ref="A1:AC27"/>
  <sheetViews>
    <sheetView tabSelected="1" view="pageBreakPreview" zoomScale="85" zoomScaleNormal="100" zoomScaleSheetLayoutView="85" workbookViewId="0">
      <selection activeCell="E20" sqref="E20:E27"/>
    </sheetView>
  </sheetViews>
  <sheetFormatPr defaultRowHeight="18.75"/>
  <cols>
    <col min="1" max="1" width="10" style="56" bestFit="1" customWidth="1"/>
    <col min="2" max="4" width="9" style="56"/>
    <col min="5" max="5" width="11.125" style="56" customWidth="1"/>
    <col min="6" max="6" width="11.625" style="56" customWidth="1"/>
    <col min="7" max="7" width="15" style="56" bestFit="1" customWidth="1"/>
    <col min="8" max="8" width="9.875" style="56" bestFit="1" customWidth="1"/>
    <col min="9" max="16384" width="9" style="56"/>
  </cols>
  <sheetData>
    <row r="1" spans="1:29">
      <c r="A1" s="54">
        <v>37</v>
      </c>
      <c r="B1" s="55" t="s">
        <v>0</v>
      </c>
      <c r="S1" s="58" t="s">
        <v>33</v>
      </c>
      <c r="T1" s="58"/>
    </row>
    <row r="2" spans="1:29">
      <c r="A2" s="54">
        <v>44</v>
      </c>
      <c r="B2" s="55" t="s">
        <v>1</v>
      </c>
      <c r="O2" s="60" t="s">
        <v>6</v>
      </c>
      <c r="P2" s="60" t="s">
        <v>7</v>
      </c>
      <c r="Q2" s="60" t="s">
        <v>8</v>
      </c>
      <c r="R2" s="61" t="s">
        <v>9</v>
      </c>
      <c r="S2" s="61"/>
      <c r="T2" s="61"/>
      <c r="U2" s="61"/>
      <c r="V2" s="61"/>
      <c r="W2" s="61"/>
      <c r="X2" s="61" t="s">
        <v>10</v>
      </c>
      <c r="Y2" s="61"/>
      <c r="Z2" s="61"/>
      <c r="AA2" s="61" t="s">
        <v>11</v>
      </c>
      <c r="AB2" s="61"/>
      <c r="AC2" s="61"/>
    </row>
    <row r="3" spans="1:29" ht="21.75">
      <c r="A3" s="54">
        <v>52</v>
      </c>
      <c r="B3" s="55" t="s">
        <v>2</v>
      </c>
      <c r="O3" s="60" t="s">
        <v>12</v>
      </c>
      <c r="P3" s="60" t="s">
        <v>98</v>
      </c>
      <c r="Q3" s="60" t="s">
        <v>13</v>
      </c>
      <c r="R3" s="60" t="s">
        <v>14</v>
      </c>
      <c r="S3" s="60" t="s">
        <v>15</v>
      </c>
      <c r="T3" s="60" t="s">
        <v>16</v>
      </c>
      <c r="U3" s="60" t="s">
        <v>18</v>
      </c>
      <c r="V3" s="60" t="s">
        <v>19</v>
      </c>
      <c r="W3" s="60" t="s">
        <v>20</v>
      </c>
      <c r="X3" s="60" t="s">
        <v>99</v>
      </c>
      <c r="Y3" s="60" t="s">
        <v>100</v>
      </c>
      <c r="Z3" s="60" t="s">
        <v>101</v>
      </c>
      <c r="AA3" s="60" t="s">
        <v>102</v>
      </c>
      <c r="AB3" s="60" t="s">
        <v>103</v>
      </c>
      <c r="AC3" s="60" t="s">
        <v>104</v>
      </c>
    </row>
    <row r="4" spans="1:29">
      <c r="A4" s="62" t="s">
        <v>126</v>
      </c>
      <c r="B4" s="64">
        <v>37</v>
      </c>
      <c r="C4" s="64"/>
      <c r="E4" s="75" t="s">
        <v>30</v>
      </c>
      <c r="F4" s="75"/>
      <c r="G4" s="57"/>
      <c r="I4" s="62"/>
      <c r="J4" s="63"/>
      <c r="O4" s="65">
        <v>100</v>
      </c>
      <c r="P4" s="65">
        <v>26</v>
      </c>
      <c r="Q4" s="67">
        <v>20.399999999999999</v>
      </c>
      <c r="R4" s="65">
        <v>100</v>
      </c>
      <c r="S4" s="65">
        <v>100</v>
      </c>
      <c r="T4" s="65">
        <v>6</v>
      </c>
      <c r="U4" s="65">
        <v>10</v>
      </c>
      <c r="V4" s="65">
        <v>22</v>
      </c>
      <c r="W4" s="65">
        <v>56</v>
      </c>
      <c r="X4" s="65">
        <v>450</v>
      </c>
      <c r="Y4" s="67">
        <v>89.9</v>
      </c>
      <c r="Z4" s="66">
        <v>4.16</v>
      </c>
      <c r="AA4" s="65">
        <v>167</v>
      </c>
      <c r="AB4" s="67">
        <v>33.5</v>
      </c>
      <c r="AC4" s="66">
        <v>2.5299999999999998</v>
      </c>
    </row>
    <row r="5" spans="1:29" ht="21">
      <c r="A5" s="62" t="s">
        <v>106</v>
      </c>
      <c r="B5" s="56">
        <f>IF(B4=A1,2.4,IF(B4=A2,2.8,3.6))</f>
        <v>2.4</v>
      </c>
      <c r="C5" s="56" t="s">
        <v>107</v>
      </c>
      <c r="E5" s="62" t="s">
        <v>97</v>
      </c>
      <c r="F5" s="63">
        <v>2500</v>
      </c>
      <c r="G5" s="56" t="s">
        <v>31</v>
      </c>
      <c r="I5" s="62"/>
      <c r="J5" s="63"/>
      <c r="O5" s="65">
        <v>120</v>
      </c>
      <c r="P5" s="65">
        <v>34</v>
      </c>
      <c r="Q5" s="67">
        <v>26.7</v>
      </c>
      <c r="R5" s="65">
        <v>120</v>
      </c>
      <c r="S5" s="65">
        <v>120</v>
      </c>
      <c r="T5" s="67">
        <v>6.5</v>
      </c>
      <c r="U5" s="65">
        <v>11</v>
      </c>
      <c r="V5" s="65">
        <v>23</v>
      </c>
      <c r="W5" s="65">
        <v>74</v>
      </c>
      <c r="X5" s="65">
        <v>864</v>
      </c>
      <c r="Y5" s="65">
        <v>144</v>
      </c>
      <c r="Z5" s="66">
        <v>5.04</v>
      </c>
      <c r="AA5" s="65">
        <v>318</v>
      </c>
      <c r="AB5" s="67">
        <v>52.9</v>
      </c>
      <c r="AC5" s="66">
        <v>3.06</v>
      </c>
    </row>
    <row r="6" spans="1:29" ht="21">
      <c r="A6" s="62" t="s">
        <v>108</v>
      </c>
      <c r="B6" s="56">
        <f>IF(B4=A1,3.7,IF(B4=A2,4.4,5.2))</f>
        <v>3.7</v>
      </c>
      <c r="C6" s="56" t="s">
        <v>107</v>
      </c>
      <c r="E6" s="62" t="s">
        <v>105</v>
      </c>
      <c r="F6" s="63">
        <v>20</v>
      </c>
      <c r="G6" s="56" t="s">
        <v>32</v>
      </c>
      <c r="I6" s="62"/>
      <c r="J6" s="63"/>
      <c r="O6" s="65">
        <v>140</v>
      </c>
      <c r="P6" s="65">
        <v>43</v>
      </c>
      <c r="Q6" s="67">
        <v>33.700000000000003</v>
      </c>
      <c r="R6" s="65">
        <v>140</v>
      </c>
      <c r="S6" s="65">
        <v>140</v>
      </c>
      <c r="T6" s="65">
        <v>7</v>
      </c>
      <c r="U6" s="65">
        <v>12</v>
      </c>
      <c r="V6" s="65">
        <v>24</v>
      </c>
      <c r="W6" s="65">
        <v>92</v>
      </c>
      <c r="X6" s="65">
        <v>1510</v>
      </c>
      <c r="Y6" s="65">
        <v>216</v>
      </c>
      <c r="Z6" s="66">
        <v>5.93</v>
      </c>
      <c r="AA6" s="65">
        <v>550</v>
      </c>
      <c r="AB6" s="67">
        <v>78.5</v>
      </c>
      <c r="AC6" s="66">
        <v>3.58</v>
      </c>
    </row>
    <row r="7" spans="1:29">
      <c r="O7" s="65">
        <v>160</v>
      </c>
      <c r="P7" s="67">
        <v>54.3</v>
      </c>
      <c r="Q7" s="67">
        <v>42.6</v>
      </c>
      <c r="R7" s="65">
        <v>160</v>
      </c>
      <c r="S7" s="65">
        <v>160</v>
      </c>
      <c r="T7" s="65">
        <v>8</v>
      </c>
      <c r="U7" s="65">
        <v>13</v>
      </c>
      <c r="V7" s="65">
        <v>28</v>
      </c>
      <c r="W7" s="65">
        <v>104</v>
      </c>
      <c r="X7" s="65">
        <v>2490</v>
      </c>
      <c r="Y7" s="65">
        <v>311</v>
      </c>
      <c r="Z7" s="66">
        <v>6.78</v>
      </c>
      <c r="AA7" s="65">
        <v>889</v>
      </c>
      <c r="AB7" s="65">
        <v>111</v>
      </c>
      <c r="AC7" s="66">
        <v>4.05</v>
      </c>
    </row>
    <row r="8" spans="1:29">
      <c r="A8" s="62" t="s">
        <v>51</v>
      </c>
      <c r="B8" s="63">
        <v>1000</v>
      </c>
      <c r="C8" s="56" t="s">
        <v>4</v>
      </c>
      <c r="F8" s="74" t="s">
        <v>24</v>
      </c>
      <c r="O8" s="65">
        <v>180</v>
      </c>
      <c r="P8" s="67">
        <v>65.3</v>
      </c>
      <c r="Q8" s="67">
        <v>51.2</v>
      </c>
      <c r="R8" s="65">
        <v>180</v>
      </c>
      <c r="S8" s="65">
        <v>180</v>
      </c>
      <c r="T8" s="67">
        <v>8.5</v>
      </c>
      <c r="U8" s="65">
        <v>14</v>
      </c>
      <c r="V8" s="65">
        <v>29</v>
      </c>
      <c r="W8" s="65">
        <v>122</v>
      </c>
      <c r="X8" s="65">
        <v>3830</v>
      </c>
      <c r="Y8" s="65">
        <v>426</v>
      </c>
      <c r="Z8" s="66">
        <v>7.66</v>
      </c>
      <c r="AA8" s="65">
        <v>1360</v>
      </c>
      <c r="AB8" s="65">
        <v>151</v>
      </c>
      <c r="AC8" s="66">
        <v>4.57</v>
      </c>
    </row>
    <row r="9" spans="1:29" ht="20.25">
      <c r="A9" s="62" t="s">
        <v>111</v>
      </c>
      <c r="B9" s="63">
        <v>250</v>
      </c>
      <c r="C9" s="56" t="s">
        <v>4</v>
      </c>
      <c r="E9" s="69" t="s">
        <v>25</v>
      </c>
      <c r="F9" s="69"/>
      <c r="O9" s="65">
        <v>200</v>
      </c>
      <c r="P9" s="67">
        <v>78.099999999999994</v>
      </c>
      <c r="Q9" s="67">
        <v>61.3</v>
      </c>
      <c r="R9" s="65">
        <v>200</v>
      </c>
      <c r="S9" s="65">
        <v>200</v>
      </c>
      <c r="T9" s="65">
        <v>9</v>
      </c>
      <c r="U9" s="65">
        <v>15</v>
      </c>
      <c r="V9" s="65">
        <v>33</v>
      </c>
      <c r="W9" s="65">
        <v>134</v>
      </c>
      <c r="X9" s="65">
        <v>5700</v>
      </c>
      <c r="Y9" s="65">
        <v>570</v>
      </c>
      <c r="Z9" s="66">
        <v>8.5399999999999991</v>
      </c>
      <c r="AA9" s="65">
        <v>2000</v>
      </c>
      <c r="AB9" s="65">
        <v>200</v>
      </c>
      <c r="AC9" s="66">
        <v>5.07</v>
      </c>
    </row>
    <row r="10" spans="1:29" ht="20.25">
      <c r="E10" s="62" t="s">
        <v>109</v>
      </c>
      <c r="F10" s="56">
        <f>B14/B16</f>
        <v>26</v>
      </c>
      <c r="G10" s="71" t="str">
        <f>IF(F10&lt;=(127/SQRT(B5)),B1,B2)</f>
        <v>Compact</v>
      </c>
      <c r="H10" s="58" t="str">
        <f>IF(AND(G10=B1,G11=B1),B1,B2)</f>
        <v>Compact</v>
      </c>
      <c r="I10" s="58" t="s">
        <v>127</v>
      </c>
      <c r="O10" s="65">
        <v>220</v>
      </c>
      <c r="P10" s="65">
        <v>91</v>
      </c>
      <c r="Q10" s="67">
        <v>71.5</v>
      </c>
      <c r="R10" s="65">
        <v>220</v>
      </c>
      <c r="S10" s="65">
        <v>220</v>
      </c>
      <c r="T10" s="67">
        <v>9.5</v>
      </c>
      <c r="U10" s="65">
        <v>16</v>
      </c>
      <c r="V10" s="65">
        <v>34</v>
      </c>
      <c r="W10" s="65">
        <v>152</v>
      </c>
      <c r="X10" s="65">
        <v>8090</v>
      </c>
      <c r="Y10" s="65">
        <v>736</v>
      </c>
      <c r="Z10" s="66">
        <v>9.43</v>
      </c>
      <c r="AA10" s="65">
        <v>2840</v>
      </c>
      <c r="AB10" s="65">
        <v>258</v>
      </c>
      <c r="AC10" s="66">
        <v>5.59</v>
      </c>
    </row>
    <row r="11" spans="1:29" ht="20.25">
      <c r="A11" s="62" t="s">
        <v>33</v>
      </c>
      <c r="B11" s="73">
        <v>260</v>
      </c>
      <c r="C11" s="73"/>
      <c r="E11" s="62" t="s">
        <v>110</v>
      </c>
      <c r="F11" s="56">
        <f>(B15-B16-2*B17)/(2*B17)</f>
        <v>6.1428571428571432</v>
      </c>
      <c r="G11" s="71" t="str">
        <f>IF(F11&lt;=(16.9/SQRT(B5)),B1,B2)</f>
        <v>Compact</v>
      </c>
      <c r="H11" s="58"/>
      <c r="I11" s="58"/>
      <c r="O11" s="65">
        <v>240</v>
      </c>
      <c r="P11" s="65">
        <v>106</v>
      </c>
      <c r="Q11" s="67">
        <v>83.2</v>
      </c>
      <c r="R11" s="65">
        <v>240</v>
      </c>
      <c r="S11" s="65">
        <v>240</v>
      </c>
      <c r="T11" s="65">
        <v>10</v>
      </c>
      <c r="U11" s="65">
        <v>17</v>
      </c>
      <c r="V11" s="65">
        <v>38</v>
      </c>
      <c r="W11" s="65">
        <v>164</v>
      </c>
      <c r="X11" s="65">
        <v>11260</v>
      </c>
      <c r="Y11" s="65">
        <v>938</v>
      </c>
      <c r="Z11" s="67">
        <v>10.3</v>
      </c>
      <c r="AA11" s="65">
        <v>3920</v>
      </c>
      <c r="AB11" s="65">
        <v>327</v>
      </c>
      <c r="AC11" s="66">
        <v>6.08</v>
      </c>
    </row>
    <row r="12" spans="1:29">
      <c r="A12" s="62" t="s">
        <v>54</v>
      </c>
      <c r="B12" s="56">
        <f>VLOOKUP(B11,table2,3,FALSE)</f>
        <v>93</v>
      </c>
      <c r="C12" s="56" t="s">
        <v>22</v>
      </c>
      <c r="O12" s="65">
        <v>260</v>
      </c>
      <c r="P12" s="65">
        <v>118</v>
      </c>
      <c r="Q12" s="65">
        <v>93</v>
      </c>
      <c r="R12" s="65">
        <v>260</v>
      </c>
      <c r="S12" s="65">
        <v>260</v>
      </c>
      <c r="T12" s="65">
        <v>10</v>
      </c>
      <c r="U12" s="67">
        <v>17.5</v>
      </c>
      <c r="V12" s="67">
        <v>41.5</v>
      </c>
      <c r="W12" s="65">
        <v>177</v>
      </c>
      <c r="X12" s="65">
        <v>14920</v>
      </c>
      <c r="Y12" s="65">
        <v>1150</v>
      </c>
      <c r="Z12" s="67">
        <v>11.2</v>
      </c>
      <c r="AA12" s="65">
        <v>5130</v>
      </c>
      <c r="AB12" s="65">
        <v>395</v>
      </c>
      <c r="AC12" s="66">
        <v>6.58</v>
      </c>
    </row>
    <row r="13" spans="1:29" ht="21">
      <c r="A13" s="62" t="s">
        <v>55</v>
      </c>
      <c r="B13" s="56">
        <f>VLOOKUP(B11,table2,2,FALSE)</f>
        <v>118</v>
      </c>
      <c r="C13" s="56" t="s">
        <v>115</v>
      </c>
      <c r="E13" s="69" t="s">
        <v>26</v>
      </c>
      <c r="F13" s="69"/>
      <c r="K13" s="57"/>
      <c r="O13" s="65">
        <v>280</v>
      </c>
      <c r="P13" s="65">
        <v>131</v>
      </c>
      <c r="Q13" s="65">
        <v>103</v>
      </c>
      <c r="R13" s="65">
        <v>280</v>
      </c>
      <c r="S13" s="65">
        <v>280</v>
      </c>
      <c r="T13" s="67">
        <v>10.5</v>
      </c>
      <c r="U13" s="65">
        <v>18</v>
      </c>
      <c r="V13" s="65">
        <v>42</v>
      </c>
      <c r="W13" s="65">
        <v>196</v>
      </c>
      <c r="X13" s="65">
        <v>19270</v>
      </c>
      <c r="Y13" s="65">
        <v>1380</v>
      </c>
      <c r="Z13" s="67">
        <v>12.1</v>
      </c>
      <c r="AA13" s="65">
        <v>6590</v>
      </c>
      <c r="AB13" s="65">
        <v>471</v>
      </c>
      <c r="AC13" s="66">
        <v>7.09</v>
      </c>
    </row>
    <row r="14" spans="1:29" ht="21">
      <c r="A14" s="62" t="s">
        <v>56</v>
      </c>
      <c r="B14" s="56">
        <f>VLOOKUP(B11,table2,4,FALSE)</f>
        <v>260</v>
      </c>
      <c r="C14" s="56" t="s">
        <v>21</v>
      </c>
      <c r="E14" s="62" t="s">
        <v>112</v>
      </c>
      <c r="F14" s="56">
        <f>2*((B15/10)*(B17/10)*0.5*(B14/10)+0.5*((B14/10)-2*(B17/10))*(B16/10)*0.25*((B14/10)-2*(B17/10)))</f>
        <v>1309.5625</v>
      </c>
      <c r="G14" s="56" t="s">
        <v>113</v>
      </c>
      <c r="K14" s="57"/>
      <c r="O14" s="65">
        <v>300</v>
      </c>
      <c r="P14" s="65">
        <v>149</v>
      </c>
      <c r="Q14" s="65">
        <v>117</v>
      </c>
      <c r="R14" s="65">
        <v>300</v>
      </c>
      <c r="S14" s="65">
        <v>300</v>
      </c>
      <c r="T14" s="65">
        <v>11</v>
      </c>
      <c r="U14" s="65">
        <v>19</v>
      </c>
      <c r="V14" s="65">
        <v>46</v>
      </c>
      <c r="W14" s="65">
        <v>208</v>
      </c>
      <c r="X14" s="65">
        <v>25170</v>
      </c>
      <c r="Y14" s="65">
        <v>1680</v>
      </c>
      <c r="Z14" s="65">
        <v>13</v>
      </c>
      <c r="AA14" s="65">
        <v>8560</v>
      </c>
      <c r="AB14" s="65">
        <v>571</v>
      </c>
      <c r="AC14" s="66">
        <v>7.58</v>
      </c>
    </row>
    <row r="15" spans="1:29" ht="20.25">
      <c r="A15" s="62" t="s">
        <v>57</v>
      </c>
      <c r="B15" s="56">
        <f>VLOOKUP(B11,table2,5,FALSE)</f>
        <v>260</v>
      </c>
      <c r="C15" s="56" t="s">
        <v>21</v>
      </c>
      <c r="E15" s="62" t="s">
        <v>114</v>
      </c>
      <c r="F15" s="56">
        <f>(80*B24)/(SQRT(B5))</f>
        <v>339.789738907264</v>
      </c>
      <c r="G15" s="56" t="s">
        <v>4</v>
      </c>
      <c r="K15" s="57"/>
      <c r="O15" s="65">
        <v>320</v>
      </c>
      <c r="P15" s="65">
        <v>161</v>
      </c>
      <c r="Q15" s="65">
        <v>127</v>
      </c>
      <c r="R15" s="65">
        <v>320</v>
      </c>
      <c r="S15" s="65">
        <v>300</v>
      </c>
      <c r="T15" s="67">
        <v>11.5</v>
      </c>
      <c r="U15" s="67">
        <v>20.5</v>
      </c>
      <c r="V15" s="67">
        <v>47.5</v>
      </c>
      <c r="W15" s="65">
        <v>225</v>
      </c>
      <c r="X15" s="65">
        <v>30820</v>
      </c>
      <c r="Y15" s="65">
        <v>1930</v>
      </c>
      <c r="Z15" s="67">
        <v>13.8</v>
      </c>
      <c r="AA15" s="65">
        <v>9240</v>
      </c>
      <c r="AB15" s="65">
        <v>616</v>
      </c>
      <c r="AC15" s="66">
        <v>7.57</v>
      </c>
    </row>
    <row r="16" spans="1:29" ht="20.25">
      <c r="A16" s="62" t="s">
        <v>58</v>
      </c>
      <c r="B16" s="56">
        <f>VLOOKUP(B11,table2,6,FALSE)</f>
        <v>10</v>
      </c>
      <c r="C16" s="56" t="s">
        <v>21</v>
      </c>
      <c r="E16" s="62" t="s">
        <v>116</v>
      </c>
      <c r="F16" s="56">
        <f>0.1*SQRT((B17*((B15)^3)/12)/(B15*B17+(1/6)*(B14-2*B17)*B16))</f>
        <v>7.2141522878166704</v>
      </c>
      <c r="G16" s="56" t="s">
        <v>4</v>
      </c>
      <c r="H16" s="62" t="s">
        <v>117</v>
      </c>
      <c r="I16" s="56">
        <f>IF(B9&lt;=F15,F14*B5,IF(AND(B9&gt;F15,B9&lt;=F18),F14*B5-(F14*B5-0.75*B5*B21)*((B9-F15)/(F18-F15)),B21*SQRT(((1380*(0.1*B15)*(0.1*B17))/((0.1*B14)*B9))^2+(20700/(B9/F16)^2)^2)))</f>
        <v>3142.95</v>
      </c>
      <c r="J16" s="56" t="s">
        <v>31</v>
      </c>
      <c r="K16" s="57"/>
      <c r="O16" s="65">
        <v>340</v>
      </c>
      <c r="P16" s="65">
        <v>171</v>
      </c>
      <c r="Q16" s="65">
        <v>134</v>
      </c>
      <c r="R16" s="65">
        <v>340</v>
      </c>
      <c r="S16" s="65">
        <v>300</v>
      </c>
      <c r="T16" s="65">
        <v>12</v>
      </c>
      <c r="U16" s="67">
        <v>21.5</v>
      </c>
      <c r="V16" s="67">
        <v>48.5</v>
      </c>
      <c r="W16" s="65">
        <v>243</v>
      </c>
      <c r="X16" s="65">
        <v>36660</v>
      </c>
      <c r="Y16" s="65">
        <v>2160</v>
      </c>
      <c r="Z16" s="67">
        <v>14.6</v>
      </c>
      <c r="AA16" s="65">
        <v>9690</v>
      </c>
      <c r="AB16" s="65">
        <v>646</v>
      </c>
      <c r="AC16" s="66">
        <v>7.53</v>
      </c>
    </row>
    <row r="17" spans="1:29">
      <c r="A17" s="62" t="s">
        <v>77</v>
      </c>
      <c r="B17" s="56">
        <f>VLOOKUP(B11,table2,7,FALSE)</f>
        <v>17.5</v>
      </c>
      <c r="C17" s="56" t="s">
        <v>21</v>
      </c>
      <c r="E17" s="62" t="s">
        <v>71</v>
      </c>
      <c r="F17" s="56">
        <f>((0.104*F16*0.1*B14)/(0.1*B15*0.1*B17))^2</f>
        <v>0.1838066386270244</v>
      </c>
      <c r="G17" s="56" t="s">
        <v>23</v>
      </c>
      <c r="K17" s="57"/>
      <c r="O17" s="65">
        <v>360</v>
      </c>
      <c r="P17" s="65">
        <v>181</v>
      </c>
      <c r="Q17" s="65">
        <v>142</v>
      </c>
      <c r="R17" s="65">
        <v>360</v>
      </c>
      <c r="S17" s="65">
        <v>300</v>
      </c>
      <c r="T17" s="67">
        <v>12.5</v>
      </c>
      <c r="U17" s="67">
        <v>22.5</v>
      </c>
      <c r="V17" s="67">
        <v>49.5</v>
      </c>
      <c r="W17" s="65">
        <v>261</v>
      </c>
      <c r="X17" s="65">
        <v>43190</v>
      </c>
      <c r="Y17" s="65">
        <v>2400</v>
      </c>
      <c r="Z17" s="67">
        <v>15.6</v>
      </c>
      <c r="AA17" s="65">
        <v>10140</v>
      </c>
      <c r="AB17" s="65">
        <v>676</v>
      </c>
      <c r="AC17" s="66">
        <v>7.49</v>
      </c>
    </row>
    <row r="18" spans="1:29" ht="20.25">
      <c r="A18" s="62" t="s">
        <v>61</v>
      </c>
      <c r="B18" s="56">
        <f>VLOOKUP(B11,table2,8,FALSE)</f>
        <v>41.5</v>
      </c>
      <c r="C18" s="56" t="s">
        <v>21</v>
      </c>
      <c r="E18" s="62" t="s">
        <v>118</v>
      </c>
      <c r="F18" s="56">
        <f>((1380*(B15/10)*(B17/10))/((B14/10)*0.75*B5))*SQRT(0.5*(1+SQRT(1+(2*F17*0.75*B5)^2)))</f>
        <v>1406.8655145277285</v>
      </c>
      <c r="G18" s="56" t="s">
        <v>4</v>
      </c>
      <c r="K18" s="57"/>
      <c r="O18" s="65">
        <v>400</v>
      </c>
      <c r="P18" s="65">
        <v>198</v>
      </c>
      <c r="Q18" s="65">
        <v>155</v>
      </c>
      <c r="R18" s="65">
        <v>400</v>
      </c>
      <c r="S18" s="65">
        <v>300</v>
      </c>
      <c r="T18" s="67">
        <v>13.5</v>
      </c>
      <c r="U18" s="65">
        <v>24</v>
      </c>
      <c r="V18" s="65">
        <v>51</v>
      </c>
      <c r="W18" s="65">
        <v>298</v>
      </c>
      <c r="X18" s="65">
        <v>57680</v>
      </c>
      <c r="Y18" s="65">
        <v>2880</v>
      </c>
      <c r="Z18" s="67">
        <v>17.100000000000001</v>
      </c>
      <c r="AA18" s="65">
        <v>10820</v>
      </c>
      <c r="AB18" s="65">
        <v>721</v>
      </c>
      <c r="AC18" s="67">
        <v>7.4</v>
      </c>
    </row>
    <row r="19" spans="1:29">
      <c r="A19" s="62" t="s">
        <v>62</v>
      </c>
      <c r="B19" s="56">
        <f>VLOOKUP(B11,table2,9,FALSE)</f>
        <v>177</v>
      </c>
      <c r="C19" s="56" t="s">
        <v>21</v>
      </c>
      <c r="G19" s="57"/>
      <c r="H19" s="57"/>
      <c r="I19" s="57"/>
      <c r="J19" s="57"/>
      <c r="K19" s="57"/>
      <c r="O19" s="65">
        <v>450</v>
      </c>
      <c r="P19" s="65">
        <v>218</v>
      </c>
      <c r="Q19" s="65">
        <v>171</v>
      </c>
      <c r="R19" s="65">
        <v>450</v>
      </c>
      <c r="S19" s="65">
        <v>300</v>
      </c>
      <c r="T19" s="65">
        <v>14</v>
      </c>
      <c r="U19" s="65">
        <v>26</v>
      </c>
      <c r="V19" s="65">
        <v>53</v>
      </c>
      <c r="W19" s="65">
        <v>344</v>
      </c>
      <c r="X19" s="65">
        <v>79890</v>
      </c>
      <c r="Y19" s="65">
        <v>3550</v>
      </c>
      <c r="Z19" s="67">
        <v>19.100000000000001</v>
      </c>
      <c r="AA19" s="65">
        <v>11720</v>
      </c>
      <c r="AB19" s="65">
        <v>781</v>
      </c>
      <c r="AC19" s="66">
        <v>7.33</v>
      </c>
    </row>
    <row r="20" spans="1:29" ht="21">
      <c r="A20" s="62" t="s">
        <v>119</v>
      </c>
      <c r="B20" s="56">
        <f>VLOOKUP(B11,table2,10,FALSE)</f>
        <v>14920</v>
      </c>
      <c r="C20" s="56" t="s">
        <v>120</v>
      </c>
      <c r="F20" s="70" t="s">
        <v>28</v>
      </c>
      <c r="O20" s="65">
        <v>500</v>
      </c>
      <c r="P20" s="65">
        <v>239</v>
      </c>
      <c r="Q20" s="65">
        <v>187</v>
      </c>
      <c r="R20" s="65">
        <v>500</v>
      </c>
      <c r="S20" s="65">
        <v>300</v>
      </c>
      <c r="T20" s="67">
        <v>14.5</v>
      </c>
      <c r="U20" s="65">
        <v>28</v>
      </c>
      <c r="V20" s="65">
        <v>655</v>
      </c>
      <c r="W20" s="65">
        <v>390</v>
      </c>
      <c r="X20" s="65">
        <v>107200</v>
      </c>
      <c r="Y20" s="65">
        <v>4290</v>
      </c>
      <c r="Z20" s="67">
        <v>21.2</v>
      </c>
      <c r="AA20" s="65">
        <v>12620</v>
      </c>
      <c r="AB20" s="65">
        <v>842</v>
      </c>
      <c r="AC20" s="66">
        <v>7.27</v>
      </c>
    </row>
    <row r="21" spans="1:29" ht="21">
      <c r="A21" s="62" t="s">
        <v>122</v>
      </c>
      <c r="B21" s="56">
        <f>VLOOKUP(B11,table2,11,FALSE)</f>
        <v>1150</v>
      </c>
      <c r="C21" s="56" t="s">
        <v>113</v>
      </c>
      <c r="F21" s="56" t="s">
        <v>130</v>
      </c>
      <c r="G21" s="56">
        <f>F5/(0.85*I16)</f>
        <v>0.93580122833269241</v>
      </c>
      <c r="H21" s="54" t="str">
        <f>IF(G21&lt;=1,"Safe","Unsafe")</f>
        <v>Safe</v>
      </c>
      <c r="O21" s="65">
        <v>550</v>
      </c>
      <c r="P21" s="65">
        <v>254</v>
      </c>
      <c r="Q21" s="65">
        <v>199</v>
      </c>
      <c r="R21" s="65">
        <v>550</v>
      </c>
      <c r="S21" s="65">
        <v>300</v>
      </c>
      <c r="T21" s="65">
        <v>15</v>
      </c>
      <c r="U21" s="65">
        <v>29</v>
      </c>
      <c r="V21" s="65">
        <v>56</v>
      </c>
      <c r="W21" s="65">
        <v>438</v>
      </c>
      <c r="X21" s="65">
        <v>136700</v>
      </c>
      <c r="Y21" s="65">
        <v>4970</v>
      </c>
      <c r="Z21" s="67">
        <v>23.2</v>
      </c>
      <c r="AA21" s="65">
        <v>13080</v>
      </c>
      <c r="AB21" s="65">
        <v>872</v>
      </c>
      <c r="AC21" s="66">
        <v>7.17</v>
      </c>
    </row>
    <row r="22" spans="1:29" ht="20.25">
      <c r="A22" s="62" t="s">
        <v>123</v>
      </c>
      <c r="B22" s="56">
        <f>VLOOKUP(B11,table2,12,FALSE)</f>
        <v>11.2</v>
      </c>
      <c r="C22" s="56" t="s">
        <v>4</v>
      </c>
      <c r="H22" s="71"/>
      <c r="O22" s="65">
        <v>600</v>
      </c>
      <c r="P22" s="65">
        <v>270</v>
      </c>
      <c r="Q22" s="65">
        <v>212</v>
      </c>
      <c r="R22" s="65">
        <v>600</v>
      </c>
      <c r="S22" s="65">
        <v>300</v>
      </c>
      <c r="T22" s="67">
        <v>15.5</v>
      </c>
      <c r="U22" s="65">
        <v>30</v>
      </c>
      <c r="V22" s="65">
        <v>57</v>
      </c>
      <c r="W22" s="65">
        <v>486</v>
      </c>
      <c r="X22" s="65">
        <v>171000</v>
      </c>
      <c r="Y22" s="65">
        <v>5700</v>
      </c>
      <c r="Z22" s="67">
        <v>25.2</v>
      </c>
      <c r="AA22" s="65">
        <v>13530</v>
      </c>
      <c r="AB22" s="65">
        <v>902</v>
      </c>
      <c r="AC22" s="66">
        <v>7.08</v>
      </c>
    </row>
    <row r="23" spans="1:29" ht="21">
      <c r="A23" s="62" t="s">
        <v>125</v>
      </c>
      <c r="B23" s="56">
        <f>VLOOKUP(B11,table2,13,FALSE)</f>
        <v>5130</v>
      </c>
      <c r="C23" s="56" t="s">
        <v>120</v>
      </c>
      <c r="F23" s="70" t="s">
        <v>29</v>
      </c>
      <c r="O23" s="65">
        <v>650</v>
      </c>
      <c r="P23" s="65">
        <v>286</v>
      </c>
      <c r="Q23" s="65">
        <v>225</v>
      </c>
      <c r="R23" s="65">
        <v>650</v>
      </c>
      <c r="S23" s="65">
        <v>300</v>
      </c>
      <c r="T23" s="65">
        <v>16</v>
      </c>
      <c r="U23" s="65">
        <v>31</v>
      </c>
      <c r="V23" s="65">
        <v>58</v>
      </c>
      <c r="W23" s="65">
        <v>534</v>
      </c>
      <c r="X23" s="65">
        <v>210600</v>
      </c>
      <c r="Y23" s="65">
        <v>6480</v>
      </c>
      <c r="Z23" s="67">
        <v>27.1</v>
      </c>
      <c r="AA23" s="65">
        <v>13980</v>
      </c>
      <c r="AB23" s="65">
        <v>932</v>
      </c>
      <c r="AC23" s="66">
        <v>6.99</v>
      </c>
    </row>
    <row r="24" spans="1:29" ht="20.25">
      <c r="A24" s="62" t="s">
        <v>124</v>
      </c>
      <c r="B24" s="56">
        <f>VLOOKUP(B11,table2,15,FALSE)</f>
        <v>6.58</v>
      </c>
      <c r="C24" s="56" t="s">
        <v>4</v>
      </c>
      <c r="F24" s="56" t="s">
        <v>121</v>
      </c>
      <c r="G24" s="56">
        <f>F6/(0.85*0.6*B5*0.1*B14*0.1*B16)</f>
        <v>0.62845651080945186</v>
      </c>
      <c r="H24" s="54" t="str">
        <f>IF(G24&lt;=1,"Safe","Unsafe")</f>
        <v>Safe</v>
      </c>
      <c r="O24" s="65">
        <v>700</v>
      </c>
      <c r="P24" s="65">
        <v>306</v>
      </c>
      <c r="Q24" s="65">
        <v>241</v>
      </c>
      <c r="R24" s="65">
        <v>700</v>
      </c>
      <c r="S24" s="65">
        <v>300</v>
      </c>
      <c r="T24" s="65">
        <v>17</v>
      </c>
      <c r="U24" s="65">
        <v>32</v>
      </c>
      <c r="V24" s="65">
        <v>59</v>
      </c>
      <c r="W24" s="65">
        <v>582</v>
      </c>
      <c r="X24" s="65">
        <v>256900</v>
      </c>
      <c r="Y24" s="65">
        <v>7340</v>
      </c>
      <c r="Z24" s="65">
        <v>29</v>
      </c>
      <c r="AA24" s="65">
        <v>14440</v>
      </c>
      <c r="AB24" s="65">
        <v>963</v>
      </c>
      <c r="AC24" s="66">
        <v>6.87</v>
      </c>
    </row>
    <row r="25" spans="1:29">
      <c r="O25" s="65">
        <v>800</v>
      </c>
      <c r="P25" s="65">
        <v>334</v>
      </c>
      <c r="Q25" s="65">
        <v>262</v>
      </c>
      <c r="R25" s="65">
        <v>800</v>
      </c>
      <c r="S25" s="65">
        <v>300</v>
      </c>
      <c r="T25" s="67">
        <v>17.5</v>
      </c>
      <c r="U25" s="65">
        <v>33</v>
      </c>
      <c r="V25" s="65">
        <v>63</v>
      </c>
      <c r="W25" s="65">
        <v>674</v>
      </c>
      <c r="X25" s="65">
        <v>359100</v>
      </c>
      <c r="Y25" s="65">
        <v>9890</v>
      </c>
      <c r="Z25" s="67">
        <v>32.799999999999997</v>
      </c>
      <c r="AA25" s="65">
        <v>14900</v>
      </c>
      <c r="AB25" s="65">
        <v>994</v>
      </c>
      <c r="AC25" s="66">
        <v>6.68</v>
      </c>
    </row>
    <row r="26" spans="1:29">
      <c r="F26" s="70" t="s">
        <v>34</v>
      </c>
      <c r="G26" s="57"/>
      <c r="H26" s="57"/>
      <c r="I26" s="57"/>
      <c r="O26" s="65">
        <v>900</v>
      </c>
      <c r="P26" s="65">
        <v>371</v>
      </c>
      <c r="Q26" s="65">
        <v>291</v>
      </c>
      <c r="R26" s="65">
        <v>900</v>
      </c>
      <c r="S26" s="65">
        <v>300</v>
      </c>
      <c r="T26" s="67">
        <v>18.5</v>
      </c>
      <c r="U26" s="65">
        <v>35</v>
      </c>
      <c r="V26" s="65">
        <v>65</v>
      </c>
      <c r="W26" s="65">
        <v>770</v>
      </c>
      <c r="X26" s="65">
        <v>494100</v>
      </c>
      <c r="Y26" s="65">
        <v>10980</v>
      </c>
      <c r="Z26" s="67">
        <v>36.5</v>
      </c>
      <c r="AA26" s="65">
        <v>15820</v>
      </c>
      <c r="AB26" s="65">
        <v>1050</v>
      </c>
      <c r="AC26" s="66">
        <v>6.53</v>
      </c>
    </row>
    <row r="27" spans="1:29" ht="20.25">
      <c r="F27" s="72" t="s">
        <v>129</v>
      </c>
      <c r="G27" s="63">
        <v>0.11</v>
      </c>
      <c r="H27" s="56" t="s">
        <v>4</v>
      </c>
      <c r="I27" s="54" t="str">
        <f>IF(G27&lt;=(B8/300),"Safe","Unsafe")</f>
        <v>Safe</v>
      </c>
      <c r="O27" s="65">
        <v>1000</v>
      </c>
      <c r="P27" s="65">
        <v>400</v>
      </c>
      <c r="Q27" s="65">
        <v>314</v>
      </c>
      <c r="R27" s="65">
        <v>1000</v>
      </c>
      <c r="S27" s="65">
        <v>300</v>
      </c>
      <c r="T27" s="65">
        <v>19</v>
      </c>
      <c r="U27" s="65">
        <v>36</v>
      </c>
      <c r="V27" s="65">
        <v>66</v>
      </c>
      <c r="W27" s="65">
        <v>868</v>
      </c>
      <c r="X27" s="65">
        <v>644700</v>
      </c>
      <c r="Y27" s="65">
        <v>12890</v>
      </c>
      <c r="Z27" s="67">
        <v>40.1</v>
      </c>
      <c r="AA27" s="65">
        <v>16280</v>
      </c>
      <c r="AB27" s="65">
        <v>1090</v>
      </c>
      <c r="AC27" s="66">
        <v>6.38</v>
      </c>
    </row>
  </sheetData>
  <mergeCells count="11">
    <mergeCell ref="X2:Z2"/>
    <mergeCell ref="AA2:AC2"/>
    <mergeCell ref="E4:F4"/>
    <mergeCell ref="E9:F9"/>
    <mergeCell ref="S1:T1"/>
    <mergeCell ref="R2:W2"/>
    <mergeCell ref="B4:C4"/>
    <mergeCell ref="B11:C11"/>
    <mergeCell ref="H10:H11"/>
    <mergeCell ref="E13:F13"/>
    <mergeCell ref="I10:I11"/>
  </mergeCells>
  <conditionalFormatting sqref="H21 H24">
    <cfRule type="cellIs" dxfId="7" priority="3" operator="equal">
      <formula>"Unsafe"</formula>
    </cfRule>
    <cfRule type="cellIs" dxfId="6" priority="4" operator="equal">
      <formula>"Safe"</formula>
    </cfRule>
  </conditionalFormatting>
  <conditionalFormatting sqref="I27">
    <cfRule type="cellIs" dxfId="5" priority="1" operator="equal">
      <formula>"unsafe"</formula>
    </cfRule>
    <cfRule type="cellIs" dxfId="4" priority="2" operator="equal">
      <formula>"safe"</formula>
    </cfRule>
  </conditionalFormatting>
  <dataValidations count="2">
    <dataValidation type="list" allowBlank="1" showInputMessage="1" showErrorMessage="1" sqref="B11" xr:uid="{2026BAD0-EA02-443B-BEC6-1EB3B3E2D282}">
      <formula1>$O$4:$O$28</formula1>
    </dataValidation>
    <dataValidation type="list" allowBlank="1" showInputMessage="1" showErrorMessage="1" sqref="B4:C4 K15" xr:uid="{83888441-DE7D-47F9-801A-EF85CC9E41A2}">
      <formula1>$A$1:$A$3</formula1>
    </dataValidation>
  </dataValidations>
  <pageMargins left="0.7" right="0.7" top="0.75" bottom="0.75" header="0.3" footer="0.3"/>
  <pageSetup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A104-CE5C-40DB-9C20-2B7CE4612732}">
  <dimension ref="A1:AG78"/>
  <sheetViews>
    <sheetView topLeftCell="A31" zoomScale="70" zoomScaleNormal="70" workbookViewId="0">
      <selection activeCell="V41" sqref="V41"/>
    </sheetView>
  </sheetViews>
  <sheetFormatPr defaultRowHeight="19.5"/>
  <cols>
    <col min="1" max="4" width="9" style="1"/>
    <col min="5" max="5" width="9" style="2"/>
    <col min="6" max="6" width="10.625" style="2" customWidth="1"/>
    <col min="7" max="8" width="9" style="2"/>
    <col min="9" max="9" width="9.625" style="2" customWidth="1"/>
    <col min="10" max="10" width="10.875" style="2" customWidth="1"/>
    <col min="11" max="14" width="9" style="2"/>
    <col min="15" max="16384" width="9" style="1"/>
  </cols>
  <sheetData>
    <row r="1" spans="1:33">
      <c r="A1" s="26">
        <v>37</v>
      </c>
      <c r="B1" s="27" t="s">
        <v>0</v>
      </c>
      <c r="V1" s="42" t="s">
        <v>5</v>
      </c>
      <c r="W1" s="43"/>
    </row>
    <row r="2" spans="1:33">
      <c r="A2" s="26">
        <v>44</v>
      </c>
      <c r="B2" s="27" t="s">
        <v>1</v>
      </c>
      <c r="R2" s="3" t="s">
        <v>6</v>
      </c>
      <c r="S2" s="3" t="s">
        <v>7</v>
      </c>
      <c r="T2" s="3" t="s">
        <v>8</v>
      </c>
      <c r="U2" s="44" t="s">
        <v>9</v>
      </c>
      <c r="V2" s="45"/>
      <c r="W2" s="45"/>
      <c r="X2" s="45"/>
      <c r="Y2" s="45"/>
      <c r="Z2" s="45"/>
      <c r="AA2" s="46"/>
      <c r="AB2" s="44" t="s">
        <v>10</v>
      </c>
      <c r="AC2" s="45"/>
      <c r="AD2" s="46"/>
      <c r="AE2" s="44" t="s">
        <v>11</v>
      </c>
      <c r="AF2" s="45"/>
      <c r="AG2" s="46"/>
    </row>
    <row r="3" spans="1:33" ht="23.25" thickBot="1">
      <c r="A3" s="26">
        <v>52</v>
      </c>
      <c r="B3" s="27" t="s">
        <v>2</v>
      </c>
      <c r="I3" s="1"/>
      <c r="J3" s="1"/>
      <c r="K3" s="1"/>
      <c r="L3" s="1"/>
      <c r="M3" s="1"/>
      <c r="N3" s="1"/>
      <c r="R3" s="3" t="s">
        <v>12</v>
      </c>
      <c r="S3" s="3" t="s">
        <v>35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36</v>
      </c>
      <c r="AC3" s="3" t="s">
        <v>37</v>
      </c>
      <c r="AD3" s="3" t="s">
        <v>38</v>
      </c>
      <c r="AE3" s="3" t="s">
        <v>39</v>
      </c>
      <c r="AF3" s="3" t="s">
        <v>40</v>
      </c>
      <c r="AG3" s="3" t="s">
        <v>41</v>
      </c>
    </row>
    <row r="4" spans="1:33">
      <c r="A4" s="19" t="s">
        <v>3</v>
      </c>
      <c r="B4" s="51">
        <v>37</v>
      </c>
      <c r="C4" s="52"/>
      <c r="E4" s="11" t="s">
        <v>53</v>
      </c>
      <c r="F4" s="51">
        <v>300</v>
      </c>
      <c r="G4" s="52"/>
      <c r="I4" s="1"/>
      <c r="J4" s="1"/>
      <c r="K4" s="1"/>
      <c r="L4" s="1"/>
      <c r="M4" s="1"/>
      <c r="N4" s="1"/>
      <c r="R4" s="4">
        <v>80</v>
      </c>
      <c r="S4" s="5">
        <v>7.64</v>
      </c>
      <c r="T4" s="4">
        <v>6</v>
      </c>
      <c r="U4" s="4">
        <v>80</v>
      </c>
      <c r="V4" s="4">
        <v>46</v>
      </c>
      <c r="W4" s="6">
        <v>3.8</v>
      </c>
      <c r="X4" s="4">
        <v>5</v>
      </c>
      <c r="Y4" s="6">
        <v>5.2</v>
      </c>
      <c r="Z4" s="6">
        <v>10.199999999999999</v>
      </c>
      <c r="AA4" s="4">
        <v>59</v>
      </c>
      <c r="AB4" s="6">
        <v>80.099999999999994</v>
      </c>
      <c r="AC4" s="4">
        <v>20</v>
      </c>
      <c r="AD4" s="5">
        <v>3.24</v>
      </c>
      <c r="AE4" s="5">
        <v>8.49</v>
      </c>
      <c r="AF4" s="5">
        <v>3.69</v>
      </c>
      <c r="AG4" s="5">
        <v>1.05</v>
      </c>
    </row>
    <row r="5" spans="1:33" ht="19.5" customHeight="1">
      <c r="A5" s="12" t="s">
        <v>49</v>
      </c>
      <c r="B5" s="8">
        <f>IF(B4=A1,2.4,IF(B4=A2,2.8,3.6))</f>
        <v>2.4</v>
      </c>
      <c r="C5" s="13" t="s">
        <v>42</v>
      </c>
      <c r="D5" s="2"/>
      <c r="E5" s="12" t="s">
        <v>54</v>
      </c>
      <c r="F5" s="8">
        <f>VLOOKUP(F4,table1,3,FALSE)</f>
        <v>42.2</v>
      </c>
      <c r="G5" s="13" t="s">
        <v>22</v>
      </c>
      <c r="H5" s="1"/>
      <c r="I5" s="22" t="s">
        <v>24</v>
      </c>
      <c r="J5" s="1"/>
      <c r="K5" s="1"/>
      <c r="L5" s="1"/>
      <c r="M5" s="1"/>
      <c r="N5" s="1"/>
      <c r="P5" s="2"/>
      <c r="R5" s="4">
        <v>100</v>
      </c>
      <c r="S5" s="6">
        <v>10.3</v>
      </c>
      <c r="T5" s="6">
        <v>8.1</v>
      </c>
      <c r="U5" s="4">
        <v>100</v>
      </c>
      <c r="V5" s="4">
        <v>55</v>
      </c>
      <c r="W5" s="6">
        <v>4.0999999999999996</v>
      </c>
      <c r="X5" s="4">
        <v>7</v>
      </c>
      <c r="Y5" s="6">
        <v>5.7</v>
      </c>
      <c r="Z5" s="6">
        <v>12.7</v>
      </c>
      <c r="AA5" s="4">
        <v>74</v>
      </c>
      <c r="AB5" s="4">
        <v>171</v>
      </c>
      <c r="AC5" s="6">
        <v>34.200000000000003</v>
      </c>
      <c r="AD5" s="5">
        <v>4.07</v>
      </c>
      <c r="AE5" s="6">
        <v>15.9</v>
      </c>
      <c r="AF5" s="5">
        <v>5.79</v>
      </c>
      <c r="AG5" s="5">
        <v>1.24</v>
      </c>
    </row>
    <row r="6" spans="1:33" ht="21" customHeight="1" thickBot="1">
      <c r="A6" s="14" t="s">
        <v>50</v>
      </c>
      <c r="B6" s="15">
        <f>IF(B4=A1,3.7,IF(B4=A2,4.4,5.2))</f>
        <v>3.7</v>
      </c>
      <c r="C6" s="16" t="s">
        <v>42</v>
      </c>
      <c r="D6" s="2"/>
      <c r="E6" s="12" t="s">
        <v>55</v>
      </c>
      <c r="F6" s="8">
        <f>VLOOKUP(F4,table1,2,FALSE)</f>
        <v>53.8</v>
      </c>
      <c r="G6" s="13" t="s">
        <v>43</v>
      </c>
      <c r="H6" s="1"/>
      <c r="I6" s="50" t="s">
        <v>25</v>
      </c>
      <c r="J6" s="50"/>
      <c r="K6" s="1"/>
      <c r="L6" s="1"/>
      <c r="M6" s="1"/>
      <c r="N6" s="1"/>
      <c r="P6" s="2"/>
      <c r="R6" s="4">
        <v>120</v>
      </c>
      <c r="S6" s="6">
        <v>13.2</v>
      </c>
      <c r="T6" s="6">
        <v>10.4</v>
      </c>
      <c r="U6" s="4">
        <v>120</v>
      </c>
      <c r="V6" s="4">
        <v>64</v>
      </c>
      <c r="W6" s="6">
        <v>4.4000000000000004</v>
      </c>
      <c r="X6" s="4">
        <v>7</v>
      </c>
      <c r="Y6" s="6">
        <v>6.3</v>
      </c>
      <c r="Z6" s="6">
        <v>13.3</v>
      </c>
      <c r="AA6" s="4">
        <v>93</v>
      </c>
      <c r="AB6" s="4">
        <v>318</v>
      </c>
      <c r="AC6" s="4">
        <v>53</v>
      </c>
      <c r="AD6" s="6">
        <v>4.9000000000000004</v>
      </c>
      <c r="AE6" s="6">
        <v>27.7</v>
      </c>
      <c r="AF6" s="5">
        <v>8.65</v>
      </c>
      <c r="AG6" s="5">
        <v>1.45</v>
      </c>
    </row>
    <row r="7" spans="1:33" ht="21.75" thickBot="1">
      <c r="E7" s="12" t="s">
        <v>56</v>
      </c>
      <c r="F7" s="8">
        <f>VLOOKUP(F4,table1,4,FALSE)</f>
        <v>300</v>
      </c>
      <c r="G7" s="13" t="s">
        <v>21</v>
      </c>
      <c r="H7" s="1"/>
      <c r="I7" s="8" t="s">
        <v>75</v>
      </c>
      <c r="J7" s="8">
        <f>F13/F9</f>
        <v>34.929577464788736</v>
      </c>
      <c r="K7" s="23" t="str">
        <f>IF(J7&lt;=(127/SQRT(B5)),B1,IF(AND(J7&gt;(127/SQRT(B5)),J7&lt;=(222/SQRT(B5))),B2))</f>
        <v>Compact</v>
      </c>
      <c r="L7" s="49" t="str">
        <f>IF(AND(K7=B1,K8=B1),B1,IF(OR(K7=B2,K8=B2),B2))</f>
        <v>Compact</v>
      </c>
      <c r="M7" s="1"/>
      <c r="N7" s="1"/>
      <c r="P7" s="7"/>
      <c r="R7" s="4">
        <v>140</v>
      </c>
      <c r="S7" s="6">
        <v>16.399999999999999</v>
      </c>
      <c r="T7" s="6">
        <v>12.9</v>
      </c>
      <c r="U7" s="4">
        <v>140</v>
      </c>
      <c r="V7" s="4">
        <v>73</v>
      </c>
      <c r="W7" s="6">
        <v>4.7</v>
      </c>
      <c r="X7" s="4">
        <v>7</v>
      </c>
      <c r="Y7" s="6">
        <v>6.9</v>
      </c>
      <c r="Z7" s="6">
        <v>13.9</v>
      </c>
      <c r="AA7" s="4">
        <v>112</v>
      </c>
      <c r="AB7" s="4">
        <v>541</v>
      </c>
      <c r="AC7" s="6">
        <v>77.3</v>
      </c>
      <c r="AD7" s="5">
        <v>5.74</v>
      </c>
      <c r="AE7" s="6">
        <v>44.9</v>
      </c>
      <c r="AF7" s="6">
        <v>12.3</v>
      </c>
      <c r="AG7" s="5">
        <v>1.65</v>
      </c>
    </row>
    <row r="8" spans="1:33" ht="21">
      <c r="A8" s="19" t="s">
        <v>51</v>
      </c>
      <c r="B8" s="28">
        <v>100</v>
      </c>
      <c r="C8" s="17" t="s">
        <v>4</v>
      </c>
      <c r="E8" s="12" t="s">
        <v>57</v>
      </c>
      <c r="F8" s="8">
        <f>VLOOKUP(F4,table1,5,FALSE)</f>
        <v>150</v>
      </c>
      <c r="G8" s="13" t="s">
        <v>21</v>
      </c>
      <c r="I8" s="8" t="s">
        <v>76</v>
      </c>
      <c r="J8" s="8">
        <f>(F8-F9-2*F10)/(2*F11)</f>
        <v>5.2757009345794401</v>
      </c>
      <c r="K8" s="23" t="str">
        <f>IF(J8&lt;=(16.9/SQRT(B5)),B1,IF(AND(J8&gt;(16.9/SQRT(B5)),J8&lt;=(33/SQRT(B5))),B2))</f>
        <v>Compact</v>
      </c>
      <c r="L8" s="49"/>
      <c r="M8" s="1"/>
      <c r="N8" s="1"/>
      <c r="P8" s="8"/>
      <c r="R8" s="4">
        <v>160</v>
      </c>
      <c r="S8" s="6">
        <v>20.100000000000001</v>
      </c>
      <c r="T8" s="6">
        <v>15.8</v>
      </c>
      <c r="U8" s="4">
        <v>160</v>
      </c>
      <c r="V8" s="4">
        <v>82</v>
      </c>
      <c r="W8" s="4">
        <v>5</v>
      </c>
      <c r="X8" s="4">
        <v>9</v>
      </c>
      <c r="Y8" s="6">
        <v>7.4</v>
      </c>
      <c r="Z8" s="6">
        <v>16.399999999999999</v>
      </c>
      <c r="AA8" s="4">
        <v>127</v>
      </c>
      <c r="AB8" s="4">
        <v>869</v>
      </c>
      <c r="AC8" s="4">
        <v>109</v>
      </c>
      <c r="AD8" s="5">
        <v>6.58</v>
      </c>
      <c r="AE8" s="6">
        <v>68.3</v>
      </c>
      <c r="AF8" s="6">
        <v>16.7</v>
      </c>
      <c r="AG8" s="5">
        <v>1.84</v>
      </c>
    </row>
    <row r="9" spans="1:33" ht="21.75" thickBot="1">
      <c r="A9" s="14" t="s">
        <v>52</v>
      </c>
      <c r="B9" s="18">
        <v>250</v>
      </c>
      <c r="C9" s="16" t="s">
        <v>4</v>
      </c>
      <c r="E9" s="12" t="s">
        <v>58</v>
      </c>
      <c r="F9" s="8">
        <f>VLOOKUP(F4,table1,6,FALSE)</f>
        <v>7.1</v>
      </c>
      <c r="G9" s="13" t="s">
        <v>21</v>
      </c>
      <c r="I9" s="1"/>
      <c r="J9" s="1"/>
      <c r="K9" s="1"/>
      <c r="L9" s="1"/>
      <c r="M9" s="1"/>
      <c r="N9" s="1"/>
      <c r="P9" s="8"/>
      <c r="R9" s="4">
        <v>180</v>
      </c>
      <c r="S9" s="6">
        <v>23.9</v>
      </c>
      <c r="T9" s="6">
        <v>18.8</v>
      </c>
      <c r="U9" s="4">
        <v>180</v>
      </c>
      <c r="V9" s="4">
        <v>91</v>
      </c>
      <c r="W9" s="6">
        <v>5.3</v>
      </c>
      <c r="X9" s="4">
        <v>9</v>
      </c>
      <c r="Y9" s="4">
        <v>8</v>
      </c>
      <c r="Z9" s="4">
        <v>17</v>
      </c>
      <c r="AA9" s="4">
        <v>146</v>
      </c>
      <c r="AB9" s="4">
        <v>1320</v>
      </c>
      <c r="AC9" s="4">
        <v>146</v>
      </c>
      <c r="AD9" s="5">
        <v>7.42</v>
      </c>
      <c r="AE9" s="4">
        <v>101</v>
      </c>
      <c r="AF9" s="6">
        <v>22.2</v>
      </c>
      <c r="AG9" s="5">
        <v>2.0499999999999998</v>
      </c>
    </row>
    <row r="10" spans="1:33" ht="20.25" thickBot="1">
      <c r="E10" s="12" t="s">
        <v>59</v>
      </c>
      <c r="F10" s="8">
        <f>VLOOKUP(F4,table1,7,FALSE)</f>
        <v>15</v>
      </c>
      <c r="G10" s="13" t="s">
        <v>21</v>
      </c>
      <c r="I10" s="21" t="s">
        <v>26</v>
      </c>
      <c r="J10" s="1"/>
      <c r="K10" s="1"/>
      <c r="L10" s="1"/>
      <c r="M10" s="20"/>
      <c r="N10" s="8"/>
      <c r="P10" s="8"/>
      <c r="R10" s="4">
        <v>200</v>
      </c>
      <c r="S10" s="6">
        <v>28.5</v>
      </c>
      <c r="T10" s="6">
        <v>22.4</v>
      </c>
      <c r="U10" s="4">
        <v>200</v>
      </c>
      <c r="V10" s="4">
        <v>100</v>
      </c>
      <c r="W10" s="6">
        <v>5.6</v>
      </c>
      <c r="X10" s="4">
        <v>12</v>
      </c>
      <c r="Y10" s="6">
        <v>8.5</v>
      </c>
      <c r="Z10" s="6">
        <v>20.5</v>
      </c>
      <c r="AA10" s="4">
        <v>159</v>
      </c>
      <c r="AB10" s="4">
        <v>1940</v>
      </c>
      <c r="AC10" s="4">
        <v>194</v>
      </c>
      <c r="AD10" s="5">
        <v>8.26</v>
      </c>
      <c r="AE10" s="4">
        <v>142</v>
      </c>
      <c r="AF10" s="6">
        <v>28.5</v>
      </c>
      <c r="AG10" s="5">
        <v>2.2400000000000002</v>
      </c>
    </row>
    <row r="11" spans="1:33" ht="21.75">
      <c r="A11" s="47" t="s">
        <v>30</v>
      </c>
      <c r="B11" s="48"/>
      <c r="C11" s="25"/>
      <c r="E11" s="12" t="s">
        <v>60</v>
      </c>
      <c r="F11" s="8">
        <f>VLOOKUP(F4,table1,8,FALSE)</f>
        <v>10.7</v>
      </c>
      <c r="G11" s="13" t="s">
        <v>21</v>
      </c>
      <c r="H11" s="1"/>
      <c r="I11" s="10" t="s">
        <v>65</v>
      </c>
      <c r="J11" s="8">
        <f>1.13*F15</f>
        <v>629.41</v>
      </c>
      <c r="K11" s="23" t="s">
        <v>46</v>
      </c>
      <c r="L11" s="1"/>
      <c r="M11" s="1"/>
      <c r="N11" s="9"/>
      <c r="P11" s="8"/>
      <c r="R11" s="4">
        <v>220</v>
      </c>
      <c r="S11" s="6">
        <v>33.4</v>
      </c>
      <c r="T11" s="6">
        <v>26.2</v>
      </c>
      <c r="U11" s="4">
        <v>220</v>
      </c>
      <c r="V11" s="4">
        <v>110</v>
      </c>
      <c r="W11" s="6">
        <v>5.9</v>
      </c>
      <c r="X11" s="4">
        <v>12</v>
      </c>
      <c r="Y11" s="6">
        <v>9.1999999999999993</v>
      </c>
      <c r="Z11" s="6">
        <v>21.2</v>
      </c>
      <c r="AA11" s="4">
        <v>177</v>
      </c>
      <c r="AB11" s="4">
        <v>2770</v>
      </c>
      <c r="AC11" s="4">
        <v>252</v>
      </c>
      <c r="AD11" s="5">
        <v>9.11</v>
      </c>
      <c r="AE11" s="4">
        <v>205</v>
      </c>
      <c r="AF11" s="6">
        <v>37.299999999999997</v>
      </c>
      <c r="AG11" s="5">
        <v>2.48</v>
      </c>
    </row>
    <row r="12" spans="1:33" ht="21">
      <c r="A12" s="12" t="s">
        <v>73</v>
      </c>
      <c r="B12" s="7">
        <v>2500</v>
      </c>
      <c r="C12" s="13" t="s">
        <v>31</v>
      </c>
      <c r="E12" s="12" t="s">
        <v>61</v>
      </c>
      <c r="F12" s="8">
        <f>VLOOKUP(F4,table1,9,FALSE)</f>
        <v>25.7</v>
      </c>
      <c r="G12" s="13" t="s">
        <v>21</v>
      </c>
      <c r="H12" s="1"/>
      <c r="I12" s="10" t="s">
        <v>69</v>
      </c>
      <c r="J12" s="8">
        <f>(80*F17)/SQRT(B5)</f>
        <v>172.99325613059796</v>
      </c>
      <c r="K12" s="23" t="s">
        <v>4</v>
      </c>
      <c r="L12" s="1"/>
      <c r="M12" s="8"/>
      <c r="N12" s="9"/>
      <c r="P12" s="7"/>
      <c r="R12" s="4">
        <v>240</v>
      </c>
      <c r="S12" s="6">
        <v>39.1</v>
      </c>
      <c r="T12" s="6">
        <v>30.7</v>
      </c>
      <c r="U12" s="4">
        <v>240</v>
      </c>
      <c r="V12" s="4">
        <v>120</v>
      </c>
      <c r="W12" s="6">
        <v>6.2</v>
      </c>
      <c r="X12" s="4">
        <v>15</v>
      </c>
      <c r="Y12" s="6">
        <v>9.8000000000000007</v>
      </c>
      <c r="Z12" s="6">
        <v>24.8</v>
      </c>
      <c r="AA12" s="4">
        <v>190</v>
      </c>
      <c r="AB12" s="4">
        <v>3890</v>
      </c>
      <c r="AC12" s="4">
        <v>324</v>
      </c>
      <c r="AD12" s="5">
        <v>9.9700000000000006</v>
      </c>
      <c r="AE12" s="4">
        <v>284</v>
      </c>
      <c r="AF12" s="6">
        <v>47.3</v>
      </c>
      <c r="AG12" s="5">
        <v>2.69</v>
      </c>
    </row>
    <row r="13" spans="1:33" ht="21.75" thickBot="1">
      <c r="A13" s="14" t="s">
        <v>74</v>
      </c>
      <c r="B13" s="18">
        <v>20</v>
      </c>
      <c r="C13" s="16" t="s">
        <v>32</v>
      </c>
      <c r="E13" s="12" t="s">
        <v>62</v>
      </c>
      <c r="F13" s="8">
        <f>VLOOKUP(F4,table1,10,FALSE)</f>
        <v>248</v>
      </c>
      <c r="G13" s="13" t="s">
        <v>21</v>
      </c>
      <c r="H13" s="1"/>
      <c r="I13" s="10" t="s">
        <v>70</v>
      </c>
      <c r="J13" s="8">
        <f>0.1*SQRT(((F11*F8^3)/12)/(F8*F11+(1/6)*(F7-2*F11)*F9))</f>
        <v>3.9439732209778828</v>
      </c>
      <c r="K13" s="23" t="s">
        <v>4</v>
      </c>
      <c r="L13" s="10" t="s">
        <v>44</v>
      </c>
      <c r="M13" s="8">
        <f>IF($B$9&lt;=$J$12,$J$11*$B$5,IF(AND($B$9&gt;$J$12,$B$9&lt;=$J$15),MIN($J$11*$B$5,$J$11*$B$5-($J$11*$B$5-0.75*$B$5*$F$15)*(($B$9-$J$12)/($J$15-$J$12))),$F$15*SQRT(((1380*($F$8/10)*($F$11/10))/(($F$7/10)*$B$9))^2+(20700/($B$9/$J$13)^2)^2)))</f>
        <v>1401.038440770888</v>
      </c>
      <c r="N13" s="8" t="s">
        <v>27</v>
      </c>
      <c r="P13" s="8"/>
      <c r="R13" s="4">
        <v>270</v>
      </c>
      <c r="S13" s="6">
        <v>45.9</v>
      </c>
      <c r="T13" s="6">
        <v>36.1</v>
      </c>
      <c r="U13" s="4">
        <v>270</v>
      </c>
      <c r="V13" s="4">
        <v>135</v>
      </c>
      <c r="W13" s="6">
        <v>6.6</v>
      </c>
      <c r="X13" s="4">
        <v>15</v>
      </c>
      <c r="Y13" s="6">
        <v>10.199999999999999</v>
      </c>
      <c r="Z13" s="6">
        <v>25.2</v>
      </c>
      <c r="AA13" s="4">
        <v>219</v>
      </c>
      <c r="AB13" s="4">
        <v>5790</v>
      </c>
      <c r="AC13" s="4">
        <v>429</v>
      </c>
      <c r="AD13" s="6">
        <v>11.2</v>
      </c>
      <c r="AE13" s="4">
        <v>420</v>
      </c>
      <c r="AF13" s="6">
        <v>62.2</v>
      </c>
      <c r="AG13" s="5">
        <v>3.02</v>
      </c>
    </row>
    <row r="14" spans="1:33" ht="21.75">
      <c r="E14" s="12" t="s">
        <v>63</v>
      </c>
      <c r="F14" s="8">
        <f>VLOOKUP(F4,table1,11,FALSE)</f>
        <v>8360</v>
      </c>
      <c r="G14" s="13" t="s">
        <v>45</v>
      </c>
      <c r="H14" s="1"/>
      <c r="I14" s="10" t="s">
        <v>71</v>
      </c>
      <c r="J14" s="8">
        <f>((0.104*J13*0.1*F7)/(0.1*F8*0.1*F11))^2</f>
        <v>0.58779654568407291</v>
      </c>
      <c r="K14" s="23" t="s">
        <v>23</v>
      </c>
      <c r="L14" s="1"/>
      <c r="M14" s="8"/>
      <c r="N14" s="8"/>
      <c r="P14" s="8"/>
      <c r="R14" s="4">
        <v>300</v>
      </c>
      <c r="S14" s="6">
        <v>53.8</v>
      </c>
      <c r="T14" s="6">
        <v>42.2</v>
      </c>
      <c r="U14" s="4">
        <v>300</v>
      </c>
      <c r="V14" s="4">
        <v>150</v>
      </c>
      <c r="W14" s="6">
        <v>7.1</v>
      </c>
      <c r="X14" s="4">
        <v>15</v>
      </c>
      <c r="Y14" s="6">
        <v>10.7</v>
      </c>
      <c r="Z14" s="6">
        <v>25.7</v>
      </c>
      <c r="AA14" s="4">
        <v>248</v>
      </c>
      <c r="AB14" s="4">
        <v>8360</v>
      </c>
      <c r="AC14" s="4">
        <v>557</v>
      </c>
      <c r="AD14" s="6">
        <v>12.5</v>
      </c>
      <c r="AE14" s="4">
        <v>604</v>
      </c>
      <c r="AF14" s="6">
        <v>80.5</v>
      </c>
      <c r="AG14" s="5">
        <v>3.35</v>
      </c>
    </row>
    <row r="15" spans="1:33" ht="21.75">
      <c r="E15" s="12" t="s">
        <v>64</v>
      </c>
      <c r="F15" s="8">
        <f>VLOOKUP(F4,table1,12,FALSE)</f>
        <v>557</v>
      </c>
      <c r="G15" s="13" t="s">
        <v>46</v>
      </c>
      <c r="H15" s="1"/>
      <c r="I15" s="10" t="s">
        <v>72</v>
      </c>
      <c r="J15" s="8">
        <f>((1380*(F8/10)*(F11/10))/((F7/10)*0.75*B5))*SQRT(0.5*(1+SQRT(1+(2*J14*0.75*B5)^2)))</f>
        <v>530.08845974300152</v>
      </c>
      <c r="K15" s="23" t="s">
        <v>4</v>
      </c>
      <c r="L15" s="1"/>
      <c r="M15" s="1"/>
      <c r="N15" s="1"/>
      <c r="O15" s="8"/>
      <c r="P15" s="8"/>
      <c r="R15" s="4">
        <v>330</v>
      </c>
      <c r="S15" s="6">
        <v>62.6</v>
      </c>
      <c r="T15" s="6">
        <v>49.1</v>
      </c>
      <c r="U15" s="4">
        <v>330</v>
      </c>
      <c r="V15" s="4">
        <v>160</v>
      </c>
      <c r="W15" s="6">
        <v>7.5</v>
      </c>
      <c r="X15" s="4">
        <v>18</v>
      </c>
      <c r="Y15" s="6">
        <v>11.5</v>
      </c>
      <c r="Z15" s="6">
        <v>29.5</v>
      </c>
      <c r="AA15" s="4">
        <v>271</v>
      </c>
      <c r="AB15" s="4">
        <v>11770</v>
      </c>
      <c r="AC15" s="4">
        <v>713</v>
      </c>
      <c r="AD15" s="6">
        <v>13.7</v>
      </c>
      <c r="AE15" s="4">
        <v>788</v>
      </c>
      <c r="AF15" s="6">
        <v>98.5</v>
      </c>
      <c r="AG15" s="5">
        <v>3.55</v>
      </c>
    </row>
    <row r="16" spans="1:33" ht="21">
      <c r="E16" s="12" t="s">
        <v>66</v>
      </c>
      <c r="F16" s="8">
        <f>VLOOKUP(F4,table1,13,FALSE)</f>
        <v>12.5</v>
      </c>
      <c r="G16" s="13" t="s">
        <v>4</v>
      </c>
      <c r="H16" s="1"/>
      <c r="I16" s="1"/>
      <c r="J16" s="9"/>
      <c r="K16" s="9"/>
      <c r="L16" s="9"/>
      <c r="M16" s="9"/>
      <c r="N16" s="9"/>
      <c r="O16" s="8"/>
      <c r="P16" s="8"/>
      <c r="R16" s="4">
        <v>360</v>
      </c>
      <c r="S16" s="6">
        <v>72.7</v>
      </c>
      <c r="T16" s="6">
        <v>57.1</v>
      </c>
      <c r="U16" s="4">
        <v>360</v>
      </c>
      <c r="V16" s="4">
        <v>170</v>
      </c>
      <c r="W16" s="4">
        <v>8</v>
      </c>
      <c r="X16" s="4">
        <v>18</v>
      </c>
      <c r="Y16" s="6">
        <v>12.7</v>
      </c>
      <c r="Z16" s="6">
        <v>30.7</v>
      </c>
      <c r="AA16" s="4">
        <v>298</v>
      </c>
      <c r="AB16" s="4">
        <v>16270</v>
      </c>
      <c r="AC16" s="4">
        <v>904</v>
      </c>
      <c r="AD16" s="4">
        <v>15</v>
      </c>
      <c r="AE16" s="4">
        <v>1040</v>
      </c>
      <c r="AF16" s="4">
        <v>123</v>
      </c>
      <c r="AG16" s="5">
        <v>3.79</v>
      </c>
    </row>
    <row r="17" spans="1:33" ht="21">
      <c r="E17" s="12" t="s">
        <v>68</v>
      </c>
      <c r="F17" s="8">
        <f>VLOOKUP(F4,table1,16,FALSE)</f>
        <v>3.35</v>
      </c>
      <c r="G17" s="13" t="s">
        <v>4</v>
      </c>
      <c r="H17" s="20"/>
      <c r="I17" s="20"/>
      <c r="J17" s="21" t="s">
        <v>28</v>
      </c>
      <c r="K17" s="8"/>
      <c r="L17" s="8"/>
      <c r="M17" s="20"/>
      <c r="N17" s="20"/>
      <c r="O17" s="8"/>
      <c r="P17" s="8"/>
      <c r="R17" s="4">
        <v>400</v>
      </c>
      <c r="S17" s="6">
        <v>84.5</v>
      </c>
      <c r="T17" s="6">
        <v>66.3</v>
      </c>
      <c r="U17" s="4">
        <v>400</v>
      </c>
      <c r="V17" s="4">
        <v>180</v>
      </c>
      <c r="W17" s="6">
        <v>8.6</v>
      </c>
      <c r="X17" s="4">
        <v>21</v>
      </c>
      <c r="Y17" s="6">
        <v>13.5</v>
      </c>
      <c r="Z17" s="6">
        <v>34.5</v>
      </c>
      <c r="AA17" s="4">
        <v>331</v>
      </c>
      <c r="AB17" s="4">
        <v>23130</v>
      </c>
      <c r="AC17" s="4">
        <v>1160</v>
      </c>
      <c r="AD17" s="6">
        <v>16.5</v>
      </c>
      <c r="AE17" s="4">
        <v>1320</v>
      </c>
      <c r="AF17" s="4">
        <v>146</v>
      </c>
      <c r="AG17" s="5">
        <v>3.95</v>
      </c>
    </row>
    <row r="18" spans="1:33" ht="22.5" thickBot="1">
      <c r="E18" s="14" t="s">
        <v>67</v>
      </c>
      <c r="F18" s="15">
        <f>VLOOKUP(F4,table1,14,FALSE)</f>
        <v>604</v>
      </c>
      <c r="G18" s="16" t="s">
        <v>45</v>
      </c>
      <c r="H18" s="1"/>
      <c r="I18" s="1"/>
      <c r="J18" s="8" t="s">
        <v>47</v>
      </c>
      <c r="K18" s="8">
        <f>B12/(0.85*M13)</f>
        <v>2.0992832066548606</v>
      </c>
      <c r="L18" s="24" t="str">
        <f>IF(K18&lt;=1,"Safe","Unsafe")</f>
        <v>Unsafe</v>
      </c>
      <c r="M18" s="8"/>
      <c r="N18" s="8"/>
      <c r="O18" s="8"/>
      <c r="P18" s="8"/>
      <c r="R18" s="4">
        <v>450</v>
      </c>
      <c r="S18" s="6">
        <v>98.8</v>
      </c>
      <c r="T18" s="6">
        <v>77.599999999999994</v>
      </c>
      <c r="U18" s="4">
        <v>450</v>
      </c>
      <c r="V18" s="4">
        <v>190</v>
      </c>
      <c r="W18" s="6">
        <v>9.4</v>
      </c>
      <c r="X18" s="4">
        <v>21</v>
      </c>
      <c r="Y18" s="6">
        <v>14.6</v>
      </c>
      <c r="Z18" s="6">
        <v>35.6</v>
      </c>
      <c r="AA18" s="4">
        <v>378</v>
      </c>
      <c r="AB18" s="4">
        <v>33740</v>
      </c>
      <c r="AC18" s="4">
        <v>1500</v>
      </c>
      <c r="AD18" s="6">
        <v>18.5</v>
      </c>
      <c r="AE18" s="4">
        <v>1680</v>
      </c>
      <c r="AF18" s="4">
        <v>176</v>
      </c>
      <c r="AG18" s="5">
        <v>4.12</v>
      </c>
    </row>
    <row r="19" spans="1:33">
      <c r="F19" s="1"/>
      <c r="G19" s="1"/>
      <c r="H19" s="1"/>
      <c r="I19" s="1"/>
      <c r="J19" s="1"/>
      <c r="K19" s="1"/>
      <c r="L19" s="8"/>
      <c r="M19" s="8"/>
      <c r="N19" s="8"/>
      <c r="O19" s="8"/>
      <c r="P19" s="8"/>
      <c r="R19" s="4">
        <v>500</v>
      </c>
      <c r="S19" s="4">
        <v>116</v>
      </c>
      <c r="T19" s="6">
        <v>90.7</v>
      </c>
      <c r="U19" s="4">
        <v>500</v>
      </c>
      <c r="V19" s="4">
        <v>200</v>
      </c>
      <c r="W19" s="6">
        <v>10.199999999999999</v>
      </c>
      <c r="X19" s="4">
        <v>21</v>
      </c>
      <c r="Y19" s="4">
        <v>16</v>
      </c>
      <c r="Z19" s="4">
        <v>37</v>
      </c>
      <c r="AA19" s="4">
        <v>426</v>
      </c>
      <c r="AB19" s="4">
        <v>48200</v>
      </c>
      <c r="AC19" s="4">
        <v>1930</v>
      </c>
      <c r="AD19" s="6">
        <v>20.399999999999999</v>
      </c>
      <c r="AE19" s="4">
        <v>2140</v>
      </c>
      <c r="AF19" s="4">
        <v>214</v>
      </c>
      <c r="AG19" s="5">
        <v>4.3099999999999996</v>
      </c>
    </row>
    <row r="20" spans="1:33">
      <c r="F20" s="1"/>
      <c r="G20" s="1"/>
      <c r="H20" s="1"/>
      <c r="I20" s="1"/>
      <c r="J20" s="21" t="s">
        <v>29</v>
      </c>
      <c r="K20" s="8"/>
      <c r="L20" s="8"/>
      <c r="M20" s="8"/>
      <c r="N20" s="8"/>
      <c r="O20" s="8"/>
      <c r="P20" s="8"/>
      <c r="R20" s="4">
        <v>550</v>
      </c>
      <c r="S20" s="4">
        <v>134</v>
      </c>
      <c r="T20" s="4">
        <v>106</v>
      </c>
      <c r="U20" s="4">
        <v>550</v>
      </c>
      <c r="V20" s="4">
        <v>210</v>
      </c>
      <c r="W20" s="6">
        <v>11.1</v>
      </c>
      <c r="X20" s="4">
        <v>24</v>
      </c>
      <c r="Y20" s="6">
        <v>17.2</v>
      </c>
      <c r="Z20" s="6">
        <v>41.2</v>
      </c>
      <c r="AA20" s="4">
        <v>467</v>
      </c>
      <c r="AB20" s="4">
        <v>67120</v>
      </c>
      <c r="AC20" s="4">
        <v>2440</v>
      </c>
      <c r="AD20" s="6">
        <v>22.3</v>
      </c>
      <c r="AE20" s="4">
        <v>2670</v>
      </c>
      <c r="AF20" s="4">
        <v>254</v>
      </c>
      <c r="AG20" s="5">
        <v>4.45</v>
      </c>
    </row>
    <row r="21" spans="1:33" ht="21">
      <c r="F21" s="1"/>
      <c r="G21" s="1"/>
      <c r="H21" s="1"/>
      <c r="I21" s="1"/>
      <c r="J21" s="8" t="s">
        <v>48</v>
      </c>
      <c r="K21" s="8">
        <f>B13/(0.85*0.6*B5*0.1*F7*0.1*F9)</f>
        <v>0.76713001319463614</v>
      </c>
      <c r="L21" s="24" t="str">
        <f>IF(K21&lt;=1,"Safe","Unsafe")</f>
        <v>Safe</v>
      </c>
      <c r="M21" s="20"/>
      <c r="N21" s="20"/>
      <c r="O21" s="8"/>
      <c r="P21" s="8"/>
      <c r="R21" s="4">
        <v>600</v>
      </c>
      <c r="S21" s="4">
        <v>156</v>
      </c>
      <c r="T21" s="4">
        <v>122</v>
      </c>
      <c r="U21" s="4">
        <v>600</v>
      </c>
      <c r="V21" s="4">
        <v>220</v>
      </c>
      <c r="W21" s="4">
        <v>12</v>
      </c>
      <c r="X21" s="4">
        <v>24</v>
      </c>
      <c r="Y21" s="4">
        <v>19</v>
      </c>
      <c r="Z21" s="4">
        <v>43</v>
      </c>
      <c r="AA21" s="4">
        <v>514</v>
      </c>
      <c r="AB21" s="4">
        <v>92080</v>
      </c>
      <c r="AC21" s="4">
        <v>3070</v>
      </c>
      <c r="AD21" s="6">
        <v>24.3</v>
      </c>
      <c r="AE21" s="4">
        <v>3390</v>
      </c>
      <c r="AF21" s="4">
        <v>308</v>
      </c>
      <c r="AG21" s="5">
        <v>4.66</v>
      </c>
    </row>
    <row r="22" spans="1:33">
      <c r="F22" s="1"/>
      <c r="G22" s="1"/>
      <c r="H22" s="1"/>
      <c r="I22" s="1"/>
      <c r="J22" s="1"/>
      <c r="K22" s="1"/>
      <c r="L22" s="20"/>
      <c r="M22" s="20"/>
      <c r="N22" s="20"/>
      <c r="O22" s="8"/>
      <c r="P22" s="8"/>
    </row>
    <row r="23" spans="1:33">
      <c r="F23" s="1"/>
      <c r="G23" s="1"/>
      <c r="H23" s="1"/>
      <c r="I23" s="1"/>
      <c r="J23" s="21" t="s">
        <v>34</v>
      </c>
      <c r="K23" s="20"/>
      <c r="L23" s="20"/>
      <c r="M23" s="20"/>
      <c r="N23" s="8"/>
      <c r="O23" s="8"/>
      <c r="P23" s="8"/>
    </row>
    <row r="24" spans="1:33" ht="21">
      <c r="F24" s="1"/>
      <c r="G24" s="1"/>
      <c r="H24" s="1"/>
      <c r="I24" s="1"/>
      <c r="J24" s="29" t="s">
        <v>78</v>
      </c>
      <c r="K24" s="7">
        <v>0.11</v>
      </c>
      <c r="L24" s="8" t="s">
        <v>4</v>
      </c>
      <c r="M24" s="24" t="str">
        <f>IF(K24&lt;=(B8/300),"Safe","Unsafe")</f>
        <v>Safe</v>
      </c>
      <c r="N24" s="8"/>
      <c r="O24" s="8"/>
      <c r="P24" s="8"/>
    </row>
    <row r="25" spans="1:33">
      <c r="F25" s="1"/>
      <c r="G25" s="1"/>
      <c r="H25" s="1"/>
      <c r="I25" s="8"/>
      <c r="J25" s="1"/>
      <c r="K25" s="1"/>
      <c r="L25" s="1"/>
      <c r="M25" s="20"/>
      <c r="N25" s="20"/>
      <c r="O25" s="8"/>
      <c r="P25" s="8"/>
    </row>
    <row r="26" spans="1:33">
      <c r="F26" s="1"/>
      <c r="G26" s="1"/>
      <c r="H26" s="1"/>
      <c r="I26" s="8"/>
      <c r="J26" s="1"/>
      <c r="K26" s="1"/>
      <c r="L26" s="1"/>
      <c r="M26" s="20"/>
      <c r="N26" s="20"/>
      <c r="O26" s="8"/>
      <c r="P26" s="8"/>
    </row>
    <row r="27" spans="1:33">
      <c r="F27" s="20"/>
      <c r="G27" s="20"/>
      <c r="H27" s="20"/>
      <c r="I27" s="20"/>
      <c r="J27" s="20"/>
      <c r="K27" s="20"/>
      <c r="L27" s="20"/>
      <c r="M27" s="20"/>
      <c r="N27" s="20"/>
      <c r="O27" s="8"/>
    </row>
    <row r="28" spans="1:33">
      <c r="F28" s="1"/>
      <c r="G28" s="1"/>
      <c r="H28" s="1"/>
      <c r="I28" s="1"/>
      <c r="J28" s="20"/>
      <c r="K28" s="20"/>
      <c r="L28" s="20"/>
      <c r="M28" s="20"/>
      <c r="N28" s="20"/>
      <c r="O28" s="8"/>
      <c r="P28" s="8"/>
    </row>
    <row r="29" spans="1:33">
      <c r="F29" s="1"/>
      <c r="G29" s="1"/>
      <c r="N29" s="20"/>
      <c r="O29" s="8"/>
      <c r="P29" s="8"/>
    </row>
    <row r="30" spans="1:33" ht="25.5">
      <c r="A30" s="53" t="s">
        <v>85</v>
      </c>
      <c r="B30" s="53"/>
      <c r="C30" s="53"/>
      <c r="D30" s="53"/>
      <c r="E30" s="53"/>
      <c r="F30" s="53"/>
      <c r="G30" s="53"/>
      <c r="H30" s="53"/>
      <c r="I30" s="53"/>
      <c r="J30" s="53"/>
    </row>
    <row r="31" spans="1:33" ht="21">
      <c r="A31" s="33" t="s">
        <v>80</v>
      </c>
      <c r="B31" s="30" t="s">
        <v>81</v>
      </c>
      <c r="C31" s="1" t="s">
        <v>82</v>
      </c>
      <c r="D31" s="1" t="s">
        <v>83</v>
      </c>
      <c r="E31" s="8" t="s">
        <v>84</v>
      </c>
      <c r="F31" s="8" t="s">
        <v>90</v>
      </c>
      <c r="G31" s="8" t="s">
        <v>91</v>
      </c>
      <c r="H31" s="10" t="s">
        <v>92</v>
      </c>
      <c r="I31" s="10" t="s">
        <v>93</v>
      </c>
      <c r="J31" s="34" t="s">
        <v>79</v>
      </c>
      <c r="K31" s="20"/>
      <c r="V31" s="8"/>
    </row>
    <row r="32" spans="1:33">
      <c r="A32" s="33">
        <v>0</v>
      </c>
      <c r="B32" s="30">
        <v>400</v>
      </c>
      <c r="C32" s="1">
        <v>180</v>
      </c>
      <c r="D32" s="31">
        <v>13.5</v>
      </c>
      <c r="E32" s="32">
        <v>1160</v>
      </c>
      <c r="F32" s="32">
        <v>1310.8</v>
      </c>
      <c r="G32" s="32">
        <v>4.7043489141277117</v>
      </c>
      <c r="H32" s="2">
        <v>203.97712290025729</v>
      </c>
      <c r="I32" s="32">
        <v>619.64598779844516</v>
      </c>
      <c r="J32" s="34">
        <f>IF(A32&lt;=H32,F32*$B$5,IF(AND(A32&gt;H32,A32&lt;=I32),MIN(F32*$B$5,F32*$B$5-(F32*$B$5-0.75*$B$5*E32)*((A32-H32)/(I32-H32))),E32*SQRT(((1380*(C32/10)*(D32/10))/((B32/10)*A32))^2+(20700/(A32/G32)^2)^2)))</f>
        <v>3145.9199999999996</v>
      </c>
      <c r="K32" s="20"/>
      <c r="V32" s="8"/>
    </row>
    <row r="33" spans="1:22">
      <c r="A33" s="33">
        <v>100</v>
      </c>
      <c r="B33" s="30">
        <v>400</v>
      </c>
      <c r="C33" s="1">
        <v>180</v>
      </c>
      <c r="D33" s="31">
        <v>13.5</v>
      </c>
      <c r="E33" s="32">
        <v>1160</v>
      </c>
      <c r="F33" s="32">
        <v>1310.8</v>
      </c>
      <c r="G33" s="32">
        <v>4.7043489141277117</v>
      </c>
      <c r="H33" s="2">
        <v>203.97712290025729</v>
      </c>
      <c r="I33" s="32">
        <v>619.64598779844516</v>
      </c>
      <c r="J33" s="34">
        <f t="shared" ref="J33:J44" si="0">IF(A33&lt;=H33,F33*$B$5,IF(AND(A33&gt;H33,A33&lt;=I33),MIN(F33*$B$5,F33*$B$5-(F33*$B$5-0.75*$B$5*E33)*((A33-H33)/(I33-H33))),E33*SQRT(((1380*(C33/10)*(D33/10))/((B33/10)*A33))^2+(20700/(A33/G33)^2)^2)))</f>
        <v>3145.9199999999996</v>
      </c>
      <c r="K33" s="20"/>
      <c r="V33" s="8"/>
    </row>
    <row r="34" spans="1:22">
      <c r="A34" s="33">
        <v>200</v>
      </c>
      <c r="B34" s="30">
        <v>400</v>
      </c>
      <c r="C34" s="1">
        <v>180</v>
      </c>
      <c r="D34" s="31">
        <v>13.5</v>
      </c>
      <c r="E34" s="32">
        <v>1160</v>
      </c>
      <c r="F34" s="32">
        <v>1310.8</v>
      </c>
      <c r="G34" s="32">
        <v>4.7043489141277117</v>
      </c>
      <c r="H34" s="2">
        <v>203.97712290025729</v>
      </c>
      <c r="I34" s="32">
        <v>619.64598779844516</v>
      </c>
      <c r="J34" s="34">
        <f t="shared" si="0"/>
        <v>3145.9199999999996</v>
      </c>
      <c r="K34" s="20"/>
      <c r="V34" s="8"/>
    </row>
    <row r="35" spans="1:22">
      <c r="A35" s="33">
        <v>203.97712290025729</v>
      </c>
      <c r="B35" s="30">
        <v>400</v>
      </c>
      <c r="C35" s="1">
        <v>180</v>
      </c>
      <c r="D35" s="31">
        <v>13.5</v>
      </c>
      <c r="E35" s="32">
        <v>1160</v>
      </c>
      <c r="F35" s="32">
        <v>1310.8</v>
      </c>
      <c r="G35" s="32">
        <v>4.7043489141277117</v>
      </c>
      <c r="H35" s="2">
        <v>203.97712290025729</v>
      </c>
      <c r="I35" s="32">
        <v>619.64598779844516</v>
      </c>
      <c r="J35" s="34">
        <f t="shared" si="0"/>
        <v>3145.9199999999996</v>
      </c>
      <c r="K35" s="20"/>
      <c r="V35" s="40" t="s">
        <v>94</v>
      </c>
    </row>
    <row r="36" spans="1:22">
      <c r="A36" s="33">
        <v>300</v>
      </c>
      <c r="B36" s="30">
        <v>400</v>
      </c>
      <c r="C36" s="1">
        <v>180</v>
      </c>
      <c r="D36" s="31">
        <v>13.5</v>
      </c>
      <c r="E36" s="32">
        <v>1160</v>
      </c>
      <c r="F36" s="32">
        <v>1310.8</v>
      </c>
      <c r="G36" s="32">
        <v>4.7043489141277117</v>
      </c>
      <c r="H36" s="2">
        <v>203.97712290025729</v>
      </c>
      <c r="I36" s="32">
        <v>619.64598779844516</v>
      </c>
      <c r="J36" s="34">
        <f t="shared" si="0"/>
        <v>2901.5319047640442</v>
      </c>
      <c r="K36" s="20"/>
      <c r="V36" s="40" t="s">
        <v>95</v>
      </c>
    </row>
    <row r="37" spans="1:22">
      <c r="A37" s="33">
        <v>400</v>
      </c>
      <c r="B37" s="30">
        <v>400</v>
      </c>
      <c r="C37" s="1">
        <v>180</v>
      </c>
      <c r="D37" s="31">
        <v>13.5</v>
      </c>
      <c r="E37" s="32">
        <v>1160</v>
      </c>
      <c r="F37" s="32">
        <v>1310.8</v>
      </c>
      <c r="G37" s="32">
        <v>4.7043489141277117</v>
      </c>
      <c r="H37" s="2">
        <v>203.97712290025729</v>
      </c>
      <c r="I37" s="32">
        <v>619.64598779844516</v>
      </c>
      <c r="J37" s="34">
        <f t="shared" si="0"/>
        <v>2647.0216228214404</v>
      </c>
      <c r="K37" s="20"/>
      <c r="V37" s="40" t="s">
        <v>96</v>
      </c>
    </row>
    <row r="38" spans="1:22">
      <c r="A38" s="33">
        <v>500</v>
      </c>
      <c r="B38" s="30">
        <v>400</v>
      </c>
      <c r="C38" s="1">
        <v>180</v>
      </c>
      <c r="D38" s="31">
        <v>13.5</v>
      </c>
      <c r="E38" s="32">
        <v>1160</v>
      </c>
      <c r="F38" s="32">
        <v>1310.8</v>
      </c>
      <c r="G38" s="32">
        <v>4.7043489141277117</v>
      </c>
      <c r="H38" s="2">
        <v>203.97712290025729</v>
      </c>
      <c r="I38" s="32">
        <v>619.64598779844516</v>
      </c>
      <c r="J38" s="34">
        <f t="shared" si="0"/>
        <v>2392.5113408788366</v>
      </c>
      <c r="K38" s="20"/>
      <c r="V38" s="40"/>
    </row>
    <row r="39" spans="1:22">
      <c r="A39" s="33">
        <v>600</v>
      </c>
      <c r="B39" s="30">
        <v>400</v>
      </c>
      <c r="C39" s="1">
        <v>180</v>
      </c>
      <c r="D39" s="31">
        <v>13.5</v>
      </c>
      <c r="E39" s="32">
        <v>1160</v>
      </c>
      <c r="F39" s="32">
        <v>1310.8</v>
      </c>
      <c r="G39" s="32">
        <v>4.7043489141277117</v>
      </c>
      <c r="H39" s="2">
        <v>203.97712290025729</v>
      </c>
      <c r="I39" s="32">
        <v>619.64598779844516</v>
      </c>
      <c r="J39" s="34">
        <f t="shared" si="0"/>
        <v>2138.0010589362323</v>
      </c>
      <c r="K39" s="20"/>
      <c r="V39" s="40"/>
    </row>
    <row r="40" spans="1:22">
      <c r="A40" s="33">
        <v>619.64598779844516</v>
      </c>
      <c r="B40" s="30">
        <v>400</v>
      </c>
      <c r="C40" s="1">
        <v>180</v>
      </c>
      <c r="D40" s="31">
        <v>13.5</v>
      </c>
      <c r="E40" s="32">
        <v>1160</v>
      </c>
      <c r="F40" s="32">
        <v>1310.8</v>
      </c>
      <c r="G40" s="32">
        <v>4.7043489141277117</v>
      </c>
      <c r="H40" s="2">
        <v>203.97712290025729</v>
      </c>
      <c r="I40" s="32">
        <v>619.64598779844516</v>
      </c>
      <c r="J40" s="34">
        <f t="shared" si="0"/>
        <v>2088</v>
      </c>
      <c r="K40" s="20"/>
      <c r="V40" s="40"/>
    </row>
    <row r="41" spans="1:22">
      <c r="A41" s="33">
        <v>700</v>
      </c>
      <c r="B41" s="30">
        <v>400</v>
      </c>
      <c r="C41" s="1">
        <v>180</v>
      </c>
      <c r="D41" s="31">
        <v>13.5</v>
      </c>
      <c r="E41" s="32">
        <v>1160</v>
      </c>
      <c r="F41" s="32">
        <v>1310.8</v>
      </c>
      <c r="G41" s="32">
        <v>4.7043489141277117</v>
      </c>
      <c r="H41" s="2">
        <v>203.97712290025729</v>
      </c>
      <c r="I41" s="32">
        <v>619.64598779844516</v>
      </c>
      <c r="J41" s="34">
        <f t="shared" si="0"/>
        <v>1762.4440264777181</v>
      </c>
      <c r="K41" s="20"/>
      <c r="V41" s="40"/>
    </row>
    <row r="42" spans="1:22">
      <c r="A42" s="33">
        <v>800</v>
      </c>
      <c r="B42" s="30">
        <v>400</v>
      </c>
      <c r="C42" s="1">
        <v>180</v>
      </c>
      <c r="D42" s="31">
        <v>13.5</v>
      </c>
      <c r="E42" s="32">
        <v>1160</v>
      </c>
      <c r="F42" s="32">
        <v>1310.8</v>
      </c>
      <c r="G42" s="32">
        <v>4.7043489141277117</v>
      </c>
      <c r="H42" s="2">
        <v>203.97712290025729</v>
      </c>
      <c r="I42" s="32">
        <v>619.64598779844516</v>
      </c>
      <c r="J42" s="34">
        <f t="shared" si="0"/>
        <v>1472.1205682521411</v>
      </c>
      <c r="K42" s="20"/>
      <c r="V42" s="40"/>
    </row>
    <row r="43" spans="1:22">
      <c r="A43" s="33">
        <v>900</v>
      </c>
      <c r="B43" s="30">
        <v>400</v>
      </c>
      <c r="C43" s="1">
        <v>180</v>
      </c>
      <c r="D43" s="31">
        <v>13.5</v>
      </c>
      <c r="E43" s="32">
        <v>1160</v>
      </c>
      <c r="F43" s="32">
        <v>1310.8</v>
      </c>
      <c r="G43" s="32">
        <v>4.7043489141277117</v>
      </c>
      <c r="H43" s="2">
        <v>203.97712290025729</v>
      </c>
      <c r="I43" s="32">
        <v>619.64598779844516</v>
      </c>
      <c r="J43" s="34">
        <f t="shared" si="0"/>
        <v>1264.1119609045484</v>
      </c>
      <c r="K43" s="20"/>
      <c r="V43" s="40"/>
    </row>
    <row r="44" spans="1:22">
      <c r="A44" s="33">
        <v>1000</v>
      </c>
      <c r="B44" s="30">
        <v>400</v>
      </c>
      <c r="C44" s="1">
        <v>180</v>
      </c>
      <c r="D44" s="31">
        <v>13.5</v>
      </c>
      <c r="E44" s="32">
        <v>1160</v>
      </c>
      <c r="F44" s="32">
        <v>1310.8</v>
      </c>
      <c r="G44" s="32">
        <v>4.7043489141277117</v>
      </c>
      <c r="H44" s="2">
        <v>203.97712290025729</v>
      </c>
      <c r="I44" s="32">
        <v>619.64598779844516</v>
      </c>
      <c r="J44" s="34">
        <f t="shared" si="0"/>
        <v>1108.2069158540226</v>
      </c>
      <c r="K44" s="20"/>
      <c r="V44" s="40"/>
    </row>
    <row r="45" spans="1:22">
      <c r="V45" s="41"/>
    </row>
    <row r="46" spans="1:22">
      <c r="V46" s="41"/>
    </row>
    <row r="47" spans="1:22" ht="25.5">
      <c r="A47" s="53" t="s">
        <v>88</v>
      </c>
      <c r="B47" s="53"/>
      <c r="C47" s="53"/>
      <c r="D47" s="53"/>
      <c r="E47" s="53"/>
      <c r="F47" s="53"/>
      <c r="G47" s="53"/>
      <c r="H47" s="53"/>
      <c r="I47" s="53"/>
      <c r="J47" s="53"/>
      <c r="V47" s="41"/>
    </row>
    <row r="48" spans="1:22" ht="21">
      <c r="A48" s="36" t="s">
        <v>86</v>
      </c>
      <c r="B48" s="32" t="s">
        <v>81</v>
      </c>
      <c r="C48" s="32" t="s">
        <v>82</v>
      </c>
      <c r="D48" s="32" t="s">
        <v>83</v>
      </c>
      <c r="E48" s="32" t="s">
        <v>84</v>
      </c>
      <c r="F48" s="8" t="s">
        <v>90</v>
      </c>
      <c r="G48" s="8" t="s">
        <v>91</v>
      </c>
      <c r="H48" s="8" t="s">
        <v>92</v>
      </c>
      <c r="I48" s="8" t="s">
        <v>93</v>
      </c>
      <c r="J48" s="35" t="s">
        <v>87</v>
      </c>
    </row>
    <row r="49" spans="1:10">
      <c r="A49" s="36">
        <v>0</v>
      </c>
      <c r="B49" s="32">
        <v>360</v>
      </c>
      <c r="C49" s="32">
        <v>170</v>
      </c>
      <c r="D49" s="32">
        <v>12.7</v>
      </c>
      <c r="E49" s="32">
        <v>904</v>
      </c>
      <c r="F49" s="32">
        <v>1021.5199999999999</v>
      </c>
      <c r="G49" s="32">
        <v>4.4675522616511421</v>
      </c>
      <c r="H49" s="32">
        <v>195.71475842834812</v>
      </c>
      <c r="I49" s="32">
        <v>597.80707321381908</v>
      </c>
      <c r="J49" s="35">
        <f>IF(A49&lt;=H49,F49*$B$5,IF(AND(A49&gt;H49,A49&lt;=I49),MIN(F49*$B$5,F49*$B$5-(F49*$B$5-0.75*$B$5*E49)*((A49-H49)/(I49-H49))),E49*SQRT(((1380*(C49/10)*(D49/10))/((B49/10)*A49))^2+(20700/(A49/G49)^2)^2)))</f>
        <v>2451.6479999999997</v>
      </c>
    </row>
    <row r="50" spans="1:10">
      <c r="A50" s="36">
        <v>100</v>
      </c>
      <c r="B50" s="32">
        <v>360</v>
      </c>
      <c r="C50" s="32">
        <v>170</v>
      </c>
      <c r="D50" s="32">
        <v>12.7</v>
      </c>
      <c r="E50" s="32">
        <v>904</v>
      </c>
      <c r="F50" s="32">
        <v>1021.5199999999999</v>
      </c>
      <c r="G50" s="32">
        <v>4.4675522616511421</v>
      </c>
      <c r="H50" s="32">
        <v>195.71475842834812</v>
      </c>
      <c r="I50" s="32">
        <v>597.80707321381908</v>
      </c>
      <c r="J50" s="35">
        <f t="shared" ref="J50:J61" si="1">IF(A50&lt;=H50,F50*$B$5,IF(AND(A50&gt;H50,A50&lt;=I50),MIN(F50*$B$5,F50*$B$5-(F50*$B$5-0.75*$B$5*E50)*((A50-H50)/(I50-H50))),E50*SQRT(((1380*(C50/10)*(D50/10))/((B50/10)*A50))^2+(20700/(A50/G50)^2)^2)))</f>
        <v>2451.6479999999997</v>
      </c>
    </row>
    <row r="51" spans="1:10">
      <c r="A51" s="36">
        <v>200</v>
      </c>
      <c r="B51" s="32">
        <v>360</v>
      </c>
      <c r="C51" s="32">
        <v>170</v>
      </c>
      <c r="D51" s="32">
        <v>12.7</v>
      </c>
      <c r="E51" s="32">
        <v>904</v>
      </c>
      <c r="F51" s="32">
        <v>1021.5199999999999</v>
      </c>
      <c r="G51" s="32">
        <v>4.4675522616511421</v>
      </c>
      <c r="H51" s="32">
        <v>195.71475842834812</v>
      </c>
      <c r="I51" s="32">
        <v>597.80707321381908</v>
      </c>
      <c r="J51" s="35">
        <f t="shared" si="1"/>
        <v>2442.8615628726197</v>
      </c>
    </row>
    <row r="52" spans="1:10">
      <c r="A52" s="36">
        <v>203.97712290025729</v>
      </c>
      <c r="B52" s="32">
        <v>360</v>
      </c>
      <c r="C52" s="32">
        <v>170</v>
      </c>
      <c r="D52" s="32">
        <v>12.7</v>
      </c>
      <c r="E52" s="32">
        <v>904</v>
      </c>
      <c r="F52" s="32">
        <v>1021.5199999999999</v>
      </c>
      <c r="G52" s="32">
        <v>4.4675522616511421</v>
      </c>
      <c r="H52" s="32">
        <v>195.71475842834812</v>
      </c>
      <c r="I52" s="32">
        <v>597.80707321381908</v>
      </c>
      <c r="J52" s="35">
        <f t="shared" si="1"/>
        <v>2434.7068906734735</v>
      </c>
    </row>
    <row r="53" spans="1:10">
      <c r="A53" s="36">
        <v>300</v>
      </c>
      <c r="B53" s="32">
        <v>360</v>
      </c>
      <c r="C53" s="32">
        <v>170</v>
      </c>
      <c r="D53" s="32">
        <v>12.7</v>
      </c>
      <c r="E53" s="32">
        <v>904</v>
      </c>
      <c r="F53" s="32">
        <v>1021.5199999999999</v>
      </c>
      <c r="G53" s="32">
        <v>4.4675522616511421</v>
      </c>
      <c r="H53" s="32">
        <v>195.71475842834812</v>
      </c>
      <c r="I53" s="32">
        <v>597.80707321381908</v>
      </c>
      <c r="J53" s="35">
        <f t="shared" si="1"/>
        <v>2237.8220807228877</v>
      </c>
    </row>
    <row r="54" spans="1:10">
      <c r="A54" s="36">
        <v>400</v>
      </c>
      <c r="B54" s="32">
        <v>360</v>
      </c>
      <c r="C54" s="32">
        <v>170</v>
      </c>
      <c r="D54" s="32">
        <v>12.7</v>
      </c>
      <c r="E54" s="32">
        <v>904</v>
      </c>
      <c r="F54" s="32">
        <v>1021.5199999999999</v>
      </c>
      <c r="G54" s="32">
        <v>4.4675522616511421</v>
      </c>
      <c r="H54" s="32">
        <v>195.71475842834812</v>
      </c>
      <c r="I54" s="32">
        <v>597.80707321381908</v>
      </c>
      <c r="J54" s="35">
        <f t="shared" si="1"/>
        <v>2032.7825985731556</v>
      </c>
    </row>
    <row r="55" spans="1:10">
      <c r="A55" s="36">
        <v>500</v>
      </c>
      <c r="B55" s="32">
        <v>360</v>
      </c>
      <c r="C55" s="32">
        <v>170</v>
      </c>
      <c r="D55" s="32">
        <v>12.7</v>
      </c>
      <c r="E55" s="32">
        <v>904</v>
      </c>
      <c r="F55" s="32">
        <v>1021.5199999999999</v>
      </c>
      <c r="G55" s="32">
        <v>4.4675522616511421</v>
      </c>
      <c r="H55" s="32">
        <v>195.71475842834812</v>
      </c>
      <c r="I55" s="32">
        <v>597.80707321381908</v>
      </c>
      <c r="J55" s="35">
        <f t="shared" si="1"/>
        <v>1827.7431164234235</v>
      </c>
    </row>
    <row r="56" spans="1:10">
      <c r="A56" s="36">
        <v>600</v>
      </c>
      <c r="B56" s="32">
        <v>360</v>
      </c>
      <c r="C56" s="32">
        <v>170</v>
      </c>
      <c r="D56" s="32">
        <v>12.7</v>
      </c>
      <c r="E56" s="32">
        <v>904</v>
      </c>
      <c r="F56" s="32">
        <v>1021.5199999999999</v>
      </c>
      <c r="G56" s="32">
        <v>4.4675522616511421</v>
      </c>
      <c r="H56" s="32">
        <v>195.71475842834812</v>
      </c>
      <c r="I56" s="32">
        <v>597.80707321381908</v>
      </c>
      <c r="J56" s="35">
        <f t="shared" si="1"/>
        <v>1622.1003407971707</v>
      </c>
    </row>
    <row r="57" spans="1:10">
      <c r="A57" s="36">
        <v>619.64598779844516</v>
      </c>
      <c r="B57" s="32">
        <v>360</v>
      </c>
      <c r="C57" s="32">
        <v>170</v>
      </c>
      <c r="D57" s="32">
        <v>12.7</v>
      </c>
      <c r="E57" s="32">
        <v>904</v>
      </c>
      <c r="F57" s="32">
        <v>1021.5199999999999</v>
      </c>
      <c r="G57" s="32">
        <v>4.4675522616511421</v>
      </c>
      <c r="H57" s="32">
        <v>195.71475842834812</v>
      </c>
      <c r="I57" s="32">
        <v>597.80707321381908</v>
      </c>
      <c r="J57" s="35">
        <f t="shared" si="1"/>
        <v>1550.4937354948627</v>
      </c>
    </row>
    <row r="58" spans="1:10">
      <c r="A58" s="36">
        <v>700</v>
      </c>
      <c r="B58" s="32">
        <v>360</v>
      </c>
      <c r="C58" s="32">
        <v>170</v>
      </c>
      <c r="D58" s="32">
        <v>12.7</v>
      </c>
      <c r="E58" s="32">
        <v>904</v>
      </c>
      <c r="F58" s="32">
        <v>1021.5199999999999</v>
      </c>
      <c r="G58" s="32">
        <v>4.4675522616511421</v>
      </c>
      <c r="H58" s="32">
        <v>195.71475842834812</v>
      </c>
      <c r="I58" s="32">
        <v>597.80707321381908</v>
      </c>
      <c r="J58" s="35">
        <f t="shared" si="1"/>
        <v>1312.7581069316002</v>
      </c>
    </row>
    <row r="59" spans="1:10">
      <c r="A59" s="36">
        <v>800</v>
      </c>
      <c r="B59" s="32">
        <v>360</v>
      </c>
      <c r="C59" s="32">
        <v>170</v>
      </c>
      <c r="D59" s="32">
        <v>12.7</v>
      </c>
      <c r="E59" s="32">
        <v>904</v>
      </c>
      <c r="F59" s="32">
        <v>1021.5199999999999</v>
      </c>
      <c r="G59" s="32">
        <v>4.4675522616511421</v>
      </c>
      <c r="H59" s="32">
        <v>195.71475842834812</v>
      </c>
      <c r="I59" s="32">
        <v>597.80707321381908</v>
      </c>
      <c r="J59" s="35">
        <f t="shared" si="1"/>
        <v>1102.3492221328647</v>
      </c>
    </row>
    <row r="60" spans="1:10">
      <c r="A60" s="36">
        <v>900</v>
      </c>
      <c r="B60" s="32">
        <v>360</v>
      </c>
      <c r="C60" s="32">
        <v>170</v>
      </c>
      <c r="D60" s="32">
        <v>12.7</v>
      </c>
      <c r="E60" s="32">
        <v>904</v>
      </c>
      <c r="F60" s="32">
        <v>1021.5199999999999</v>
      </c>
      <c r="G60" s="32">
        <v>4.4675522616511421</v>
      </c>
      <c r="H60" s="32">
        <v>195.71475842834812</v>
      </c>
      <c r="I60" s="32">
        <v>597.80707321381908</v>
      </c>
      <c r="J60" s="35">
        <f t="shared" si="1"/>
        <v>950.61163835445677</v>
      </c>
    </row>
    <row r="61" spans="1:10">
      <c r="A61" s="36">
        <v>1000</v>
      </c>
      <c r="B61" s="32">
        <v>360</v>
      </c>
      <c r="C61" s="32">
        <v>170</v>
      </c>
      <c r="D61" s="32">
        <v>12.7</v>
      </c>
      <c r="E61" s="32">
        <v>904</v>
      </c>
      <c r="F61" s="32">
        <v>1021.5199999999999</v>
      </c>
      <c r="G61" s="32">
        <v>4.4675522616511421</v>
      </c>
      <c r="H61" s="32">
        <v>195.71475842834812</v>
      </c>
      <c r="I61" s="32">
        <v>597.80707321381908</v>
      </c>
      <c r="J61" s="35">
        <f t="shared" si="1"/>
        <v>836.20915753873783</v>
      </c>
    </row>
    <row r="64" spans="1:10" ht="25.5">
      <c r="A64" s="53" t="s">
        <v>89</v>
      </c>
      <c r="B64" s="53"/>
      <c r="C64" s="53"/>
      <c r="D64" s="53"/>
      <c r="E64" s="53"/>
      <c r="F64" s="53"/>
      <c r="G64" s="53"/>
      <c r="H64" s="53"/>
      <c r="I64" s="53"/>
      <c r="J64" s="53"/>
    </row>
    <row r="65" spans="1:10" ht="21">
      <c r="A65" s="37" t="s">
        <v>86</v>
      </c>
      <c r="B65" s="1" t="s">
        <v>81</v>
      </c>
      <c r="C65" s="1" t="s">
        <v>82</v>
      </c>
      <c r="D65" s="1" t="s">
        <v>83</v>
      </c>
      <c r="E65" s="1" t="s">
        <v>84</v>
      </c>
      <c r="F65" s="8" t="s">
        <v>90</v>
      </c>
      <c r="G65" s="8" t="s">
        <v>91</v>
      </c>
      <c r="H65" s="8" t="s">
        <v>92</v>
      </c>
      <c r="I65" s="8" t="s">
        <v>93</v>
      </c>
      <c r="J65" s="39" t="s">
        <v>87</v>
      </c>
    </row>
    <row r="66" spans="1:10">
      <c r="A66" s="38">
        <v>0</v>
      </c>
      <c r="B66" s="1">
        <v>300</v>
      </c>
      <c r="C66" s="1">
        <v>150</v>
      </c>
      <c r="D66" s="1">
        <v>10.7</v>
      </c>
      <c r="E66" s="1">
        <v>557</v>
      </c>
      <c r="F66" s="1">
        <v>629.41</v>
      </c>
      <c r="G66" s="1">
        <v>3.9439732209778828</v>
      </c>
      <c r="H66" s="1">
        <v>172.99325613059796</v>
      </c>
      <c r="I66" s="1">
        <v>530.08845974300152</v>
      </c>
      <c r="J66" s="39">
        <f>IF(A66&lt;=H66,F66*$B$5,IF(AND(A66&gt;H66,A66&lt;=I66),MIN(F66*$B$5,F66*$B$5-(F66*$B$5-0.75*$B$5*E66)*((A66-H66)/(I66-H66))),E66*SQRT(((1380*(C66/10)*(D66/10))/((B66/10)*A66))^2+(20700/(A66/G66)^2)^2)))</f>
        <v>1510.5839999999998</v>
      </c>
    </row>
    <row r="67" spans="1:10">
      <c r="A67" s="38">
        <v>100</v>
      </c>
      <c r="B67" s="1">
        <v>300</v>
      </c>
      <c r="C67" s="1">
        <v>150</v>
      </c>
      <c r="D67" s="1">
        <v>10.7</v>
      </c>
      <c r="E67" s="1">
        <v>557</v>
      </c>
      <c r="F67" s="1">
        <v>629.41</v>
      </c>
      <c r="G67" s="1">
        <v>3.9439732209778828</v>
      </c>
      <c r="H67" s="1">
        <v>172.99325613059796</v>
      </c>
      <c r="I67" s="1">
        <v>530.08845974300152</v>
      </c>
      <c r="J67" s="39">
        <f t="shared" ref="J67:J78" si="2">IF(A67&lt;=H67,F67*$B$5,IF(AND(A67&gt;H67,A67&lt;=I67),MIN(F67*$B$5,F67*$B$5-(F67*$B$5-0.75*$B$5*E67)*((A67-H67)/(I67-H67))),E67*SQRT(((1380*(C67/10)*(D67/10))/((B67/10)*A67))^2+(20700/(A67/G67)^2)^2)))</f>
        <v>1510.5839999999998</v>
      </c>
    </row>
    <row r="68" spans="1:10">
      <c r="A68" s="38">
        <v>200</v>
      </c>
      <c r="B68" s="1">
        <v>300</v>
      </c>
      <c r="C68" s="1">
        <v>150</v>
      </c>
      <c r="D68" s="1">
        <v>10.7</v>
      </c>
      <c r="E68" s="1">
        <v>557</v>
      </c>
      <c r="F68" s="1">
        <v>629.41</v>
      </c>
      <c r="G68" s="1">
        <v>3.9439732209778828</v>
      </c>
      <c r="H68" s="1">
        <v>172.99325613059796</v>
      </c>
      <c r="I68" s="1">
        <v>530.08845974300152</v>
      </c>
      <c r="J68" s="39">
        <f t="shared" si="2"/>
        <v>1472.1656912717619</v>
      </c>
    </row>
    <row r="69" spans="1:10">
      <c r="A69" s="38">
        <v>203.97712290025729</v>
      </c>
      <c r="B69" s="1">
        <v>300</v>
      </c>
      <c r="C69" s="1">
        <v>150</v>
      </c>
      <c r="D69" s="1">
        <v>10.7</v>
      </c>
      <c r="E69" s="1">
        <v>557</v>
      </c>
      <c r="F69" s="1">
        <v>629.41</v>
      </c>
      <c r="G69" s="1">
        <v>3.9439732209778828</v>
      </c>
      <c r="H69" s="1">
        <v>172.99325613059796</v>
      </c>
      <c r="I69" s="1">
        <v>530.08845974300152</v>
      </c>
      <c r="J69" s="39">
        <f t="shared" si="2"/>
        <v>1466.5080549357747</v>
      </c>
    </row>
    <row r="70" spans="1:10">
      <c r="A70" s="38">
        <v>300</v>
      </c>
      <c r="B70" s="1">
        <v>300</v>
      </c>
      <c r="C70" s="1">
        <v>150</v>
      </c>
      <c r="D70" s="1">
        <v>10.7</v>
      </c>
      <c r="E70" s="1">
        <v>557</v>
      </c>
      <c r="F70" s="1">
        <v>629.41</v>
      </c>
      <c r="G70" s="1">
        <v>3.9439732209778828</v>
      </c>
      <c r="H70" s="1">
        <v>172.99325613059796</v>
      </c>
      <c r="I70" s="1">
        <v>530.08845974300152</v>
      </c>
      <c r="J70" s="39">
        <f t="shared" si="2"/>
        <v>1329.911190270014</v>
      </c>
    </row>
    <row r="71" spans="1:10">
      <c r="A71" s="38">
        <v>400</v>
      </c>
      <c r="B71" s="1">
        <v>300</v>
      </c>
      <c r="C71" s="1">
        <v>150</v>
      </c>
      <c r="D71" s="1">
        <v>10.7</v>
      </c>
      <c r="E71" s="1">
        <v>557</v>
      </c>
      <c r="F71" s="1">
        <v>629.41</v>
      </c>
      <c r="G71" s="1">
        <v>3.9439732209778828</v>
      </c>
      <c r="H71" s="1">
        <v>172.99325613059796</v>
      </c>
      <c r="I71" s="1">
        <v>530.08845974300152</v>
      </c>
      <c r="J71" s="39">
        <f t="shared" si="2"/>
        <v>1187.6566892682663</v>
      </c>
    </row>
    <row r="72" spans="1:10">
      <c r="A72" s="38">
        <v>500</v>
      </c>
      <c r="B72" s="1">
        <v>300</v>
      </c>
      <c r="C72" s="1">
        <v>150</v>
      </c>
      <c r="D72" s="1">
        <v>10.7</v>
      </c>
      <c r="E72" s="1">
        <v>557</v>
      </c>
      <c r="F72" s="1">
        <v>629.41</v>
      </c>
      <c r="G72" s="1">
        <v>3.9439732209778828</v>
      </c>
      <c r="H72" s="1">
        <v>172.99325613059796</v>
      </c>
      <c r="I72" s="1">
        <v>530.08845974300152</v>
      </c>
      <c r="J72" s="39">
        <f t="shared" si="2"/>
        <v>1045.4021882665186</v>
      </c>
    </row>
    <row r="73" spans="1:10">
      <c r="A73" s="38">
        <v>600</v>
      </c>
      <c r="B73" s="1">
        <v>300</v>
      </c>
      <c r="C73" s="1">
        <v>150</v>
      </c>
      <c r="D73" s="1">
        <v>10.7</v>
      </c>
      <c r="E73" s="1">
        <v>557</v>
      </c>
      <c r="F73" s="1">
        <v>629.41</v>
      </c>
      <c r="G73" s="1">
        <v>3.9439732209778828</v>
      </c>
      <c r="H73" s="1">
        <v>172.99325613059796</v>
      </c>
      <c r="I73" s="1">
        <v>530.08845974300152</v>
      </c>
      <c r="J73" s="39">
        <f t="shared" si="2"/>
        <v>847.31696659302065</v>
      </c>
    </row>
    <row r="74" spans="1:10">
      <c r="A74" s="38">
        <v>619.64598779844516</v>
      </c>
      <c r="B74" s="1">
        <v>300</v>
      </c>
      <c r="C74" s="1">
        <v>150</v>
      </c>
      <c r="D74" s="1">
        <v>10.7</v>
      </c>
      <c r="E74" s="1">
        <v>557</v>
      </c>
      <c r="F74" s="1">
        <v>629.41</v>
      </c>
      <c r="G74" s="1">
        <v>3.9439732209778828</v>
      </c>
      <c r="H74" s="1">
        <v>172.99325613059796</v>
      </c>
      <c r="I74" s="1">
        <v>530.08845974300152</v>
      </c>
      <c r="J74" s="39">
        <f t="shared" si="2"/>
        <v>811.55456720956374</v>
      </c>
    </row>
    <row r="75" spans="1:10">
      <c r="A75" s="38">
        <v>700</v>
      </c>
      <c r="B75" s="1">
        <v>300</v>
      </c>
      <c r="C75" s="1">
        <v>150</v>
      </c>
      <c r="D75" s="1">
        <v>10.7</v>
      </c>
      <c r="E75" s="1">
        <v>557</v>
      </c>
      <c r="F75" s="1">
        <v>629.41</v>
      </c>
      <c r="G75" s="1">
        <v>3.9439732209778828</v>
      </c>
      <c r="H75" s="1">
        <v>172.99325613059796</v>
      </c>
      <c r="I75" s="1">
        <v>530.08845974300152</v>
      </c>
      <c r="J75" s="39">
        <f t="shared" si="2"/>
        <v>692.16611615148565</v>
      </c>
    </row>
    <row r="76" spans="1:10">
      <c r="A76" s="38">
        <v>800</v>
      </c>
      <c r="B76" s="1">
        <v>300</v>
      </c>
      <c r="C76" s="1">
        <v>150</v>
      </c>
      <c r="D76" s="1">
        <v>10.7</v>
      </c>
      <c r="E76" s="1">
        <v>557</v>
      </c>
      <c r="F76" s="1">
        <v>629.41</v>
      </c>
      <c r="G76" s="1">
        <v>3.9439732209778828</v>
      </c>
      <c r="H76" s="1">
        <v>172.99325613059796</v>
      </c>
      <c r="I76" s="1">
        <v>530.08845974300152</v>
      </c>
      <c r="J76" s="39">
        <f t="shared" si="2"/>
        <v>585.46304235848754</v>
      </c>
    </row>
    <row r="77" spans="1:10">
      <c r="A77" s="38">
        <v>900</v>
      </c>
      <c r="B77" s="1">
        <v>300</v>
      </c>
      <c r="C77" s="1">
        <v>150</v>
      </c>
      <c r="D77" s="1">
        <v>10.7</v>
      </c>
      <c r="E77" s="1">
        <v>557</v>
      </c>
      <c r="F77" s="1">
        <v>629.41</v>
      </c>
      <c r="G77" s="1">
        <v>3.9439732209778828</v>
      </c>
      <c r="H77" s="1">
        <v>172.99325613059796</v>
      </c>
      <c r="I77" s="1">
        <v>530.08845974300152</v>
      </c>
      <c r="J77" s="39">
        <f t="shared" si="2"/>
        <v>507.74598233382449</v>
      </c>
    </row>
    <row r="78" spans="1:10">
      <c r="A78" s="38">
        <v>1000</v>
      </c>
      <c r="B78" s="1">
        <v>300</v>
      </c>
      <c r="C78" s="1">
        <v>150</v>
      </c>
      <c r="D78" s="1">
        <v>10.7</v>
      </c>
      <c r="E78" s="1">
        <v>557</v>
      </c>
      <c r="F78" s="1">
        <v>629.41</v>
      </c>
      <c r="G78" s="1">
        <v>3.9439732209778828</v>
      </c>
      <c r="H78" s="1">
        <v>172.99325613059796</v>
      </c>
      <c r="I78" s="1">
        <v>530.08845974300152</v>
      </c>
      <c r="J78" s="39">
        <f t="shared" si="2"/>
        <v>448.64006848471701</v>
      </c>
    </row>
  </sheetData>
  <mergeCells count="12">
    <mergeCell ref="V1:W1"/>
    <mergeCell ref="U2:AA2"/>
    <mergeCell ref="AB2:AD2"/>
    <mergeCell ref="AE2:AG2"/>
    <mergeCell ref="B4:C4"/>
    <mergeCell ref="F4:G4"/>
    <mergeCell ref="A30:J30"/>
    <mergeCell ref="A47:J47"/>
    <mergeCell ref="A64:J64"/>
    <mergeCell ref="I6:J6"/>
    <mergeCell ref="L7:L8"/>
    <mergeCell ref="A11:B11"/>
  </mergeCells>
  <conditionalFormatting sqref="L21 L18">
    <cfRule type="cellIs" dxfId="3" priority="3" operator="equal">
      <formula>"Unsafe"</formula>
    </cfRule>
    <cfRule type="cellIs" dxfId="2" priority="4" operator="equal">
      <formula>"Safe"</formula>
    </cfRule>
  </conditionalFormatting>
  <conditionalFormatting sqref="M24">
    <cfRule type="cellIs" dxfId="1" priority="1" operator="equal">
      <formula>"unsafe"</formula>
    </cfRule>
    <cfRule type="cellIs" dxfId="0" priority="2" operator="equal">
      <formula>"safe"</formula>
    </cfRule>
  </conditionalFormatting>
  <dataValidations disablePrompts="1" count="2">
    <dataValidation type="list" allowBlank="1" showInputMessage="1" showErrorMessage="1" sqref="P12 F4:G4" xr:uid="{CBCF0A92-F1B4-42C0-B8BF-C06A8ACDDB94}">
      <formula1>$R$4:$R$21</formula1>
    </dataValidation>
    <dataValidation type="list" allowBlank="1" showInputMessage="1" showErrorMessage="1" sqref="O13 P7 B4:C4" xr:uid="{B1A5FD53-C877-4EB4-BAFF-82C717D68ACA}">
      <formula1>$A$1:$A$3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Rolled IPE</vt:lpstr>
      <vt:lpstr>Rolled HEB</vt:lpstr>
      <vt:lpstr>chart</vt:lpstr>
      <vt:lpstr>'Rolled HEB'!Print_Area</vt:lpstr>
      <vt:lpstr>'Rolled IPE'!Print_Area</vt:lpstr>
      <vt:lpstr>chart!table1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Windows User</cp:lastModifiedBy>
  <cp:lastPrinted>2022-02-10T12:14:17Z</cp:lastPrinted>
  <dcterms:created xsi:type="dcterms:W3CDTF">2019-09-18T18:01:12Z</dcterms:created>
  <dcterms:modified xsi:type="dcterms:W3CDTF">2022-05-06T13:00:50Z</dcterms:modified>
</cp:coreProperties>
</file>