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9B94913C-8EEA-46F2-B5D1-ACA0D8B5E91F}" xr6:coauthVersionLast="47" xr6:coauthVersionMax="47" xr10:uidLastSave="{00000000-0000-0000-0000-000000000000}"/>
  <bookViews>
    <workbookView xWindow="-120" yWindow="-120" windowWidth="20730" windowHeight="11310" activeTab="4" xr2:uid="{6D453F61-72C4-4912-987B-4F64FC9360EC}"/>
  </bookViews>
  <sheets>
    <sheet name="Hinged" sheetId="1" r:id="rId1"/>
    <sheet name="Hinged B.U.S (N&amp;Q)" sheetId="3" r:id="rId2"/>
    <sheet name="Hinged B.U.S (T&amp;Q)" sheetId="5" r:id="rId3"/>
    <sheet name="Fixed Rolled" sheetId="2" r:id="rId4"/>
    <sheet name="Fixed B.U.S" sheetId="4" r:id="rId5"/>
  </sheets>
  <definedNames>
    <definedName name="_xlnm.Print_Area" localSheetId="4">'Fixed B.U.S'!$A$4:$O$44</definedName>
    <definedName name="_xlnm.Print_Area" localSheetId="3">'Fixed Rolled'!$A$4:$O$50</definedName>
    <definedName name="_xlnm.Print_Area" localSheetId="0">Hinged!$A$4:$P$25</definedName>
    <definedName name="_xlnm.Print_Area" localSheetId="1">'Hinged B.U.S (N&amp;Q)'!$A$4:$N$26</definedName>
    <definedName name="_xlnm.Print_Area" localSheetId="2">'Hinged B.U.S (T&amp;Q)'!$A$4:$M$24</definedName>
    <definedName name="table">Hinged!$AJ$2:$AY$21</definedName>
    <definedName name="table1">Hinged!$T$2:$AH$27</definedName>
    <definedName name="table2">Hinged!$AJ$2:$AX$27</definedName>
    <definedName name="table3">Hinged!$R$2:$AG$21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4" i="4" l="1"/>
  <c r="B19" i="4"/>
  <c r="G48" i="2"/>
  <c r="H42" i="2"/>
  <c r="H41" i="2"/>
  <c r="K24" i="5"/>
  <c r="B20" i="4"/>
  <c r="B18" i="4"/>
  <c r="G41" i="4" s="1"/>
  <c r="G42" i="4" s="1"/>
  <c r="K17" i="5"/>
  <c r="K23" i="5"/>
  <c r="K22" i="5"/>
  <c r="M17" i="5"/>
  <c r="F9" i="5"/>
  <c r="F17" i="5" s="1"/>
  <c r="F21" i="5" s="1"/>
  <c r="K16" i="5"/>
  <c r="M16" i="5" s="1"/>
  <c r="F18" i="5"/>
  <c r="B18" i="5"/>
  <c r="B6" i="5"/>
  <c r="B5" i="5"/>
  <c r="B19" i="3"/>
  <c r="B18" i="3"/>
  <c r="K18" i="5" l="1"/>
  <c r="M18" i="5" s="1"/>
  <c r="B19" i="5"/>
  <c r="F19" i="5"/>
  <c r="K42" i="4"/>
  <c r="G24" i="4"/>
  <c r="I24" i="4" s="1"/>
  <c r="G14" i="4"/>
  <c r="B6" i="4"/>
  <c r="B5" i="4"/>
  <c r="K19" i="3"/>
  <c r="M19" i="3" s="1"/>
  <c r="B6" i="3"/>
  <c r="B5" i="3"/>
  <c r="F20" i="5" l="1"/>
  <c r="F22" i="5" s="1"/>
  <c r="H22" i="5" s="1"/>
  <c r="M24" i="5"/>
  <c r="G43" i="4"/>
  <c r="G44" i="4" s="1"/>
  <c r="F33" i="4"/>
  <c r="F23" i="4"/>
  <c r="L14" i="4"/>
  <c r="G13" i="4"/>
  <c r="L13" i="4"/>
  <c r="L15" i="4"/>
  <c r="F17" i="3"/>
  <c r="K23" i="3"/>
  <c r="K24" i="3"/>
  <c r="F18" i="3"/>
  <c r="K48" i="2"/>
  <c r="G29" i="2"/>
  <c r="O11" i="2"/>
  <c r="N11" i="2"/>
  <c r="G13" i="2" s="1"/>
  <c r="O10" i="2"/>
  <c r="N10" i="2"/>
  <c r="G12" i="2" s="1"/>
  <c r="O9" i="2"/>
  <c r="N9" i="2"/>
  <c r="G11" i="2" s="1"/>
  <c r="O8" i="2"/>
  <c r="N8" i="2"/>
  <c r="G10" i="2" s="1"/>
  <c r="B6" i="2"/>
  <c r="B5" i="2"/>
  <c r="L16" i="1"/>
  <c r="N16" i="1" s="1"/>
  <c r="P11" i="1"/>
  <c r="P10" i="1"/>
  <c r="P9" i="1"/>
  <c r="P8" i="1"/>
  <c r="O11" i="1"/>
  <c r="F12" i="1" s="1"/>
  <c r="O10" i="1"/>
  <c r="F11" i="1" s="1"/>
  <c r="O9" i="1"/>
  <c r="F10" i="1" s="1"/>
  <c r="B18" i="1" s="1"/>
  <c r="L21" i="1" s="1"/>
  <c r="O8" i="1"/>
  <c r="F9" i="1" s="1"/>
  <c r="B19" i="1" s="1"/>
  <c r="L20" i="1" s="1"/>
  <c r="H30" i="4" l="1"/>
  <c r="H26" i="4"/>
  <c r="D28" i="4"/>
  <c r="C27" i="4"/>
  <c r="F28" i="4"/>
  <c r="H29" i="4"/>
  <c r="H25" i="4"/>
  <c r="D27" i="4"/>
  <c r="C26" i="4"/>
  <c r="F27" i="4"/>
  <c r="H28" i="4"/>
  <c r="E27" i="4"/>
  <c r="C29" i="4"/>
  <c r="F30" i="4"/>
  <c r="F26" i="4"/>
  <c r="G30" i="4"/>
  <c r="H27" i="4"/>
  <c r="D29" i="4"/>
  <c r="C28" i="4"/>
  <c r="F29" i="4"/>
  <c r="F25" i="4"/>
  <c r="F35" i="4"/>
  <c r="H36" i="4"/>
  <c r="G35" i="4"/>
  <c r="F34" i="4"/>
  <c r="H35" i="4"/>
  <c r="G34" i="4"/>
  <c r="H34" i="4"/>
  <c r="F36" i="4"/>
  <c r="B17" i="2"/>
  <c r="B18" i="2"/>
  <c r="I29" i="2" s="1"/>
  <c r="M19" i="2"/>
  <c r="B19" i="2"/>
  <c r="M20" i="2"/>
  <c r="L19" i="1"/>
  <c r="L22" i="1" s="1"/>
  <c r="M21" i="2"/>
  <c r="G16" i="4"/>
  <c r="G17" i="4"/>
  <c r="G15" i="4"/>
  <c r="L16" i="4"/>
  <c r="N16" i="4" s="1"/>
  <c r="K16" i="3"/>
  <c r="M16" i="3" s="1"/>
  <c r="K22" i="3"/>
  <c r="K25" i="3" s="1"/>
  <c r="K26" i="3" s="1"/>
  <c r="M26" i="3" s="1"/>
  <c r="F21" i="3"/>
  <c r="F19" i="3"/>
  <c r="F20" i="3" s="1"/>
  <c r="F25" i="1"/>
  <c r="H25" i="1" s="1"/>
  <c r="F17" i="1"/>
  <c r="F18" i="1"/>
  <c r="B6" i="1"/>
  <c r="B5" i="1"/>
  <c r="G28" i="4" l="1"/>
  <c r="I28" i="4" s="1"/>
  <c r="G47" i="2"/>
  <c r="G36" i="4"/>
  <c r="I36" i="4" s="1"/>
  <c r="G27" i="4"/>
  <c r="F30" i="2"/>
  <c r="F39" i="2"/>
  <c r="G20" i="2"/>
  <c r="G21" i="2" s="1"/>
  <c r="G19" i="2"/>
  <c r="M22" i="2"/>
  <c r="O22" i="2" s="1"/>
  <c r="L23" i="1"/>
  <c r="N23" i="1" s="1"/>
  <c r="G23" i="2"/>
  <c r="G18" i="4"/>
  <c r="I18" i="4" s="1"/>
  <c r="F22" i="3"/>
  <c r="H22" i="3" s="1"/>
  <c r="F19" i="1"/>
  <c r="F20" i="1" s="1"/>
  <c r="F21" i="1"/>
  <c r="D35" i="2" l="1"/>
  <c r="C34" i="2"/>
  <c r="H36" i="2"/>
  <c r="G36" i="2"/>
  <c r="D34" i="2"/>
  <c r="G34" i="2" s="1"/>
  <c r="I34" i="2" s="1"/>
  <c r="C33" i="2"/>
  <c r="L50" i="2"/>
  <c r="J50" i="2"/>
  <c r="D33" i="2"/>
  <c r="C32" i="2"/>
  <c r="H34" i="2"/>
  <c r="L49" i="2"/>
  <c r="J49" i="2"/>
  <c r="C35" i="2"/>
  <c r="E33" i="2"/>
  <c r="F42" i="2"/>
  <c r="G40" i="2"/>
  <c r="F41" i="2"/>
  <c r="F40" i="2"/>
  <c r="G42" i="2"/>
  <c r="H40" i="2"/>
  <c r="G41" i="2"/>
  <c r="H31" i="2"/>
  <c r="F33" i="2"/>
  <c r="H35" i="2" s="1"/>
  <c r="F36" i="2"/>
  <c r="F32" i="2"/>
  <c r="H33" i="2" s="1"/>
  <c r="F35" i="2"/>
  <c r="F31" i="2"/>
  <c r="H32" i="2"/>
  <c r="F34" i="2"/>
  <c r="G49" i="2"/>
  <c r="G50" i="2" s="1"/>
  <c r="I27" i="4"/>
  <c r="G26" i="4"/>
  <c r="G29" i="4" s="1"/>
  <c r="G22" i="2"/>
  <c r="G24" i="2" s="1"/>
  <c r="I24" i="2" s="1"/>
  <c r="F22" i="1"/>
  <c r="H22" i="1" s="1"/>
  <c r="G33" i="2" l="1"/>
  <c r="I42" i="2"/>
  <c r="I30" i="4"/>
  <c r="K43" i="4"/>
  <c r="K44" i="4" s="1"/>
  <c r="I33" i="2" l="1"/>
  <c r="G32" i="2"/>
  <c r="G35" i="2" s="1"/>
  <c r="K49" i="2" l="1"/>
  <c r="K50" i="2" s="1"/>
  <c r="N50" i="2" s="1"/>
  <c r="I36" i="2"/>
</calcChain>
</file>

<file path=xl/sharedStrings.xml><?xml version="1.0" encoding="utf-8"?>
<sst xmlns="http://schemas.openxmlformats.org/spreadsheetml/2006/main" count="507" uniqueCount="107">
  <si>
    <t>Straining Actions :</t>
  </si>
  <si>
    <t>ton</t>
  </si>
  <si>
    <t>IPE</t>
  </si>
  <si>
    <t>Sec.</t>
  </si>
  <si>
    <t>Area</t>
  </si>
  <si>
    <t>Weight</t>
  </si>
  <si>
    <t>Dimensions (mm)</t>
  </si>
  <si>
    <t>x-x</t>
  </si>
  <si>
    <t>y-y</t>
  </si>
  <si>
    <t>No.</t>
  </si>
  <si>
    <t>(kg/m`)</t>
  </si>
  <si>
    <t>h</t>
  </si>
  <si>
    <t>b</t>
  </si>
  <si>
    <t>s</t>
  </si>
  <si>
    <t>r</t>
  </si>
  <si>
    <t>t</t>
  </si>
  <si>
    <t>c</t>
  </si>
  <si>
    <t>h-2c</t>
  </si>
  <si>
    <t>HEB</t>
  </si>
  <si>
    <t>Type</t>
  </si>
  <si>
    <t>Section</t>
  </si>
  <si>
    <t>C</t>
  </si>
  <si>
    <t>Column Section</t>
  </si>
  <si>
    <t>Column Data</t>
  </si>
  <si>
    <t>mm</t>
  </si>
  <si>
    <t>Anchor Bolts</t>
  </si>
  <si>
    <t>Grade</t>
  </si>
  <si>
    <t>f</t>
  </si>
  <si>
    <t>36/52</t>
  </si>
  <si>
    <t>cm</t>
  </si>
  <si>
    <t>Base Plate</t>
  </si>
  <si>
    <t>B</t>
  </si>
  <si>
    <t>L</t>
  </si>
  <si>
    <t>Number</t>
  </si>
  <si>
    <t>M</t>
  </si>
  <si>
    <t>Checks :</t>
  </si>
  <si>
    <t>i- weld bet. Col. &amp; base plate</t>
  </si>
  <si>
    <t>q</t>
  </si>
  <si>
    <t>ii- Bearing Stress on concrete</t>
  </si>
  <si>
    <t>iii- Anchor Bolts</t>
  </si>
  <si>
    <t>iv- Base Plate Thickness</t>
  </si>
  <si>
    <t>m</t>
  </si>
  <si>
    <t>n</t>
  </si>
  <si>
    <t>cm.t</t>
  </si>
  <si>
    <t>i- vertical weld</t>
  </si>
  <si>
    <t>ii- weld bet. Col. &amp; base plate</t>
  </si>
  <si>
    <t>T</t>
  </si>
  <si>
    <t>d</t>
  </si>
  <si>
    <t>iii- Anchor Bolts &amp; Bearing on concrete</t>
  </si>
  <si>
    <t>e</t>
  </si>
  <si>
    <t>Small ecc.</t>
  </si>
  <si>
    <t>Big ecc.</t>
  </si>
  <si>
    <t>one side</t>
  </si>
  <si>
    <t>two sides</t>
  </si>
  <si>
    <t>1- Anchor Bolts</t>
  </si>
  <si>
    <t>2- Bearing on concrete</t>
  </si>
  <si>
    <t>1- Compression side</t>
  </si>
  <si>
    <t>2- Tension side</t>
  </si>
  <si>
    <t>w</t>
  </si>
  <si>
    <t>/two sides</t>
  </si>
  <si>
    <t xml:space="preserve">Straining Actions </t>
  </si>
  <si>
    <t>i- weld bet. Column &amp; base plate</t>
  </si>
  <si>
    <t>st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</si>
  <si>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</si>
  <si>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</si>
  <si>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</si>
  <si>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(cm)</t>
    </r>
  </si>
  <si>
    <r>
      <t>I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</si>
  <si>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</si>
  <si>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(cm)</t>
    </r>
  </si>
  <si>
    <r>
      <t>M</t>
    </r>
    <r>
      <rPr>
        <b/>
        <vertAlign val="subscript"/>
        <sz val="14"/>
        <color theme="1"/>
        <rFont val="Calibri"/>
        <family val="2"/>
      </rPr>
      <t>u</t>
    </r>
  </si>
  <si>
    <r>
      <t>P</t>
    </r>
    <r>
      <rPr>
        <b/>
        <vertAlign val="subscript"/>
        <sz val="14"/>
        <color theme="1"/>
        <rFont val="Calibri"/>
        <family val="2"/>
      </rPr>
      <t>u</t>
    </r>
  </si>
  <si>
    <r>
      <t>F</t>
    </r>
    <r>
      <rPr>
        <b/>
        <vertAlign val="subscript"/>
        <sz val="14"/>
        <color theme="1"/>
        <rFont val="Calibri"/>
        <family val="2"/>
      </rPr>
      <t>y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</si>
  <si>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</si>
  <si>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Q</t>
    </r>
    <r>
      <rPr>
        <b/>
        <vertAlign val="subscript"/>
        <sz val="14"/>
        <color theme="1"/>
        <rFont val="Calibri"/>
        <family val="2"/>
      </rPr>
      <t>u</t>
    </r>
  </si>
  <si>
    <r>
      <t>F</t>
    </r>
    <r>
      <rPr>
        <b/>
        <vertAlign val="subscript"/>
        <sz val="14"/>
        <color theme="1"/>
        <rFont val="Calibri"/>
        <family val="2"/>
      </rPr>
      <t>u</t>
    </r>
  </si>
  <si>
    <r>
      <t>F</t>
    </r>
    <r>
      <rPr>
        <b/>
        <vertAlign val="subscript"/>
        <sz val="14"/>
        <color theme="1"/>
        <rFont val="Calibri"/>
        <family val="2"/>
      </rPr>
      <t>cu</t>
    </r>
  </si>
  <si>
    <r>
      <t>A</t>
    </r>
    <r>
      <rPr>
        <b/>
        <vertAlign val="subscript"/>
        <sz val="14"/>
        <color theme="1"/>
        <rFont val="Calibri"/>
        <family val="2"/>
      </rPr>
      <t>total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</si>
  <si>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</si>
  <si>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L</t>
    </r>
    <r>
      <rPr>
        <b/>
        <vertAlign val="subscript"/>
        <sz val="14"/>
        <color theme="1"/>
        <rFont val="Calibri"/>
        <family val="2"/>
      </rPr>
      <t>act</t>
    </r>
  </si>
  <si>
    <r>
      <t>I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</si>
  <si>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</si>
  <si>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f</t>
    </r>
    <r>
      <rPr>
        <b/>
        <vertAlign val="subscript"/>
        <sz val="14"/>
        <color theme="1"/>
        <rFont val="Calibri"/>
        <family val="2"/>
      </rPr>
      <t>1</t>
    </r>
  </si>
  <si>
    <r>
      <t>f</t>
    </r>
    <r>
      <rPr>
        <b/>
        <vertAlign val="subscript"/>
        <sz val="14"/>
        <color theme="1"/>
        <rFont val="Calibri"/>
        <family val="2"/>
      </rPr>
      <t>2</t>
    </r>
    <r>
      <rPr>
        <sz val="11"/>
        <color theme="1"/>
        <rFont val="Arial"/>
        <family val="2"/>
        <scheme val="minor"/>
      </rPr>
      <t/>
    </r>
  </si>
  <si>
    <r>
      <t>M</t>
    </r>
    <r>
      <rPr>
        <b/>
        <vertAlign val="subscript"/>
        <sz val="14"/>
        <color theme="1"/>
        <rFont val="Calibri"/>
        <family val="2"/>
      </rPr>
      <t>1</t>
    </r>
  </si>
  <si>
    <r>
      <t>M</t>
    </r>
    <r>
      <rPr>
        <b/>
        <vertAlign val="subscript"/>
        <sz val="14"/>
        <color theme="1"/>
        <rFont val="Calibri"/>
        <family val="2"/>
      </rPr>
      <t>2</t>
    </r>
    <r>
      <rPr>
        <sz val="11"/>
        <color theme="1"/>
        <rFont val="Arial"/>
        <family val="2"/>
        <scheme val="minor"/>
      </rPr>
      <t/>
    </r>
  </si>
  <si>
    <r>
      <t>t</t>
    </r>
    <r>
      <rPr>
        <b/>
        <vertAlign val="subscript"/>
        <sz val="14"/>
        <color theme="1"/>
        <rFont val="Calibri"/>
        <family val="2"/>
      </rPr>
      <t>p final</t>
    </r>
  </si>
  <si>
    <r>
      <t>t</t>
    </r>
    <r>
      <rPr>
        <b/>
        <vertAlign val="subscript"/>
        <sz val="14"/>
        <color theme="1"/>
        <rFont val="Calibri"/>
        <family val="2"/>
      </rPr>
      <t>p</t>
    </r>
  </si>
  <si>
    <r>
      <t>P</t>
    </r>
    <r>
      <rPr>
        <b/>
        <vertAlign val="subscript"/>
        <sz val="14"/>
        <color theme="1"/>
        <rFont val="Calibri"/>
        <family val="2"/>
      </rPr>
      <t>r</t>
    </r>
  </si>
  <si>
    <r>
      <t>A</t>
    </r>
    <r>
      <rPr>
        <b/>
        <vertAlign val="subscript"/>
        <sz val="14"/>
        <color theme="1"/>
        <rFont val="Calibri"/>
        <family val="2"/>
      </rPr>
      <t>hL</t>
    </r>
  </si>
  <si>
    <r>
      <t>A</t>
    </r>
    <r>
      <rPr>
        <b/>
        <vertAlign val="subscript"/>
        <sz val="14"/>
        <color theme="1"/>
        <rFont val="Calibri"/>
        <family val="2"/>
      </rPr>
      <t>vL</t>
    </r>
  </si>
  <si>
    <r>
      <t>R</t>
    </r>
    <r>
      <rPr>
        <b/>
        <vertAlign val="subscript"/>
        <sz val="14"/>
        <color theme="1"/>
        <rFont val="Calibri"/>
        <family val="2"/>
      </rPr>
      <t>vb</t>
    </r>
  </si>
  <si>
    <r>
      <t>f</t>
    </r>
    <r>
      <rPr>
        <b/>
        <vertAlign val="subscript"/>
        <sz val="14"/>
        <color theme="1"/>
        <rFont val="Calibri"/>
        <family val="2"/>
      </rPr>
      <t>b</t>
    </r>
  </si>
  <si>
    <r>
      <t>h</t>
    </r>
    <r>
      <rPr>
        <b/>
        <vertAlign val="subscript"/>
        <sz val="14"/>
        <color theme="1"/>
        <rFont val="Calibri"/>
        <family val="2"/>
      </rPr>
      <t>w</t>
    </r>
  </si>
  <si>
    <r>
      <t>b</t>
    </r>
    <r>
      <rPr>
        <b/>
        <vertAlign val="subscript"/>
        <sz val="14"/>
        <color theme="1"/>
        <rFont val="Calibri"/>
        <family val="2"/>
      </rPr>
      <t>f</t>
    </r>
  </si>
  <si>
    <r>
      <t>t</t>
    </r>
    <r>
      <rPr>
        <b/>
        <vertAlign val="subscript"/>
        <sz val="14"/>
        <color theme="1"/>
        <rFont val="Calibri"/>
        <family val="2"/>
      </rPr>
      <t>w</t>
    </r>
  </si>
  <si>
    <r>
      <t>t</t>
    </r>
    <r>
      <rPr>
        <b/>
        <vertAlign val="subscript"/>
        <sz val="14"/>
        <color theme="1"/>
        <rFont val="Calibri"/>
        <family val="2"/>
      </rPr>
      <t>f</t>
    </r>
  </si>
  <si>
    <t>Data</t>
  </si>
  <si>
    <t xml:space="preserve">feq </t>
  </si>
  <si>
    <r>
      <t>T</t>
    </r>
    <r>
      <rPr>
        <b/>
        <vertAlign val="subscript"/>
        <sz val="14"/>
        <color theme="1"/>
        <rFont val="Calibri"/>
        <family val="2"/>
      </rPr>
      <t>u</t>
    </r>
  </si>
  <si>
    <r>
      <t>R</t>
    </r>
    <r>
      <rPr>
        <b/>
        <vertAlign val="subscript"/>
        <sz val="14"/>
        <color theme="1"/>
        <rFont val="Calibri"/>
        <family val="2"/>
      </rPr>
      <t>tb</t>
    </r>
  </si>
  <si>
    <t xml:space="preserve">Req </t>
  </si>
  <si>
    <t>ii- Anchor Bolts</t>
  </si>
  <si>
    <t>iii- Base Plate Thickness</t>
  </si>
  <si>
    <t>T &amp; Q</t>
  </si>
  <si>
    <t>N &amp; Q</t>
  </si>
  <si>
    <t>feq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</si>
</sst>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sz val="14"/>
      <color theme="0"/>
      <name val="Calibri"/>
      <family val="2"/>
    </font>
    <font>
      <b/>
      <u/>
      <sz val="2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 shrinkToFit="1"/>
    </xf>
    <xf numFmtId="2" fontId="8" fillId="0" borderId="0" xfId="0" applyNumberFormat="1" applyFont="1" applyFill="1" applyBorder="1" applyAlignment="1">
      <alignment horizontal="center" vertical="center" shrinkToFit="1"/>
    </xf>
    <xf numFmtId="164" fontId="8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20</xdr:row>
      <xdr:rowOff>266663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DCC64E9F-384B-4881-A30B-94016188E09F}"/>
            </a:ext>
          </a:extLst>
        </xdr:cNvPr>
        <xdr:cNvSpPr/>
      </xdr:nvSpPr>
      <xdr:spPr>
        <a:xfrm>
          <a:off x="12801600" y="53149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36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1AB59338-3F6C-4767-A949-B081C09072FE}"/>
            </a:ext>
          </a:extLst>
        </xdr:cNvPr>
        <xdr:cNvSpPr/>
      </xdr:nvSpPr>
      <xdr:spPr>
        <a:xfrm>
          <a:off x="25423939" y="667362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38</xdr:col>
      <xdr:colOff>3619</xdr:colOff>
      <xdr:row>25</xdr:row>
      <xdr:rowOff>1174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0618440A-CE2A-4B0C-A671-F0B10C95C213}"/>
            </a:ext>
          </a:extLst>
        </xdr:cNvPr>
        <xdr:cNvSpPr/>
      </xdr:nvSpPr>
      <xdr:spPr>
        <a:xfrm>
          <a:off x="26521219" y="633529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20</xdr:row>
      <xdr:rowOff>266663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47767248-B222-470A-8259-9B3B4EF8AE79}"/>
            </a:ext>
          </a:extLst>
        </xdr:cNvPr>
        <xdr:cNvSpPr/>
      </xdr:nvSpPr>
      <xdr:spPr>
        <a:xfrm>
          <a:off x="12668250" y="536253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36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802C34E0-F278-4581-A7E5-12497522DAA0}"/>
            </a:ext>
          </a:extLst>
        </xdr:cNvPr>
        <xdr:cNvSpPr/>
      </xdr:nvSpPr>
      <xdr:spPr>
        <a:xfrm>
          <a:off x="25233439" y="672125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38</xdr:col>
      <xdr:colOff>3619</xdr:colOff>
      <xdr:row>25</xdr:row>
      <xdr:rowOff>1174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437F4049-6905-41ED-AB44-8160CD7CB698}"/>
            </a:ext>
          </a:extLst>
        </xdr:cNvPr>
        <xdr:cNvSpPr/>
      </xdr:nvSpPr>
      <xdr:spPr>
        <a:xfrm>
          <a:off x="26324369" y="636704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20</xdr:row>
      <xdr:rowOff>266663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591ED575-9A5C-4A9F-A99C-57321F5DD92D}"/>
            </a:ext>
          </a:extLst>
        </xdr:cNvPr>
        <xdr:cNvSpPr/>
      </xdr:nvSpPr>
      <xdr:spPr>
        <a:xfrm>
          <a:off x="12715875" y="53530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36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0ED5A6F9-5C7B-4FBF-95EC-9AB8EBFFBC38}"/>
            </a:ext>
          </a:extLst>
        </xdr:cNvPr>
        <xdr:cNvSpPr/>
      </xdr:nvSpPr>
      <xdr:spPr>
        <a:xfrm>
          <a:off x="25338214" y="671172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38</xdr:col>
      <xdr:colOff>3619</xdr:colOff>
      <xdr:row>25</xdr:row>
      <xdr:rowOff>1174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F29B6BE1-A70F-4819-B2E3-000AE8344DE6}"/>
            </a:ext>
          </a:extLst>
        </xdr:cNvPr>
        <xdr:cNvSpPr/>
      </xdr:nvSpPr>
      <xdr:spPr>
        <a:xfrm>
          <a:off x="26435494" y="635434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20</xdr:row>
      <xdr:rowOff>266663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550E3DFA-3793-48E5-940D-2E5DB3FEFAD8}"/>
            </a:ext>
          </a:extLst>
        </xdr:cNvPr>
        <xdr:cNvSpPr/>
      </xdr:nvSpPr>
      <xdr:spPr>
        <a:xfrm>
          <a:off x="13973175" y="521966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37</xdr:col>
      <xdr:colOff>277939</xdr:colOff>
      <xdr:row>26</xdr:row>
      <xdr:rowOff>101376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E4538E87-C20D-43A5-8205-F4BDCB2ACC16}"/>
            </a:ext>
          </a:extLst>
        </xdr:cNvPr>
        <xdr:cNvSpPr/>
      </xdr:nvSpPr>
      <xdr:spPr>
        <a:xfrm>
          <a:off x="26595514" y="66545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39</xdr:col>
      <xdr:colOff>3619</xdr:colOff>
      <xdr:row>25</xdr:row>
      <xdr:rowOff>1174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4F400207-2D3D-431F-89E1-CC6499F7AE99}"/>
            </a:ext>
          </a:extLst>
        </xdr:cNvPr>
        <xdr:cNvSpPr/>
      </xdr:nvSpPr>
      <xdr:spPr>
        <a:xfrm>
          <a:off x="27692794" y="62876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20</xdr:row>
      <xdr:rowOff>219038</xdr:rowOff>
    </xdr:from>
    <xdr:ext cx="410845" cy="112395"/>
    <xdr:sp macro="" textlink="">
      <xdr:nvSpPr>
        <xdr:cNvPr id="2" name="Shape 713">
          <a:extLst>
            <a:ext uri="{FF2B5EF4-FFF2-40B4-BE49-F238E27FC236}">
              <a16:creationId xmlns:a16="http://schemas.microsoft.com/office/drawing/2014/main" id="{D8FD3D97-5258-4349-A04D-EB8B214E476A}"/>
            </a:ext>
          </a:extLst>
        </xdr:cNvPr>
        <xdr:cNvSpPr/>
      </xdr:nvSpPr>
      <xdr:spPr>
        <a:xfrm>
          <a:off x="13973175" y="5267288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37</xdr:col>
      <xdr:colOff>277939</xdr:colOff>
      <xdr:row>26</xdr:row>
      <xdr:rowOff>82326</xdr:rowOff>
    </xdr:from>
    <xdr:ext cx="0" cy="0"/>
    <xdr:sp macro="" textlink="">
      <xdr:nvSpPr>
        <xdr:cNvPr id="3" name="Shape 1172">
          <a:extLst>
            <a:ext uri="{FF2B5EF4-FFF2-40B4-BE49-F238E27FC236}">
              <a16:creationId xmlns:a16="http://schemas.microsoft.com/office/drawing/2014/main" id="{2EB976B1-C378-494B-B79C-D0C2FC051C3F}"/>
            </a:ext>
          </a:extLst>
        </xdr:cNvPr>
        <xdr:cNvSpPr/>
      </xdr:nvSpPr>
      <xdr:spPr>
        <a:xfrm>
          <a:off x="26595514" y="68450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39</xdr:col>
      <xdr:colOff>3619</xdr:colOff>
      <xdr:row>24</xdr:row>
      <xdr:rowOff>267874</xdr:rowOff>
    </xdr:from>
    <xdr:ext cx="7620" cy="0"/>
    <xdr:sp macro="" textlink="">
      <xdr:nvSpPr>
        <xdr:cNvPr id="4" name="Shape 1179">
          <a:extLst>
            <a:ext uri="{FF2B5EF4-FFF2-40B4-BE49-F238E27FC236}">
              <a16:creationId xmlns:a16="http://schemas.microsoft.com/office/drawing/2014/main" id="{AB7B3BAA-92F8-42C4-BD2E-88D918CFDF6E}"/>
            </a:ext>
          </a:extLst>
        </xdr:cNvPr>
        <xdr:cNvSpPr/>
      </xdr:nvSpPr>
      <xdr:spPr>
        <a:xfrm>
          <a:off x="27692794" y="645912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6584-7081-45DC-9D3B-32682C3B9001}">
  <sheetPr>
    <pageSetUpPr fitToPage="1"/>
  </sheetPr>
  <dimension ref="A1:AX27"/>
  <sheetViews>
    <sheetView showGridLines="0" view="pageBreakPreview" zoomScale="70" zoomScaleNormal="70" zoomScaleSheetLayoutView="70" workbookViewId="0">
      <selection activeCell="J12" sqref="J12"/>
    </sheetView>
  </sheetViews>
  <sheetFormatPr defaultRowHeight="18.75" x14ac:dyDescent="0.2"/>
  <cols>
    <col min="1" max="1" width="9.25" style="4" bestFit="1" customWidth="1"/>
    <col min="2" max="2" width="6.125" style="4" bestFit="1" customWidth="1"/>
    <col min="3" max="3" width="10.625" style="4" bestFit="1" customWidth="1"/>
    <col min="4" max="4" width="3.875" style="4" customWidth="1"/>
    <col min="5" max="5" width="9.125" style="4" bestFit="1" customWidth="1"/>
    <col min="6" max="6" width="8.75" style="4" customWidth="1"/>
    <col min="7" max="8" width="9" style="4"/>
    <col min="9" max="9" width="9" style="4" customWidth="1"/>
    <col min="10" max="16384" width="9" style="4"/>
  </cols>
  <sheetData>
    <row r="1" spans="1:50" x14ac:dyDescent="0.2">
      <c r="A1" s="13">
        <v>37</v>
      </c>
      <c r="B1" s="13" t="s">
        <v>2</v>
      </c>
      <c r="V1" s="23" t="s">
        <v>2</v>
      </c>
      <c r="W1" s="23"/>
      <c r="AN1" s="23" t="s">
        <v>18</v>
      </c>
      <c r="AO1" s="23"/>
    </row>
    <row r="2" spans="1:50" x14ac:dyDescent="0.2">
      <c r="A2" s="13">
        <v>44</v>
      </c>
      <c r="B2" s="13" t="s">
        <v>18</v>
      </c>
      <c r="R2" s="2" t="s">
        <v>3</v>
      </c>
      <c r="S2" s="2" t="s">
        <v>4</v>
      </c>
      <c r="T2" s="2" t="s">
        <v>5</v>
      </c>
      <c r="U2" s="24" t="s">
        <v>6</v>
      </c>
      <c r="V2" s="24"/>
      <c r="W2" s="24"/>
      <c r="X2" s="24"/>
      <c r="Y2" s="24"/>
      <c r="Z2" s="24"/>
      <c r="AA2" s="24"/>
      <c r="AB2" s="24" t="s">
        <v>7</v>
      </c>
      <c r="AC2" s="24"/>
      <c r="AD2" s="24"/>
      <c r="AE2" s="24" t="s">
        <v>8</v>
      </c>
      <c r="AF2" s="24"/>
      <c r="AG2" s="24"/>
      <c r="AJ2" s="2" t="s">
        <v>3</v>
      </c>
      <c r="AK2" s="2" t="s">
        <v>4</v>
      </c>
      <c r="AL2" s="2" t="s">
        <v>5</v>
      </c>
      <c r="AM2" s="24" t="s">
        <v>6</v>
      </c>
      <c r="AN2" s="24"/>
      <c r="AO2" s="24"/>
      <c r="AP2" s="24"/>
      <c r="AQ2" s="24"/>
      <c r="AR2" s="24"/>
      <c r="AS2" s="24" t="s">
        <v>7</v>
      </c>
      <c r="AT2" s="24"/>
      <c r="AU2" s="24"/>
      <c r="AV2" s="24" t="s">
        <v>8</v>
      </c>
      <c r="AW2" s="24"/>
      <c r="AX2" s="24"/>
    </row>
    <row r="3" spans="1:50" ht="21.75" x14ac:dyDescent="0.2">
      <c r="A3" s="13">
        <v>52</v>
      </c>
      <c r="R3" s="2" t="s">
        <v>9</v>
      </c>
      <c r="S3" s="2" t="s">
        <v>63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Y3" s="2" t="s">
        <v>15</v>
      </c>
      <c r="Z3" s="2" t="s">
        <v>16</v>
      </c>
      <c r="AA3" s="2" t="s">
        <v>17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J3" s="2" t="s">
        <v>9</v>
      </c>
      <c r="AK3" s="2" t="s">
        <v>63</v>
      </c>
      <c r="AL3" s="2" t="s">
        <v>10</v>
      </c>
      <c r="AM3" s="2" t="s">
        <v>11</v>
      </c>
      <c r="AN3" s="2" t="s">
        <v>12</v>
      </c>
      <c r="AO3" s="2" t="s">
        <v>13</v>
      </c>
      <c r="AP3" s="2" t="s">
        <v>15</v>
      </c>
      <c r="AQ3" s="2" t="s">
        <v>16</v>
      </c>
      <c r="AR3" s="2" t="s">
        <v>17</v>
      </c>
      <c r="AS3" s="2" t="s">
        <v>64</v>
      </c>
      <c r="AT3" s="2" t="s">
        <v>65</v>
      </c>
      <c r="AU3" s="2" t="s">
        <v>66</v>
      </c>
      <c r="AV3" s="2" t="s">
        <v>67</v>
      </c>
      <c r="AW3" s="2" t="s">
        <v>68</v>
      </c>
      <c r="AX3" s="2" t="s">
        <v>69</v>
      </c>
    </row>
    <row r="4" spans="1:50" x14ac:dyDescent="0.2">
      <c r="A4" s="4" t="s">
        <v>62</v>
      </c>
      <c r="B4" s="25">
        <v>37</v>
      </c>
      <c r="C4" s="25"/>
      <c r="D4" s="5"/>
      <c r="E4" s="26" t="s">
        <v>0</v>
      </c>
      <c r="F4" s="26"/>
      <c r="G4" s="26"/>
      <c r="N4" s="23" t="s">
        <v>22</v>
      </c>
      <c r="O4" s="23"/>
      <c r="P4" s="23"/>
      <c r="R4" s="6">
        <v>80</v>
      </c>
      <c r="S4" s="7">
        <v>7.64</v>
      </c>
      <c r="T4" s="6">
        <v>6</v>
      </c>
      <c r="U4" s="6">
        <v>80</v>
      </c>
      <c r="V4" s="6">
        <v>46</v>
      </c>
      <c r="W4" s="8">
        <v>3.8</v>
      </c>
      <c r="X4" s="6">
        <v>5</v>
      </c>
      <c r="Y4" s="8">
        <v>5.2</v>
      </c>
      <c r="Z4" s="8">
        <v>10.199999999999999</v>
      </c>
      <c r="AA4" s="6">
        <v>59</v>
      </c>
      <c r="AB4" s="8">
        <v>80.099999999999994</v>
      </c>
      <c r="AC4" s="6">
        <v>20</v>
      </c>
      <c r="AD4" s="7">
        <v>3.24</v>
      </c>
      <c r="AE4" s="7">
        <v>8.49</v>
      </c>
      <c r="AF4" s="7">
        <v>3.69</v>
      </c>
      <c r="AG4" s="7">
        <v>1.05</v>
      </c>
      <c r="AJ4" s="6">
        <v>100</v>
      </c>
      <c r="AK4" s="6">
        <v>26</v>
      </c>
      <c r="AL4" s="8">
        <v>20.399999999999999</v>
      </c>
      <c r="AM4" s="6">
        <v>100</v>
      </c>
      <c r="AN4" s="6">
        <v>100</v>
      </c>
      <c r="AO4" s="6">
        <v>6</v>
      </c>
      <c r="AP4" s="6">
        <v>10</v>
      </c>
      <c r="AQ4" s="6">
        <v>22</v>
      </c>
      <c r="AR4" s="6">
        <v>56</v>
      </c>
      <c r="AS4" s="6">
        <v>450</v>
      </c>
      <c r="AT4" s="8">
        <v>89.9</v>
      </c>
      <c r="AU4" s="7">
        <v>4.16</v>
      </c>
      <c r="AV4" s="6">
        <v>167</v>
      </c>
      <c r="AW4" s="8">
        <v>33.5</v>
      </c>
      <c r="AX4" s="7">
        <v>2.5299999999999998</v>
      </c>
    </row>
    <row r="5" spans="1:50" ht="21" x14ac:dyDescent="0.2">
      <c r="A5" s="4" t="s">
        <v>72</v>
      </c>
      <c r="B5" s="4">
        <f>IF(B4=A1,2.4,IF(B4=A2,2.8,3.6))</f>
        <v>2.4</v>
      </c>
      <c r="C5" s="4" t="s">
        <v>73</v>
      </c>
      <c r="E5" s="4" t="s">
        <v>71</v>
      </c>
      <c r="F5" s="5">
        <v>-29</v>
      </c>
      <c r="G5" s="4" t="s">
        <v>1</v>
      </c>
      <c r="N5" s="4" t="s">
        <v>19</v>
      </c>
      <c r="O5" s="25" t="s">
        <v>2</v>
      </c>
      <c r="P5" s="25"/>
      <c r="R5" s="6">
        <v>100</v>
      </c>
      <c r="S5" s="8">
        <v>10.3</v>
      </c>
      <c r="T5" s="8">
        <v>8.1</v>
      </c>
      <c r="U5" s="6">
        <v>100</v>
      </c>
      <c r="V5" s="6">
        <v>55</v>
      </c>
      <c r="W5" s="8">
        <v>4.0999999999999996</v>
      </c>
      <c r="X5" s="6">
        <v>7</v>
      </c>
      <c r="Y5" s="8">
        <v>5.7</v>
      </c>
      <c r="Z5" s="8">
        <v>12.7</v>
      </c>
      <c r="AA5" s="6">
        <v>74</v>
      </c>
      <c r="AB5" s="6">
        <v>171</v>
      </c>
      <c r="AC5" s="8">
        <v>34.200000000000003</v>
      </c>
      <c r="AD5" s="7">
        <v>4.07</v>
      </c>
      <c r="AE5" s="8">
        <v>15.9</v>
      </c>
      <c r="AF5" s="7">
        <v>5.79</v>
      </c>
      <c r="AG5" s="7">
        <v>1.24</v>
      </c>
      <c r="AJ5" s="6">
        <v>120</v>
      </c>
      <c r="AK5" s="6">
        <v>34</v>
      </c>
      <c r="AL5" s="8">
        <v>26.7</v>
      </c>
      <c r="AM5" s="6">
        <v>120</v>
      </c>
      <c r="AN5" s="6">
        <v>120</v>
      </c>
      <c r="AO5" s="8">
        <v>6.5</v>
      </c>
      <c r="AP5" s="6">
        <v>11</v>
      </c>
      <c r="AQ5" s="6">
        <v>23</v>
      </c>
      <c r="AR5" s="6">
        <v>74</v>
      </c>
      <c r="AS5" s="6">
        <v>864</v>
      </c>
      <c r="AT5" s="6">
        <v>144</v>
      </c>
      <c r="AU5" s="7">
        <v>5.04</v>
      </c>
      <c r="AV5" s="6">
        <v>318</v>
      </c>
      <c r="AW5" s="8">
        <v>52.9</v>
      </c>
      <c r="AX5" s="7">
        <v>3.06</v>
      </c>
    </row>
    <row r="6" spans="1:50" ht="21" x14ac:dyDescent="0.2">
      <c r="A6" s="4" t="s">
        <v>75</v>
      </c>
      <c r="B6" s="4">
        <f>IF(B4=A1,3.7,IF(B4=A2,4.4,5.2))</f>
        <v>3.7</v>
      </c>
      <c r="C6" s="4" t="s">
        <v>73</v>
      </c>
      <c r="E6" s="4" t="s">
        <v>74</v>
      </c>
      <c r="F6" s="5">
        <v>4.5</v>
      </c>
      <c r="G6" s="4" t="s">
        <v>1</v>
      </c>
      <c r="N6" s="23" t="s">
        <v>20</v>
      </c>
      <c r="O6" s="4" t="s">
        <v>2</v>
      </c>
      <c r="P6" s="4" t="s">
        <v>18</v>
      </c>
      <c r="R6" s="6">
        <v>120</v>
      </c>
      <c r="S6" s="8">
        <v>13.2</v>
      </c>
      <c r="T6" s="8">
        <v>10.4</v>
      </c>
      <c r="U6" s="6">
        <v>120</v>
      </c>
      <c r="V6" s="6">
        <v>64</v>
      </c>
      <c r="W6" s="8">
        <v>4.4000000000000004</v>
      </c>
      <c r="X6" s="6">
        <v>7</v>
      </c>
      <c r="Y6" s="8">
        <v>6.3</v>
      </c>
      <c r="Z6" s="8">
        <v>13.3</v>
      </c>
      <c r="AA6" s="6">
        <v>93</v>
      </c>
      <c r="AB6" s="6">
        <v>318</v>
      </c>
      <c r="AC6" s="6">
        <v>53</v>
      </c>
      <c r="AD6" s="8">
        <v>4.9000000000000004</v>
      </c>
      <c r="AE6" s="8">
        <v>27.7</v>
      </c>
      <c r="AF6" s="7">
        <v>8.65</v>
      </c>
      <c r="AG6" s="7">
        <v>1.45</v>
      </c>
      <c r="AJ6" s="6">
        <v>140</v>
      </c>
      <c r="AK6" s="6">
        <v>43</v>
      </c>
      <c r="AL6" s="8">
        <v>33.700000000000003</v>
      </c>
      <c r="AM6" s="6">
        <v>140</v>
      </c>
      <c r="AN6" s="6">
        <v>140</v>
      </c>
      <c r="AO6" s="6">
        <v>7</v>
      </c>
      <c r="AP6" s="6">
        <v>12</v>
      </c>
      <c r="AQ6" s="6">
        <v>24</v>
      </c>
      <c r="AR6" s="6">
        <v>92</v>
      </c>
      <c r="AS6" s="6">
        <v>1510</v>
      </c>
      <c r="AT6" s="6">
        <v>216</v>
      </c>
      <c r="AU6" s="7">
        <v>5.93</v>
      </c>
      <c r="AV6" s="6">
        <v>550</v>
      </c>
      <c r="AW6" s="8">
        <v>78.5</v>
      </c>
      <c r="AX6" s="7">
        <v>3.58</v>
      </c>
    </row>
    <row r="7" spans="1:50" x14ac:dyDescent="0.2">
      <c r="N7" s="23"/>
      <c r="O7" s="5">
        <v>450</v>
      </c>
      <c r="P7" s="5">
        <v>100</v>
      </c>
      <c r="R7" s="6">
        <v>140</v>
      </c>
      <c r="S7" s="8">
        <v>16.399999999999999</v>
      </c>
      <c r="T7" s="8">
        <v>12.9</v>
      </c>
      <c r="U7" s="6">
        <v>140</v>
      </c>
      <c r="V7" s="6">
        <v>73</v>
      </c>
      <c r="W7" s="8">
        <v>4.7</v>
      </c>
      <c r="X7" s="6">
        <v>7</v>
      </c>
      <c r="Y7" s="8">
        <v>6.9</v>
      </c>
      <c r="Z7" s="8">
        <v>13.9</v>
      </c>
      <c r="AA7" s="6">
        <v>112</v>
      </c>
      <c r="AB7" s="6">
        <v>541</v>
      </c>
      <c r="AC7" s="8">
        <v>77.3</v>
      </c>
      <c r="AD7" s="7">
        <v>5.74</v>
      </c>
      <c r="AE7" s="8">
        <v>44.9</v>
      </c>
      <c r="AF7" s="8">
        <v>12.3</v>
      </c>
      <c r="AG7" s="7">
        <v>1.65</v>
      </c>
      <c r="AJ7" s="6">
        <v>160</v>
      </c>
      <c r="AK7" s="8">
        <v>54.3</v>
      </c>
      <c r="AL7" s="8">
        <v>42.6</v>
      </c>
      <c r="AM7" s="6">
        <v>160</v>
      </c>
      <c r="AN7" s="6">
        <v>160</v>
      </c>
      <c r="AO7" s="6">
        <v>8</v>
      </c>
      <c r="AP7" s="6">
        <v>13</v>
      </c>
      <c r="AQ7" s="6">
        <v>28</v>
      </c>
      <c r="AR7" s="6">
        <v>104</v>
      </c>
      <c r="AS7" s="6">
        <v>2490</v>
      </c>
      <c r="AT7" s="6">
        <v>311</v>
      </c>
      <c r="AU7" s="7">
        <v>6.78</v>
      </c>
      <c r="AV7" s="6">
        <v>889</v>
      </c>
      <c r="AW7" s="6">
        <v>111</v>
      </c>
      <c r="AX7" s="7">
        <v>4.05</v>
      </c>
    </row>
    <row r="8" spans="1:50" x14ac:dyDescent="0.2">
      <c r="A8" s="23" t="s">
        <v>97</v>
      </c>
      <c r="B8" s="23"/>
      <c r="C8" s="23"/>
      <c r="E8" s="23" t="s">
        <v>23</v>
      </c>
      <c r="F8" s="23"/>
      <c r="G8" s="23"/>
      <c r="N8" s="4" t="s">
        <v>11</v>
      </c>
      <c r="O8" s="4">
        <f>VLOOKUP(O7,table3,4,FALSE)</f>
        <v>450</v>
      </c>
      <c r="P8" s="4">
        <f>VLOOKUP(P7,table2,4,FALSE)</f>
        <v>100</v>
      </c>
      <c r="R8" s="6">
        <v>160</v>
      </c>
      <c r="S8" s="8">
        <v>20.100000000000001</v>
      </c>
      <c r="T8" s="8">
        <v>15.8</v>
      </c>
      <c r="U8" s="6">
        <v>160</v>
      </c>
      <c r="V8" s="6">
        <v>82</v>
      </c>
      <c r="W8" s="6">
        <v>5</v>
      </c>
      <c r="X8" s="6">
        <v>9</v>
      </c>
      <c r="Y8" s="8">
        <v>7.4</v>
      </c>
      <c r="Z8" s="8">
        <v>16.399999999999999</v>
      </c>
      <c r="AA8" s="6">
        <v>127</v>
      </c>
      <c r="AB8" s="6">
        <v>869</v>
      </c>
      <c r="AC8" s="6">
        <v>109</v>
      </c>
      <c r="AD8" s="7">
        <v>6.58</v>
      </c>
      <c r="AE8" s="8">
        <v>68.3</v>
      </c>
      <c r="AF8" s="8">
        <v>16.7</v>
      </c>
      <c r="AG8" s="7">
        <v>1.84</v>
      </c>
      <c r="AJ8" s="6">
        <v>180</v>
      </c>
      <c r="AK8" s="8">
        <v>65.3</v>
      </c>
      <c r="AL8" s="8">
        <v>51.2</v>
      </c>
      <c r="AM8" s="6">
        <v>180</v>
      </c>
      <c r="AN8" s="6">
        <v>180</v>
      </c>
      <c r="AO8" s="8">
        <v>8.5</v>
      </c>
      <c r="AP8" s="6">
        <v>14</v>
      </c>
      <c r="AQ8" s="6">
        <v>29</v>
      </c>
      <c r="AR8" s="6">
        <v>122</v>
      </c>
      <c r="AS8" s="6">
        <v>3830</v>
      </c>
      <c r="AT8" s="6">
        <v>426</v>
      </c>
      <c r="AU8" s="7">
        <v>7.66</v>
      </c>
      <c r="AV8" s="6">
        <v>1360</v>
      </c>
      <c r="AW8" s="6">
        <v>151</v>
      </c>
      <c r="AX8" s="7">
        <v>4.57</v>
      </c>
    </row>
    <row r="9" spans="1:50" ht="21" x14ac:dyDescent="0.2">
      <c r="A9" s="4" t="s">
        <v>76</v>
      </c>
      <c r="B9" s="5">
        <v>0.25</v>
      </c>
      <c r="C9" s="4" t="s">
        <v>73</v>
      </c>
      <c r="E9" s="4" t="s">
        <v>11</v>
      </c>
      <c r="F9" s="4">
        <f>IF(O5=B1,O8,P8)</f>
        <v>450</v>
      </c>
      <c r="G9" s="4" t="s">
        <v>24</v>
      </c>
      <c r="N9" s="4" t="s">
        <v>12</v>
      </c>
      <c r="O9" s="4">
        <f>VLOOKUP(O7,table3,5,FALSE)</f>
        <v>190</v>
      </c>
      <c r="P9" s="4">
        <f>VLOOKUP(P7,table2,5,FALSE)</f>
        <v>100</v>
      </c>
      <c r="R9" s="6">
        <v>180</v>
      </c>
      <c r="S9" s="8">
        <v>23.9</v>
      </c>
      <c r="T9" s="8">
        <v>18.8</v>
      </c>
      <c r="U9" s="6">
        <v>180</v>
      </c>
      <c r="V9" s="6">
        <v>91</v>
      </c>
      <c r="W9" s="8">
        <v>5.3</v>
      </c>
      <c r="X9" s="6">
        <v>9</v>
      </c>
      <c r="Y9" s="6">
        <v>8</v>
      </c>
      <c r="Z9" s="6">
        <v>17</v>
      </c>
      <c r="AA9" s="6">
        <v>146</v>
      </c>
      <c r="AB9" s="6">
        <v>1320</v>
      </c>
      <c r="AC9" s="6">
        <v>146</v>
      </c>
      <c r="AD9" s="7">
        <v>7.42</v>
      </c>
      <c r="AE9" s="6">
        <v>101</v>
      </c>
      <c r="AF9" s="8">
        <v>22.2</v>
      </c>
      <c r="AG9" s="7">
        <v>2.0499999999999998</v>
      </c>
      <c r="AJ9" s="6">
        <v>200</v>
      </c>
      <c r="AK9" s="8">
        <v>78.099999999999994</v>
      </c>
      <c r="AL9" s="8">
        <v>61.3</v>
      </c>
      <c r="AM9" s="6">
        <v>200</v>
      </c>
      <c r="AN9" s="6">
        <v>200</v>
      </c>
      <c r="AO9" s="6">
        <v>9</v>
      </c>
      <c r="AP9" s="6">
        <v>15</v>
      </c>
      <c r="AQ9" s="6">
        <v>33</v>
      </c>
      <c r="AR9" s="6">
        <v>134</v>
      </c>
      <c r="AS9" s="6">
        <v>5700</v>
      </c>
      <c r="AT9" s="6">
        <v>570</v>
      </c>
      <c r="AU9" s="7">
        <v>8.5399999999999991</v>
      </c>
      <c r="AV9" s="6">
        <v>2000</v>
      </c>
      <c r="AW9" s="6">
        <v>200</v>
      </c>
      <c r="AX9" s="7">
        <v>5.07</v>
      </c>
    </row>
    <row r="10" spans="1:50" x14ac:dyDescent="0.2">
      <c r="B10" s="5"/>
      <c r="E10" s="4" t="s">
        <v>12</v>
      </c>
      <c r="F10" s="4">
        <f>IF(O5=B1,O9,P9)</f>
        <v>190</v>
      </c>
      <c r="G10" s="4" t="s">
        <v>24</v>
      </c>
      <c r="N10" s="4" t="s">
        <v>13</v>
      </c>
      <c r="O10" s="4">
        <f>VLOOKUP(O7,table3,6,FALSE)</f>
        <v>9.4</v>
      </c>
      <c r="P10" s="4">
        <f>VLOOKUP(P7,table2,6,FALSE)</f>
        <v>6</v>
      </c>
      <c r="R10" s="6">
        <v>200</v>
      </c>
      <c r="S10" s="8">
        <v>28.5</v>
      </c>
      <c r="T10" s="8">
        <v>22.4</v>
      </c>
      <c r="U10" s="6">
        <v>200</v>
      </c>
      <c r="V10" s="6">
        <v>100</v>
      </c>
      <c r="W10" s="8">
        <v>5.6</v>
      </c>
      <c r="X10" s="6">
        <v>12</v>
      </c>
      <c r="Y10" s="8">
        <v>8.5</v>
      </c>
      <c r="Z10" s="8">
        <v>20.5</v>
      </c>
      <c r="AA10" s="6">
        <v>159</v>
      </c>
      <c r="AB10" s="6">
        <v>1940</v>
      </c>
      <c r="AC10" s="6">
        <v>194</v>
      </c>
      <c r="AD10" s="7">
        <v>8.26</v>
      </c>
      <c r="AE10" s="6">
        <v>142</v>
      </c>
      <c r="AF10" s="8">
        <v>28.5</v>
      </c>
      <c r="AG10" s="7">
        <v>2.2400000000000002</v>
      </c>
      <c r="AJ10" s="6">
        <v>220</v>
      </c>
      <c r="AK10" s="6">
        <v>91</v>
      </c>
      <c r="AL10" s="8">
        <v>71.5</v>
      </c>
      <c r="AM10" s="6">
        <v>220</v>
      </c>
      <c r="AN10" s="6">
        <v>220</v>
      </c>
      <c r="AO10" s="8">
        <v>9.5</v>
      </c>
      <c r="AP10" s="6">
        <v>16</v>
      </c>
      <c r="AQ10" s="6">
        <v>34</v>
      </c>
      <c r="AR10" s="6">
        <v>152</v>
      </c>
      <c r="AS10" s="6">
        <v>8090</v>
      </c>
      <c r="AT10" s="6">
        <v>736</v>
      </c>
      <c r="AU10" s="7">
        <v>9.43</v>
      </c>
      <c r="AV10" s="6">
        <v>2840</v>
      </c>
      <c r="AW10" s="6">
        <v>258</v>
      </c>
      <c r="AX10" s="7">
        <v>5.59</v>
      </c>
    </row>
    <row r="11" spans="1:50" x14ac:dyDescent="0.2">
      <c r="A11" s="23" t="s">
        <v>25</v>
      </c>
      <c r="B11" s="23"/>
      <c r="C11" s="23"/>
      <c r="E11" s="4" t="s">
        <v>13</v>
      </c>
      <c r="F11" s="4">
        <f>IF(O5=B1,O10,P10)</f>
        <v>9.4</v>
      </c>
      <c r="G11" s="4" t="s">
        <v>24</v>
      </c>
      <c r="N11" s="4" t="s">
        <v>15</v>
      </c>
      <c r="O11" s="4">
        <f>VLOOKUP(O7,table3,8,FALSE)</f>
        <v>14.6</v>
      </c>
      <c r="P11" s="4">
        <f>VLOOKUP(P7,table2,7,FALSE)</f>
        <v>10</v>
      </c>
      <c r="R11" s="6">
        <v>220</v>
      </c>
      <c r="S11" s="8">
        <v>33.4</v>
      </c>
      <c r="T11" s="8">
        <v>26.2</v>
      </c>
      <c r="U11" s="6">
        <v>220</v>
      </c>
      <c r="V11" s="6">
        <v>110</v>
      </c>
      <c r="W11" s="8">
        <v>5.9</v>
      </c>
      <c r="X11" s="6">
        <v>12</v>
      </c>
      <c r="Y11" s="8">
        <v>9.1999999999999993</v>
      </c>
      <c r="Z11" s="8">
        <v>21.2</v>
      </c>
      <c r="AA11" s="6">
        <v>177</v>
      </c>
      <c r="AB11" s="6">
        <v>2770</v>
      </c>
      <c r="AC11" s="6">
        <v>252</v>
      </c>
      <c r="AD11" s="7">
        <v>9.11</v>
      </c>
      <c r="AE11" s="6">
        <v>205</v>
      </c>
      <c r="AF11" s="8">
        <v>37.299999999999997</v>
      </c>
      <c r="AG11" s="7">
        <v>2.48</v>
      </c>
      <c r="AJ11" s="6">
        <v>240</v>
      </c>
      <c r="AK11" s="6">
        <v>106</v>
      </c>
      <c r="AL11" s="8">
        <v>83.2</v>
      </c>
      <c r="AM11" s="6">
        <v>240</v>
      </c>
      <c r="AN11" s="6">
        <v>240</v>
      </c>
      <c r="AO11" s="6">
        <v>10</v>
      </c>
      <c r="AP11" s="6">
        <v>17</v>
      </c>
      <c r="AQ11" s="6">
        <v>38</v>
      </c>
      <c r="AR11" s="6">
        <v>164</v>
      </c>
      <c r="AS11" s="6">
        <v>11260</v>
      </c>
      <c r="AT11" s="6">
        <v>938</v>
      </c>
      <c r="AU11" s="8">
        <v>10.3</v>
      </c>
      <c r="AV11" s="6">
        <v>3920</v>
      </c>
      <c r="AW11" s="6">
        <v>327</v>
      </c>
      <c r="AX11" s="7">
        <v>6.08</v>
      </c>
    </row>
    <row r="12" spans="1:50" x14ac:dyDescent="0.2">
      <c r="A12" s="4" t="s">
        <v>26</v>
      </c>
      <c r="B12" s="25" t="s">
        <v>28</v>
      </c>
      <c r="C12" s="25"/>
      <c r="D12" s="5"/>
      <c r="E12" s="4" t="s">
        <v>15</v>
      </c>
      <c r="F12" s="4">
        <f>IF(O5=B1,O11,P11)</f>
        <v>14.6</v>
      </c>
      <c r="G12" s="4" t="s">
        <v>24</v>
      </c>
      <c r="R12" s="6">
        <v>240</v>
      </c>
      <c r="S12" s="8">
        <v>39.1</v>
      </c>
      <c r="T12" s="8">
        <v>30.7</v>
      </c>
      <c r="U12" s="6">
        <v>240</v>
      </c>
      <c r="V12" s="6">
        <v>120</v>
      </c>
      <c r="W12" s="8">
        <v>6.2</v>
      </c>
      <c r="X12" s="6">
        <v>15</v>
      </c>
      <c r="Y12" s="8">
        <v>9.8000000000000007</v>
      </c>
      <c r="Z12" s="8">
        <v>24.8</v>
      </c>
      <c r="AA12" s="6">
        <v>190</v>
      </c>
      <c r="AB12" s="6">
        <v>3890</v>
      </c>
      <c r="AC12" s="6">
        <v>324</v>
      </c>
      <c r="AD12" s="7">
        <v>9.9700000000000006</v>
      </c>
      <c r="AE12" s="6">
        <v>284</v>
      </c>
      <c r="AF12" s="8">
        <v>47.3</v>
      </c>
      <c r="AG12" s="7">
        <v>2.69</v>
      </c>
      <c r="AJ12" s="6">
        <v>260</v>
      </c>
      <c r="AK12" s="6">
        <v>118</v>
      </c>
      <c r="AL12" s="6">
        <v>93</v>
      </c>
      <c r="AM12" s="6">
        <v>260</v>
      </c>
      <c r="AN12" s="6">
        <v>260</v>
      </c>
      <c r="AO12" s="6">
        <v>10</v>
      </c>
      <c r="AP12" s="8">
        <v>17.5</v>
      </c>
      <c r="AQ12" s="8">
        <v>41.5</v>
      </c>
      <c r="AR12" s="6">
        <v>177</v>
      </c>
      <c r="AS12" s="6">
        <v>14920</v>
      </c>
      <c r="AT12" s="6">
        <v>1150</v>
      </c>
      <c r="AU12" s="8">
        <v>11.2</v>
      </c>
      <c r="AV12" s="6">
        <v>5130</v>
      </c>
      <c r="AW12" s="6">
        <v>395</v>
      </c>
      <c r="AX12" s="7">
        <v>6.58</v>
      </c>
    </row>
    <row r="13" spans="1:50" ht="21" x14ac:dyDescent="0.2">
      <c r="A13" s="4" t="s">
        <v>75</v>
      </c>
      <c r="B13" s="5">
        <v>5.2</v>
      </c>
      <c r="C13" s="4" t="s">
        <v>73</v>
      </c>
      <c r="R13" s="6">
        <v>270</v>
      </c>
      <c r="S13" s="8">
        <v>45.9</v>
      </c>
      <c r="T13" s="8">
        <v>36.1</v>
      </c>
      <c r="U13" s="6">
        <v>270</v>
      </c>
      <c r="V13" s="6">
        <v>135</v>
      </c>
      <c r="W13" s="8">
        <v>6.6</v>
      </c>
      <c r="X13" s="6">
        <v>15</v>
      </c>
      <c r="Y13" s="8">
        <v>10.199999999999999</v>
      </c>
      <c r="Z13" s="8">
        <v>25.2</v>
      </c>
      <c r="AA13" s="6">
        <v>219</v>
      </c>
      <c r="AB13" s="6">
        <v>5790</v>
      </c>
      <c r="AC13" s="6">
        <v>429</v>
      </c>
      <c r="AD13" s="8">
        <v>11.2</v>
      </c>
      <c r="AE13" s="6">
        <v>420</v>
      </c>
      <c r="AF13" s="8">
        <v>62.2</v>
      </c>
      <c r="AG13" s="7">
        <v>3.02</v>
      </c>
      <c r="AJ13" s="6">
        <v>280</v>
      </c>
      <c r="AK13" s="6">
        <v>131</v>
      </c>
      <c r="AL13" s="6">
        <v>103</v>
      </c>
      <c r="AM13" s="6">
        <v>280</v>
      </c>
      <c r="AN13" s="6">
        <v>280</v>
      </c>
      <c r="AO13" s="8">
        <v>10.5</v>
      </c>
      <c r="AP13" s="6">
        <v>18</v>
      </c>
      <c r="AQ13" s="6">
        <v>42</v>
      </c>
      <c r="AR13" s="6">
        <v>196</v>
      </c>
      <c r="AS13" s="6">
        <v>19270</v>
      </c>
      <c r="AT13" s="6">
        <v>1380</v>
      </c>
      <c r="AU13" s="8">
        <v>12.1</v>
      </c>
      <c r="AV13" s="6">
        <v>6590</v>
      </c>
      <c r="AW13" s="6">
        <v>471</v>
      </c>
      <c r="AX13" s="7">
        <v>7.09</v>
      </c>
    </row>
    <row r="14" spans="1:50" x14ac:dyDescent="0.2">
      <c r="A14" s="4" t="s">
        <v>34</v>
      </c>
      <c r="B14" s="5">
        <v>2</v>
      </c>
      <c r="C14" s="4" t="s">
        <v>29</v>
      </c>
      <c r="E14" s="10" t="s">
        <v>35</v>
      </c>
      <c r="F14" s="11"/>
      <c r="R14" s="6">
        <v>300</v>
      </c>
      <c r="S14" s="8">
        <v>53.8</v>
      </c>
      <c r="T14" s="8">
        <v>42.2</v>
      </c>
      <c r="U14" s="6">
        <v>300</v>
      </c>
      <c r="V14" s="6">
        <v>150</v>
      </c>
      <c r="W14" s="8">
        <v>7.1</v>
      </c>
      <c r="X14" s="6">
        <v>15</v>
      </c>
      <c r="Y14" s="8">
        <v>10.7</v>
      </c>
      <c r="Z14" s="8">
        <v>25.7</v>
      </c>
      <c r="AA14" s="6">
        <v>248</v>
      </c>
      <c r="AB14" s="6">
        <v>8360</v>
      </c>
      <c r="AC14" s="6">
        <v>557</v>
      </c>
      <c r="AD14" s="8">
        <v>12.5</v>
      </c>
      <c r="AE14" s="6">
        <v>604</v>
      </c>
      <c r="AF14" s="8">
        <v>80.5</v>
      </c>
      <c r="AG14" s="7">
        <v>3.35</v>
      </c>
      <c r="AJ14" s="6">
        <v>300</v>
      </c>
      <c r="AK14" s="6">
        <v>149</v>
      </c>
      <c r="AL14" s="6">
        <v>117</v>
      </c>
      <c r="AM14" s="6">
        <v>300</v>
      </c>
      <c r="AN14" s="6">
        <v>300</v>
      </c>
      <c r="AO14" s="6">
        <v>11</v>
      </c>
      <c r="AP14" s="6">
        <v>19</v>
      </c>
      <c r="AQ14" s="6">
        <v>46</v>
      </c>
      <c r="AR14" s="6">
        <v>208</v>
      </c>
      <c r="AS14" s="6">
        <v>25170</v>
      </c>
      <c r="AT14" s="6">
        <v>1680</v>
      </c>
      <c r="AU14" s="6">
        <v>13</v>
      </c>
      <c r="AV14" s="6">
        <v>8560</v>
      </c>
      <c r="AW14" s="6">
        <v>571</v>
      </c>
      <c r="AX14" s="7">
        <v>7.58</v>
      </c>
    </row>
    <row r="15" spans="1:50" x14ac:dyDescent="0.2">
      <c r="A15" s="4" t="s">
        <v>33</v>
      </c>
      <c r="B15" s="5">
        <v>4</v>
      </c>
      <c r="C15" s="4" t="s">
        <v>53</v>
      </c>
      <c r="E15" s="23" t="s">
        <v>36</v>
      </c>
      <c r="F15" s="23"/>
      <c r="G15" s="23"/>
      <c r="H15" s="23"/>
      <c r="K15" s="23" t="s">
        <v>39</v>
      </c>
      <c r="L15" s="23"/>
      <c r="R15" s="6">
        <v>330</v>
      </c>
      <c r="S15" s="8">
        <v>62.6</v>
      </c>
      <c r="T15" s="8">
        <v>49.1</v>
      </c>
      <c r="U15" s="6">
        <v>330</v>
      </c>
      <c r="V15" s="6">
        <v>160</v>
      </c>
      <c r="W15" s="8">
        <v>7.5</v>
      </c>
      <c r="X15" s="6">
        <v>18</v>
      </c>
      <c r="Y15" s="8">
        <v>11.5</v>
      </c>
      <c r="Z15" s="8">
        <v>29.5</v>
      </c>
      <c r="AA15" s="6">
        <v>271</v>
      </c>
      <c r="AB15" s="6">
        <v>11770</v>
      </c>
      <c r="AC15" s="6">
        <v>713</v>
      </c>
      <c r="AD15" s="8">
        <v>13.7</v>
      </c>
      <c r="AE15" s="6">
        <v>788</v>
      </c>
      <c r="AF15" s="8">
        <v>98.5</v>
      </c>
      <c r="AG15" s="7">
        <v>3.55</v>
      </c>
      <c r="AJ15" s="6">
        <v>320</v>
      </c>
      <c r="AK15" s="6">
        <v>161</v>
      </c>
      <c r="AL15" s="6">
        <v>127</v>
      </c>
      <c r="AM15" s="6">
        <v>320</v>
      </c>
      <c r="AN15" s="6">
        <v>300</v>
      </c>
      <c r="AO15" s="8">
        <v>11.5</v>
      </c>
      <c r="AP15" s="8">
        <v>20.5</v>
      </c>
      <c r="AQ15" s="8">
        <v>47.5</v>
      </c>
      <c r="AR15" s="6">
        <v>225</v>
      </c>
      <c r="AS15" s="6">
        <v>30820</v>
      </c>
      <c r="AT15" s="6">
        <v>1930</v>
      </c>
      <c r="AU15" s="8">
        <v>13.8</v>
      </c>
      <c r="AV15" s="6">
        <v>9240</v>
      </c>
      <c r="AW15" s="6">
        <v>616</v>
      </c>
      <c r="AX15" s="7">
        <v>7.57</v>
      </c>
    </row>
    <row r="16" spans="1:50" ht="20.25" x14ac:dyDescent="0.2">
      <c r="B16" s="5"/>
      <c r="E16" s="4" t="s">
        <v>13</v>
      </c>
      <c r="F16" s="5">
        <v>0.6</v>
      </c>
      <c r="G16" s="4" t="s">
        <v>29</v>
      </c>
      <c r="K16" s="4" t="s">
        <v>91</v>
      </c>
      <c r="L16" s="4">
        <f>0.6*0.5*B13*0.78*((22/7)/4)*B14^2*0.85</f>
        <v>3.250594285714286</v>
      </c>
      <c r="M16" s="4" t="s">
        <v>1</v>
      </c>
      <c r="N16" s="13" t="str">
        <f>IF(L16&gt;=F6/B15,"Safe","Unsafe")</f>
        <v>Safe</v>
      </c>
      <c r="R16" s="6">
        <v>360</v>
      </c>
      <c r="S16" s="8">
        <v>72.7</v>
      </c>
      <c r="T16" s="8">
        <v>57.1</v>
      </c>
      <c r="U16" s="6">
        <v>360</v>
      </c>
      <c r="V16" s="6">
        <v>170</v>
      </c>
      <c r="W16" s="6">
        <v>8</v>
      </c>
      <c r="X16" s="6">
        <v>18</v>
      </c>
      <c r="Y16" s="8">
        <v>12.7</v>
      </c>
      <c r="Z16" s="8">
        <v>30.7</v>
      </c>
      <c r="AA16" s="6">
        <v>298</v>
      </c>
      <c r="AB16" s="6">
        <v>16270</v>
      </c>
      <c r="AC16" s="6">
        <v>904</v>
      </c>
      <c r="AD16" s="6">
        <v>15</v>
      </c>
      <c r="AE16" s="6">
        <v>1040</v>
      </c>
      <c r="AF16" s="6">
        <v>123</v>
      </c>
      <c r="AG16" s="7">
        <v>3.79</v>
      </c>
      <c r="AJ16" s="6">
        <v>340</v>
      </c>
      <c r="AK16" s="6">
        <v>171</v>
      </c>
      <c r="AL16" s="6">
        <v>134</v>
      </c>
      <c r="AM16" s="6">
        <v>340</v>
      </c>
      <c r="AN16" s="6">
        <v>300</v>
      </c>
      <c r="AO16" s="6">
        <v>12</v>
      </c>
      <c r="AP16" s="8">
        <v>21.5</v>
      </c>
      <c r="AQ16" s="8">
        <v>48.5</v>
      </c>
      <c r="AR16" s="6">
        <v>243</v>
      </c>
      <c r="AS16" s="6">
        <v>36660</v>
      </c>
      <c r="AT16" s="6">
        <v>2160</v>
      </c>
      <c r="AU16" s="8">
        <v>14.6</v>
      </c>
      <c r="AV16" s="6">
        <v>9690</v>
      </c>
      <c r="AW16" s="6">
        <v>646</v>
      </c>
      <c r="AX16" s="7">
        <v>7.53</v>
      </c>
    </row>
    <row r="17" spans="1:50" ht="21" x14ac:dyDescent="0.2">
      <c r="A17" s="23" t="s">
        <v>30</v>
      </c>
      <c r="B17" s="23"/>
      <c r="C17" s="23"/>
      <c r="E17" s="4" t="s">
        <v>89</v>
      </c>
      <c r="F17" s="4">
        <f>2*F16*0.8*0.1*F9</f>
        <v>43.2</v>
      </c>
      <c r="G17" s="4" t="s">
        <v>78</v>
      </c>
      <c r="R17" s="6">
        <v>400</v>
      </c>
      <c r="S17" s="8">
        <v>84.5</v>
      </c>
      <c r="T17" s="8">
        <v>66.3</v>
      </c>
      <c r="U17" s="6">
        <v>400</v>
      </c>
      <c r="V17" s="6">
        <v>180</v>
      </c>
      <c r="W17" s="8">
        <v>8.6</v>
      </c>
      <c r="X17" s="6">
        <v>21</v>
      </c>
      <c r="Y17" s="8">
        <v>13.5</v>
      </c>
      <c r="Z17" s="8">
        <v>34.5</v>
      </c>
      <c r="AA17" s="6">
        <v>331</v>
      </c>
      <c r="AB17" s="6">
        <v>23130</v>
      </c>
      <c r="AC17" s="6">
        <v>1160</v>
      </c>
      <c r="AD17" s="8">
        <v>16.5</v>
      </c>
      <c r="AE17" s="6">
        <v>1320</v>
      </c>
      <c r="AF17" s="6">
        <v>146</v>
      </c>
      <c r="AG17" s="7">
        <v>3.95</v>
      </c>
      <c r="AJ17" s="6">
        <v>360</v>
      </c>
      <c r="AK17" s="6">
        <v>181</v>
      </c>
      <c r="AL17" s="6">
        <v>142</v>
      </c>
      <c r="AM17" s="6">
        <v>360</v>
      </c>
      <c r="AN17" s="6">
        <v>300</v>
      </c>
      <c r="AO17" s="8">
        <v>12.5</v>
      </c>
      <c r="AP17" s="8">
        <v>22.5</v>
      </c>
      <c r="AQ17" s="8">
        <v>49.5</v>
      </c>
      <c r="AR17" s="6">
        <v>261</v>
      </c>
      <c r="AS17" s="6">
        <v>43190</v>
      </c>
      <c r="AT17" s="6">
        <v>2400</v>
      </c>
      <c r="AU17" s="8">
        <v>15.6</v>
      </c>
      <c r="AV17" s="6">
        <v>10140</v>
      </c>
      <c r="AW17" s="6">
        <v>676</v>
      </c>
      <c r="AX17" s="7">
        <v>7.49</v>
      </c>
    </row>
    <row r="18" spans="1:50" ht="21" x14ac:dyDescent="0.2">
      <c r="A18" s="4" t="s">
        <v>31</v>
      </c>
      <c r="B18" s="4">
        <f>4+0.1*F10</f>
        <v>23</v>
      </c>
      <c r="C18" s="4" t="s">
        <v>29</v>
      </c>
      <c r="E18" s="4" t="s">
        <v>90</v>
      </c>
      <c r="F18" s="4">
        <f>2*F16*0.1*F10+4*F16*0.4*0.1*F10</f>
        <v>41.040000000000006</v>
      </c>
      <c r="G18" s="4" t="s">
        <v>78</v>
      </c>
      <c r="K18" s="23" t="s">
        <v>40</v>
      </c>
      <c r="L18" s="23"/>
      <c r="M18" s="23"/>
      <c r="R18" s="6">
        <v>450</v>
      </c>
      <c r="S18" s="8">
        <v>98.8</v>
      </c>
      <c r="T18" s="8">
        <v>77.599999999999994</v>
      </c>
      <c r="U18" s="6">
        <v>450</v>
      </c>
      <c r="V18" s="6">
        <v>190</v>
      </c>
      <c r="W18" s="8">
        <v>9.4</v>
      </c>
      <c r="X18" s="6">
        <v>21</v>
      </c>
      <c r="Y18" s="8">
        <v>14.6</v>
      </c>
      <c r="Z18" s="8">
        <v>35.6</v>
      </c>
      <c r="AA18" s="6">
        <v>378</v>
      </c>
      <c r="AB18" s="6">
        <v>33740</v>
      </c>
      <c r="AC18" s="6">
        <v>1500</v>
      </c>
      <c r="AD18" s="8">
        <v>18.5</v>
      </c>
      <c r="AE18" s="6">
        <v>1680</v>
      </c>
      <c r="AF18" s="6">
        <v>176</v>
      </c>
      <c r="AG18" s="7">
        <v>4.12</v>
      </c>
      <c r="AJ18" s="6">
        <v>400</v>
      </c>
      <c r="AK18" s="6">
        <v>198</v>
      </c>
      <c r="AL18" s="6">
        <v>155</v>
      </c>
      <c r="AM18" s="6">
        <v>400</v>
      </c>
      <c r="AN18" s="6">
        <v>300</v>
      </c>
      <c r="AO18" s="8">
        <v>13.5</v>
      </c>
      <c r="AP18" s="6">
        <v>24</v>
      </c>
      <c r="AQ18" s="6">
        <v>51</v>
      </c>
      <c r="AR18" s="6">
        <v>298</v>
      </c>
      <c r="AS18" s="6">
        <v>57680</v>
      </c>
      <c r="AT18" s="6">
        <v>2880</v>
      </c>
      <c r="AU18" s="8">
        <v>17.100000000000001</v>
      </c>
      <c r="AV18" s="6">
        <v>10820</v>
      </c>
      <c r="AW18" s="6">
        <v>721</v>
      </c>
      <c r="AX18" s="8">
        <v>7.4</v>
      </c>
    </row>
    <row r="19" spans="1:50" ht="21" x14ac:dyDescent="0.2">
      <c r="A19" s="4" t="s">
        <v>32</v>
      </c>
      <c r="B19" s="4">
        <f>4+0.1*F9</f>
        <v>49</v>
      </c>
      <c r="C19" s="4" t="s">
        <v>29</v>
      </c>
      <c r="E19" s="4" t="s">
        <v>77</v>
      </c>
      <c r="F19" s="4">
        <f>F17+F18</f>
        <v>84.240000000000009</v>
      </c>
      <c r="G19" s="4" t="s">
        <v>78</v>
      </c>
      <c r="K19" s="4" t="s">
        <v>92</v>
      </c>
      <c r="L19" s="4">
        <f>ABS(F5)/(B18*B19)</f>
        <v>2.5732031943212066E-2</v>
      </c>
      <c r="M19" s="4" t="s">
        <v>73</v>
      </c>
      <c r="R19" s="6">
        <v>500</v>
      </c>
      <c r="S19" s="6">
        <v>116</v>
      </c>
      <c r="T19" s="8">
        <v>90.7</v>
      </c>
      <c r="U19" s="6">
        <v>500</v>
      </c>
      <c r="V19" s="6">
        <v>200</v>
      </c>
      <c r="W19" s="8">
        <v>10.199999999999999</v>
      </c>
      <c r="X19" s="6">
        <v>21</v>
      </c>
      <c r="Y19" s="6">
        <v>16</v>
      </c>
      <c r="Z19" s="6">
        <v>37</v>
      </c>
      <c r="AA19" s="6">
        <v>426</v>
      </c>
      <c r="AB19" s="6">
        <v>48200</v>
      </c>
      <c r="AC19" s="6">
        <v>1930</v>
      </c>
      <c r="AD19" s="8">
        <v>20.399999999999999</v>
      </c>
      <c r="AE19" s="6">
        <v>2140</v>
      </c>
      <c r="AF19" s="6">
        <v>214</v>
      </c>
      <c r="AG19" s="7">
        <v>4.3099999999999996</v>
      </c>
      <c r="AJ19" s="6">
        <v>450</v>
      </c>
      <c r="AK19" s="6">
        <v>218</v>
      </c>
      <c r="AL19" s="6">
        <v>171</v>
      </c>
      <c r="AM19" s="6">
        <v>450</v>
      </c>
      <c r="AN19" s="6">
        <v>300</v>
      </c>
      <c r="AO19" s="6">
        <v>14</v>
      </c>
      <c r="AP19" s="6">
        <v>26</v>
      </c>
      <c r="AQ19" s="6">
        <v>53</v>
      </c>
      <c r="AR19" s="6">
        <v>344</v>
      </c>
      <c r="AS19" s="6">
        <v>79890</v>
      </c>
      <c r="AT19" s="6">
        <v>3550</v>
      </c>
      <c r="AU19" s="8">
        <v>19.100000000000001</v>
      </c>
      <c r="AV19" s="6">
        <v>11720</v>
      </c>
      <c r="AW19" s="6">
        <v>781</v>
      </c>
      <c r="AX19" s="7">
        <v>7.33</v>
      </c>
    </row>
    <row r="20" spans="1:50" ht="21" x14ac:dyDescent="0.2">
      <c r="E20" s="4" t="s">
        <v>27</v>
      </c>
      <c r="F20" s="4">
        <f>ABS(F5)/F19</f>
        <v>0.34425451092117754</v>
      </c>
      <c r="G20" s="4" t="s">
        <v>73</v>
      </c>
      <c r="K20" s="4" t="s">
        <v>41</v>
      </c>
      <c r="L20" s="4">
        <f>0.5*(B19-0.95*0.1*F9)</f>
        <v>3.125</v>
      </c>
      <c r="M20" s="4" t="s">
        <v>29</v>
      </c>
      <c r="R20" s="6">
        <v>550</v>
      </c>
      <c r="S20" s="6">
        <v>134</v>
      </c>
      <c r="T20" s="6">
        <v>106</v>
      </c>
      <c r="U20" s="6">
        <v>550</v>
      </c>
      <c r="V20" s="6">
        <v>210</v>
      </c>
      <c r="W20" s="8">
        <v>11.1</v>
      </c>
      <c r="X20" s="6">
        <v>24</v>
      </c>
      <c r="Y20" s="8">
        <v>17.2</v>
      </c>
      <c r="Z20" s="8">
        <v>41.2</v>
      </c>
      <c r="AA20" s="6">
        <v>467</v>
      </c>
      <c r="AB20" s="6">
        <v>67120</v>
      </c>
      <c r="AC20" s="6">
        <v>2440</v>
      </c>
      <c r="AD20" s="8">
        <v>22.3</v>
      </c>
      <c r="AE20" s="6">
        <v>2670</v>
      </c>
      <c r="AF20" s="6">
        <v>254</v>
      </c>
      <c r="AG20" s="7">
        <v>4.45</v>
      </c>
      <c r="AJ20" s="6">
        <v>500</v>
      </c>
      <c r="AK20" s="6">
        <v>239</v>
      </c>
      <c r="AL20" s="6">
        <v>187</v>
      </c>
      <c r="AM20" s="6">
        <v>500</v>
      </c>
      <c r="AN20" s="6">
        <v>300</v>
      </c>
      <c r="AO20" s="8">
        <v>14.5</v>
      </c>
      <c r="AP20" s="6">
        <v>28</v>
      </c>
      <c r="AQ20" s="6">
        <v>655</v>
      </c>
      <c r="AR20" s="6">
        <v>390</v>
      </c>
      <c r="AS20" s="6">
        <v>107200</v>
      </c>
      <c r="AT20" s="6">
        <v>4290</v>
      </c>
      <c r="AU20" s="8">
        <v>21.2</v>
      </c>
      <c r="AV20" s="6">
        <v>12620</v>
      </c>
      <c r="AW20" s="6">
        <v>842</v>
      </c>
      <c r="AX20" s="7">
        <v>7.27</v>
      </c>
    </row>
    <row r="21" spans="1:50" ht="21" x14ac:dyDescent="0.2">
      <c r="E21" s="4" t="s">
        <v>37</v>
      </c>
      <c r="F21" s="4">
        <f>F6/F17</f>
        <v>0.10416666666666666</v>
      </c>
      <c r="G21" s="4" t="s">
        <v>73</v>
      </c>
      <c r="K21" s="4" t="s">
        <v>42</v>
      </c>
      <c r="L21" s="4">
        <f>0.5*(B18-0.8*0.1*F10)</f>
        <v>3.8999999999999986</v>
      </c>
      <c r="M21" s="4" t="s">
        <v>29</v>
      </c>
      <c r="R21" s="6">
        <v>600</v>
      </c>
      <c r="S21" s="6">
        <v>156</v>
      </c>
      <c r="T21" s="6">
        <v>122</v>
      </c>
      <c r="U21" s="6">
        <v>600</v>
      </c>
      <c r="V21" s="6">
        <v>220</v>
      </c>
      <c r="W21" s="6">
        <v>12</v>
      </c>
      <c r="X21" s="6">
        <v>24</v>
      </c>
      <c r="Y21" s="6">
        <v>19</v>
      </c>
      <c r="Z21" s="6">
        <v>43</v>
      </c>
      <c r="AA21" s="6">
        <v>514</v>
      </c>
      <c r="AB21" s="6">
        <v>92080</v>
      </c>
      <c r="AC21" s="6">
        <v>3070</v>
      </c>
      <c r="AD21" s="8">
        <v>24.3</v>
      </c>
      <c r="AE21" s="6">
        <v>3390</v>
      </c>
      <c r="AF21" s="6">
        <v>308</v>
      </c>
      <c r="AG21" s="7">
        <v>4.66</v>
      </c>
      <c r="AJ21" s="6">
        <v>550</v>
      </c>
      <c r="AK21" s="6">
        <v>254</v>
      </c>
      <c r="AL21" s="6">
        <v>199</v>
      </c>
      <c r="AM21" s="6">
        <v>550</v>
      </c>
      <c r="AN21" s="6">
        <v>300</v>
      </c>
      <c r="AO21" s="6">
        <v>15</v>
      </c>
      <c r="AP21" s="6">
        <v>29</v>
      </c>
      <c r="AQ21" s="6">
        <v>56</v>
      </c>
      <c r="AR21" s="6">
        <v>438</v>
      </c>
      <c r="AS21" s="6">
        <v>136700</v>
      </c>
      <c r="AT21" s="6">
        <v>4970</v>
      </c>
      <c r="AU21" s="8">
        <v>23.2</v>
      </c>
      <c r="AV21" s="6">
        <v>13080</v>
      </c>
      <c r="AW21" s="6">
        <v>872</v>
      </c>
      <c r="AX21" s="7">
        <v>7.17</v>
      </c>
    </row>
    <row r="22" spans="1:50" ht="21" x14ac:dyDescent="0.2">
      <c r="E22" s="4" t="s">
        <v>98</v>
      </c>
      <c r="F22" s="4">
        <f>SQRT(F20^2+3*(F21)^2)</f>
        <v>0.38866856268923072</v>
      </c>
      <c r="G22" s="4" t="s">
        <v>73</v>
      </c>
      <c r="H22" s="13" t="str">
        <f>IF(F22&lt;=1.1*0.7*0.4*B6,"Safe","Unsafe")</f>
        <v>Safe</v>
      </c>
      <c r="K22" s="4" t="s">
        <v>70</v>
      </c>
      <c r="L22" s="4">
        <f>L19*0.5*MAX(L20,L21)^2</f>
        <v>0.19569210292812761</v>
      </c>
      <c r="M22" s="4" t="s">
        <v>43</v>
      </c>
      <c r="AJ22" s="6">
        <v>600</v>
      </c>
      <c r="AK22" s="6">
        <v>270</v>
      </c>
      <c r="AL22" s="6">
        <v>212</v>
      </c>
      <c r="AM22" s="6">
        <v>600</v>
      </c>
      <c r="AN22" s="6">
        <v>300</v>
      </c>
      <c r="AO22" s="8">
        <v>15.5</v>
      </c>
      <c r="AP22" s="6">
        <v>30</v>
      </c>
      <c r="AQ22" s="6">
        <v>57</v>
      </c>
      <c r="AR22" s="6">
        <v>486</v>
      </c>
      <c r="AS22" s="6">
        <v>171000</v>
      </c>
      <c r="AT22" s="6">
        <v>5700</v>
      </c>
      <c r="AU22" s="8">
        <v>25.2</v>
      </c>
      <c r="AV22" s="6">
        <v>13530</v>
      </c>
      <c r="AW22" s="6">
        <v>902</v>
      </c>
      <c r="AX22" s="7">
        <v>7.08</v>
      </c>
    </row>
    <row r="23" spans="1:50" ht="20.25" x14ac:dyDescent="0.2">
      <c r="K23" s="4" t="s">
        <v>87</v>
      </c>
      <c r="L23" s="4">
        <f>SQRT((4*L22)/(0.85*B5))</f>
        <v>0.61944330308869</v>
      </c>
      <c r="M23" s="4" t="s">
        <v>29</v>
      </c>
      <c r="N23" s="23" t="str">
        <f>IF(L23&lt;2,"Take Min. tp= 2cm","Ok")</f>
        <v>Take Min. tp= 2cm</v>
      </c>
      <c r="O23" s="23"/>
      <c r="P23" s="23"/>
      <c r="AJ23" s="6">
        <v>650</v>
      </c>
      <c r="AK23" s="6">
        <v>286</v>
      </c>
      <c r="AL23" s="6">
        <v>225</v>
      </c>
      <c r="AM23" s="6">
        <v>650</v>
      </c>
      <c r="AN23" s="6">
        <v>300</v>
      </c>
      <c r="AO23" s="6">
        <v>16</v>
      </c>
      <c r="AP23" s="6">
        <v>31</v>
      </c>
      <c r="AQ23" s="6">
        <v>58</v>
      </c>
      <c r="AR23" s="6">
        <v>534</v>
      </c>
      <c r="AS23" s="6">
        <v>210600</v>
      </c>
      <c r="AT23" s="6">
        <v>6480</v>
      </c>
      <c r="AU23" s="8">
        <v>27.1</v>
      </c>
      <c r="AV23" s="6">
        <v>13980</v>
      </c>
      <c r="AW23" s="6">
        <v>932</v>
      </c>
      <c r="AX23" s="7">
        <v>6.99</v>
      </c>
    </row>
    <row r="24" spans="1:50" x14ac:dyDescent="0.2">
      <c r="E24" s="23" t="s">
        <v>38</v>
      </c>
      <c r="F24" s="23"/>
      <c r="G24" s="23"/>
      <c r="H24" s="23"/>
      <c r="AJ24" s="6">
        <v>700</v>
      </c>
      <c r="AK24" s="6">
        <v>306</v>
      </c>
      <c r="AL24" s="6">
        <v>241</v>
      </c>
      <c r="AM24" s="6">
        <v>700</v>
      </c>
      <c r="AN24" s="6">
        <v>300</v>
      </c>
      <c r="AO24" s="6">
        <v>17</v>
      </c>
      <c r="AP24" s="6">
        <v>32</v>
      </c>
      <c r="AQ24" s="6">
        <v>59</v>
      </c>
      <c r="AR24" s="6">
        <v>582</v>
      </c>
      <c r="AS24" s="6">
        <v>256900</v>
      </c>
      <c r="AT24" s="6">
        <v>7340</v>
      </c>
      <c r="AU24" s="6">
        <v>29</v>
      </c>
      <c r="AV24" s="6">
        <v>14440</v>
      </c>
      <c r="AW24" s="6">
        <v>963</v>
      </c>
      <c r="AX24" s="7">
        <v>6.87</v>
      </c>
    </row>
    <row r="25" spans="1:50" ht="20.25" x14ac:dyDescent="0.2">
      <c r="E25" s="4" t="s">
        <v>88</v>
      </c>
      <c r="F25" s="4">
        <f>0.6*0.85*B9*B18*B19</f>
        <v>143.6925</v>
      </c>
      <c r="G25" s="4" t="s">
        <v>1</v>
      </c>
      <c r="H25" s="13" t="str">
        <f>IF(F25&gt;=ABS(F5),"Safe","Unsafe")</f>
        <v>Safe</v>
      </c>
      <c r="AJ25" s="6">
        <v>800</v>
      </c>
      <c r="AK25" s="6">
        <v>334</v>
      </c>
      <c r="AL25" s="6">
        <v>262</v>
      </c>
      <c r="AM25" s="6">
        <v>800</v>
      </c>
      <c r="AN25" s="6">
        <v>300</v>
      </c>
      <c r="AO25" s="8">
        <v>17.5</v>
      </c>
      <c r="AP25" s="6">
        <v>33</v>
      </c>
      <c r="AQ25" s="6">
        <v>63</v>
      </c>
      <c r="AR25" s="6">
        <v>674</v>
      </c>
      <c r="AS25" s="6">
        <v>359100</v>
      </c>
      <c r="AT25" s="6">
        <v>9890</v>
      </c>
      <c r="AU25" s="8">
        <v>32.799999999999997</v>
      </c>
      <c r="AV25" s="6">
        <v>14900</v>
      </c>
      <c r="AW25" s="6">
        <v>994</v>
      </c>
      <c r="AX25" s="7">
        <v>6.68</v>
      </c>
    </row>
    <row r="26" spans="1:50" x14ac:dyDescent="0.2">
      <c r="AJ26" s="6">
        <v>900</v>
      </c>
      <c r="AK26" s="6">
        <v>371</v>
      </c>
      <c r="AL26" s="6">
        <v>291</v>
      </c>
      <c r="AM26" s="6">
        <v>900</v>
      </c>
      <c r="AN26" s="6">
        <v>300</v>
      </c>
      <c r="AO26" s="8">
        <v>18.5</v>
      </c>
      <c r="AP26" s="6">
        <v>35</v>
      </c>
      <c r="AQ26" s="6">
        <v>65</v>
      </c>
      <c r="AR26" s="6">
        <v>770</v>
      </c>
      <c r="AS26" s="6">
        <v>494100</v>
      </c>
      <c r="AT26" s="6">
        <v>10980</v>
      </c>
      <c r="AU26" s="8">
        <v>36.5</v>
      </c>
      <c r="AV26" s="6">
        <v>15820</v>
      </c>
      <c r="AW26" s="6">
        <v>1050</v>
      </c>
      <c r="AX26" s="7">
        <v>6.53</v>
      </c>
    </row>
    <row r="27" spans="1:50" x14ac:dyDescent="0.2">
      <c r="AJ27" s="6">
        <v>1000</v>
      </c>
      <c r="AK27" s="6">
        <v>400</v>
      </c>
      <c r="AL27" s="6">
        <v>314</v>
      </c>
      <c r="AM27" s="6">
        <v>1000</v>
      </c>
      <c r="AN27" s="6">
        <v>300</v>
      </c>
      <c r="AO27" s="6">
        <v>19</v>
      </c>
      <c r="AP27" s="6">
        <v>36</v>
      </c>
      <c r="AQ27" s="6">
        <v>66</v>
      </c>
      <c r="AR27" s="6">
        <v>868</v>
      </c>
      <c r="AS27" s="6">
        <v>644700</v>
      </c>
      <c r="AT27" s="6">
        <v>12890</v>
      </c>
      <c r="AU27" s="8">
        <v>40.1</v>
      </c>
      <c r="AV27" s="6">
        <v>16280</v>
      </c>
      <c r="AW27" s="6">
        <v>1090</v>
      </c>
      <c r="AX27" s="7">
        <v>6.38</v>
      </c>
    </row>
  </sheetData>
  <mergeCells count="23">
    <mergeCell ref="B4:C4"/>
    <mergeCell ref="B12:C12"/>
    <mergeCell ref="A8:C8"/>
    <mergeCell ref="N6:N7"/>
    <mergeCell ref="AN1:AO1"/>
    <mergeCell ref="AM2:AR2"/>
    <mergeCell ref="V1:W1"/>
    <mergeCell ref="U2:AA2"/>
    <mergeCell ref="E8:G8"/>
    <mergeCell ref="O5:P5"/>
    <mergeCell ref="E4:G4"/>
    <mergeCell ref="A11:C11"/>
    <mergeCell ref="E24:H24"/>
    <mergeCell ref="AS2:AU2"/>
    <mergeCell ref="AV2:AX2"/>
    <mergeCell ref="N4:P4"/>
    <mergeCell ref="AB2:AD2"/>
    <mergeCell ref="AE2:AG2"/>
    <mergeCell ref="A17:C17"/>
    <mergeCell ref="K15:L15"/>
    <mergeCell ref="K18:M18"/>
    <mergeCell ref="N23:P23"/>
    <mergeCell ref="E15:H15"/>
  </mergeCells>
  <phoneticPr fontId="1" type="noConversion"/>
  <conditionalFormatting sqref="H25 N16 H22">
    <cfRule type="cellIs" dxfId="33" priority="1" operator="equal">
      <formula>"Unsafe"</formula>
    </cfRule>
    <cfRule type="cellIs" dxfId="32" priority="2" operator="equal">
      <formula>"Safe"</formula>
    </cfRule>
  </conditionalFormatting>
  <dataValidations count="4">
    <dataValidation type="list" allowBlank="1" showInputMessage="1" showErrorMessage="1" sqref="P7" xr:uid="{C36F8E15-8786-4D98-8567-7F849D3DB631}">
      <formula1>$AJ$4:$AJ$27</formula1>
    </dataValidation>
    <dataValidation type="list" allowBlank="1" showInputMessage="1" showErrorMessage="1" sqref="O7" xr:uid="{7FF9F365-7239-44A5-9CD5-F7428E0F59BA}">
      <formula1>$R$4:$R$21</formula1>
    </dataValidation>
    <dataValidation type="list" allowBlank="1" showInputMessage="1" showErrorMessage="1" sqref="B4" xr:uid="{58CCCBA8-CC24-4B98-AAB1-57914ADFD4CB}">
      <formula1>$A$1:$A$3</formula1>
    </dataValidation>
    <dataValidation type="list" allowBlank="1" showInputMessage="1" showErrorMessage="1" sqref="O5:P5" xr:uid="{174C77F1-BBBC-4B87-B45A-D62BEF9C20A0}">
      <formula1>$B$1:$B$2</formula1>
    </dataValidation>
  </dataValidations>
  <pageMargins left="0.7" right="0.7" top="0.7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51CA-06EA-471F-922A-984143AE8A36}">
  <dimension ref="A1:M26"/>
  <sheetViews>
    <sheetView showGridLines="0" view="pageBreakPreview" zoomScale="60" zoomScaleNormal="100" workbookViewId="0">
      <selection activeCell="J6" sqref="J6"/>
    </sheetView>
  </sheetViews>
  <sheetFormatPr defaultRowHeight="18.75" x14ac:dyDescent="0.2"/>
  <cols>
    <col min="1" max="2" width="9" style="4"/>
    <col min="3" max="3" width="11.625" style="4" bestFit="1" customWidth="1"/>
    <col min="4" max="4" width="5.75" style="4" customWidth="1"/>
    <col min="5" max="5" width="9.125" style="4" bestFit="1" customWidth="1"/>
    <col min="6" max="6" width="15.375" style="4" bestFit="1" customWidth="1"/>
    <col min="7" max="7" width="7" style="4" bestFit="1" customWidth="1"/>
    <col min="8" max="9" width="9" style="4"/>
    <col min="10" max="10" width="10" style="4" customWidth="1"/>
    <col min="11" max="16384" width="9" style="4"/>
  </cols>
  <sheetData>
    <row r="1" spans="1:13" x14ac:dyDescent="0.2">
      <c r="A1" s="13">
        <v>37</v>
      </c>
      <c r="B1" s="13"/>
    </row>
    <row r="2" spans="1:13" x14ac:dyDescent="0.2">
      <c r="A2" s="13">
        <v>44</v>
      </c>
      <c r="B2" s="13"/>
    </row>
    <row r="3" spans="1:13" x14ac:dyDescent="0.2">
      <c r="A3" s="13">
        <v>52</v>
      </c>
    </row>
    <row r="4" spans="1:13" x14ac:dyDescent="0.2">
      <c r="A4" s="4" t="s">
        <v>62</v>
      </c>
      <c r="B4" s="25">
        <v>37</v>
      </c>
      <c r="C4" s="25"/>
      <c r="D4" s="5"/>
      <c r="E4" s="26" t="s">
        <v>60</v>
      </c>
      <c r="F4" s="26"/>
      <c r="G4" s="26"/>
      <c r="J4" s="27" t="s">
        <v>105</v>
      </c>
      <c r="K4" s="27"/>
      <c r="L4" s="27"/>
      <c r="M4" s="27"/>
    </row>
    <row r="5" spans="1:13" ht="21" x14ac:dyDescent="0.2">
      <c r="A5" s="4" t="s">
        <v>72</v>
      </c>
      <c r="B5" s="4">
        <f>IF(B4=A1,2.4,IF(B4=A2,2.8,3.6))</f>
        <v>2.4</v>
      </c>
      <c r="C5" s="4" t="s">
        <v>73</v>
      </c>
      <c r="E5" s="4" t="s">
        <v>71</v>
      </c>
      <c r="F5" s="5">
        <v>-5.67</v>
      </c>
      <c r="G5" s="4" t="s">
        <v>1</v>
      </c>
      <c r="J5" s="27"/>
      <c r="K5" s="27"/>
      <c r="L5" s="27"/>
      <c r="M5" s="27"/>
    </row>
    <row r="6" spans="1:13" ht="21" x14ac:dyDescent="0.2">
      <c r="A6" s="4" t="s">
        <v>75</v>
      </c>
      <c r="B6" s="4">
        <f>IF(B4=A1,3.7,IF(B4=A2,4.4,5.2))</f>
        <v>3.7</v>
      </c>
      <c r="C6" s="4" t="s">
        <v>73</v>
      </c>
      <c r="E6" s="4" t="s">
        <v>74</v>
      </c>
      <c r="F6" s="5">
        <v>4.3</v>
      </c>
      <c r="G6" s="4" t="s">
        <v>1</v>
      </c>
    </row>
    <row r="8" spans="1:13" x14ac:dyDescent="0.2">
      <c r="A8" s="23" t="s">
        <v>97</v>
      </c>
      <c r="B8" s="23"/>
      <c r="C8" s="23"/>
      <c r="E8" s="23" t="s">
        <v>23</v>
      </c>
      <c r="F8" s="23"/>
      <c r="G8" s="23"/>
    </row>
    <row r="9" spans="1:13" ht="21" x14ac:dyDescent="0.2">
      <c r="A9" s="4" t="s">
        <v>76</v>
      </c>
      <c r="B9" s="5">
        <v>0.25</v>
      </c>
      <c r="C9" s="4" t="s">
        <v>73</v>
      </c>
      <c r="E9" s="4" t="s">
        <v>93</v>
      </c>
      <c r="F9" s="5">
        <v>300</v>
      </c>
      <c r="G9" s="4" t="s">
        <v>24</v>
      </c>
    </row>
    <row r="10" spans="1:13" ht="20.25" x14ac:dyDescent="0.2">
      <c r="B10" s="5"/>
      <c r="E10" s="4" t="s">
        <v>94</v>
      </c>
      <c r="F10" s="5">
        <v>150</v>
      </c>
      <c r="G10" s="4" t="s">
        <v>24</v>
      </c>
    </row>
    <row r="11" spans="1:13" ht="20.25" x14ac:dyDescent="0.2">
      <c r="A11" s="23" t="s">
        <v>25</v>
      </c>
      <c r="B11" s="23"/>
      <c r="C11" s="23"/>
      <c r="E11" s="4" t="s">
        <v>95</v>
      </c>
      <c r="F11" s="5">
        <v>10</v>
      </c>
      <c r="G11" s="4" t="s">
        <v>24</v>
      </c>
    </row>
    <row r="12" spans="1:13" ht="20.25" x14ac:dyDescent="0.2">
      <c r="A12" s="4" t="s">
        <v>26</v>
      </c>
      <c r="B12" s="25" t="s">
        <v>28</v>
      </c>
      <c r="C12" s="25"/>
      <c r="D12" s="17"/>
      <c r="E12" s="4" t="s">
        <v>96</v>
      </c>
      <c r="F12" s="5">
        <v>20</v>
      </c>
      <c r="G12" s="4" t="s">
        <v>24</v>
      </c>
    </row>
    <row r="13" spans="1:13" ht="21" x14ac:dyDescent="0.2">
      <c r="A13" s="4" t="s">
        <v>75</v>
      </c>
      <c r="B13" s="5">
        <v>5.2</v>
      </c>
      <c r="C13" s="4" t="s">
        <v>73</v>
      </c>
    </row>
    <row r="14" spans="1:13" x14ac:dyDescent="0.2">
      <c r="A14" s="4" t="s">
        <v>34</v>
      </c>
      <c r="B14" s="5">
        <v>2</v>
      </c>
      <c r="C14" s="4" t="s">
        <v>29</v>
      </c>
      <c r="E14" s="10" t="s">
        <v>35</v>
      </c>
      <c r="F14" s="11"/>
    </row>
    <row r="15" spans="1:13" x14ac:dyDescent="0.2">
      <c r="A15" s="4" t="s">
        <v>33</v>
      </c>
      <c r="B15" s="5">
        <v>4</v>
      </c>
      <c r="C15" s="4" t="s">
        <v>59</v>
      </c>
      <c r="E15" s="23" t="s">
        <v>61</v>
      </c>
      <c r="F15" s="23"/>
      <c r="G15" s="23"/>
      <c r="J15" s="23" t="s">
        <v>38</v>
      </c>
      <c r="K15" s="23"/>
      <c r="L15" s="23"/>
    </row>
    <row r="16" spans="1:13" ht="20.25" x14ac:dyDescent="0.2">
      <c r="B16" s="5"/>
      <c r="E16" s="4" t="s">
        <v>13</v>
      </c>
      <c r="F16" s="5">
        <v>0.6</v>
      </c>
      <c r="G16" s="4" t="s">
        <v>29</v>
      </c>
      <c r="J16" s="4" t="s">
        <v>88</v>
      </c>
      <c r="K16" s="4">
        <f>0.6*0.85*B9*B18*B19</f>
        <v>78.03</v>
      </c>
      <c r="L16" s="4" t="s">
        <v>1</v>
      </c>
      <c r="M16" s="13" t="str">
        <f>IF(K16&gt;=ABS(F5),"Safe","Unsafe")</f>
        <v>Safe</v>
      </c>
    </row>
    <row r="17" spans="1:13" ht="21" x14ac:dyDescent="0.2">
      <c r="A17" s="23" t="s">
        <v>30</v>
      </c>
      <c r="B17" s="23"/>
      <c r="C17" s="23"/>
      <c r="E17" s="4" t="s">
        <v>89</v>
      </c>
      <c r="F17" s="4">
        <f>2*F16*0.8*0.1*F9</f>
        <v>28.8</v>
      </c>
      <c r="G17" s="4" t="s">
        <v>78</v>
      </c>
    </row>
    <row r="18" spans="1:13" ht="21" x14ac:dyDescent="0.2">
      <c r="A18" s="4" t="s">
        <v>31</v>
      </c>
      <c r="B18" s="4">
        <f>2+0.1*F10</f>
        <v>17</v>
      </c>
      <c r="C18" s="4" t="s">
        <v>29</v>
      </c>
      <c r="E18" s="4" t="s">
        <v>90</v>
      </c>
      <c r="F18" s="4">
        <f>2*F16*0.1*F10+4*F16*0.4*0.1*F10</f>
        <v>32.4</v>
      </c>
      <c r="G18" s="4" t="s">
        <v>78</v>
      </c>
      <c r="J18" s="23" t="s">
        <v>39</v>
      </c>
      <c r="K18" s="23"/>
    </row>
    <row r="19" spans="1:13" ht="21" x14ac:dyDescent="0.2">
      <c r="A19" s="4" t="s">
        <v>32</v>
      </c>
      <c r="B19" s="4">
        <f>2+0.1*(F9+2*F12)</f>
        <v>36</v>
      </c>
      <c r="C19" s="4" t="s">
        <v>29</v>
      </c>
      <c r="E19" s="4" t="s">
        <v>77</v>
      </c>
      <c r="F19" s="4">
        <f>F17+F18</f>
        <v>61.2</v>
      </c>
      <c r="G19" s="4" t="s">
        <v>78</v>
      </c>
      <c r="J19" s="4" t="s">
        <v>91</v>
      </c>
      <c r="K19" s="4">
        <f>0.6*0.5*B13*0.78*((22/7)/4)*B14^2*0.85</f>
        <v>3.250594285714286</v>
      </c>
      <c r="L19" s="4" t="s">
        <v>1</v>
      </c>
      <c r="M19" s="13" t="str">
        <f>IF(K19&gt;=F6/B15,"Safe","Unsafe")</f>
        <v>Safe</v>
      </c>
    </row>
    <row r="20" spans="1:13" ht="22.5" customHeight="1" x14ac:dyDescent="0.2">
      <c r="E20" s="4" t="s">
        <v>27</v>
      </c>
      <c r="F20" s="4">
        <f>ABS(F5)/F19</f>
        <v>9.2647058823529402E-2</v>
      </c>
      <c r="G20" s="4" t="s">
        <v>73</v>
      </c>
    </row>
    <row r="21" spans="1:13" ht="21" x14ac:dyDescent="0.2">
      <c r="E21" s="4" t="s">
        <v>37</v>
      </c>
      <c r="F21" s="4">
        <f>F6/F17</f>
        <v>0.14930555555555555</v>
      </c>
      <c r="G21" s="4" t="s">
        <v>73</v>
      </c>
      <c r="J21" s="23" t="s">
        <v>40</v>
      </c>
      <c r="K21" s="23"/>
      <c r="L21" s="23"/>
    </row>
    <row r="22" spans="1:13" ht="21" x14ac:dyDescent="0.2">
      <c r="E22" s="4" t="s">
        <v>98</v>
      </c>
      <c r="F22" s="4">
        <f>SQRT(F20^2+3*(F21)^2)</f>
        <v>0.27469969833967739</v>
      </c>
      <c r="G22" s="4" t="s">
        <v>73</v>
      </c>
      <c r="H22" s="13" t="str">
        <f>IF(F22&lt;=1.1*0.7*0.4*B6,"Safe","Unsafe")</f>
        <v>Safe</v>
      </c>
      <c r="J22" s="4" t="s">
        <v>92</v>
      </c>
      <c r="K22" s="4">
        <f>ABS(F5)/(B18*B19)</f>
        <v>9.2647058823529405E-3</v>
      </c>
      <c r="L22" s="4" t="s">
        <v>73</v>
      </c>
    </row>
    <row r="23" spans="1:13" x14ac:dyDescent="0.2">
      <c r="J23" s="4" t="s">
        <v>41</v>
      </c>
      <c r="K23" s="4">
        <f>0.5*(B19-0.95*0.1*F9)</f>
        <v>3.75</v>
      </c>
      <c r="L23" s="4" t="s">
        <v>29</v>
      </c>
    </row>
    <row r="24" spans="1:13" x14ac:dyDescent="0.2">
      <c r="J24" s="4" t="s">
        <v>42</v>
      </c>
      <c r="K24" s="4">
        <f>0.5*(B18-0.8*0.1*F10)</f>
        <v>2.4999999999999991</v>
      </c>
      <c r="L24" s="4" t="s">
        <v>29</v>
      </c>
    </row>
    <row r="25" spans="1:13" ht="20.25" x14ac:dyDescent="0.2">
      <c r="J25" s="4" t="s">
        <v>70</v>
      </c>
      <c r="K25" s="4">
        <f>K22*0.5*MAX(K23,K24)^2</f>
        <v>6.5142463235294115E-2</v>
      </c>
      <c r="L25" s="4" t="s">
        <v>43</v>
      </c>
    </row>
    <row r="26" spans="1:13" ht="20.25" x14ac:dyDescent="0.2">
      <c r="J26" s="4" t="s">
        <v>87</v>
      </c>
      <c r="K26" s="4">
        <f>SQRT((4*K25)/(0.85*B5))</f>
        <v>0.35739378851513937</v>
      </c>
      <c r="L26" s="4" t="s">
        <v>29</v>
      </c>
      <c r="M26" s="4" t="str">
        <f>IF(K26&lt;2,"Take Min. tp= 2cm","Ok")</f>
        <v>Take Min. tp= 2cm</v>
      </c>
    </row>
  </sheetData>
  <mergeCells count="12">
    <mergeCell ref="A17:C17"/>
    <mergeCell ref="J18:K18"/>
    <mergeCell ref="J21:L21"/>
    <mergeCell ref="E15:G15"/>
    <mergeCell ref="J15:L15"/>
    <mergeCell ref="E4:G4"/>
    <mergeCell ref="E8:G8"/>
    <mergeCell ref="J4:M5"/>
    <mergeCell ref="B4:C4"/>
    <mergeCell ref="B12:C12"/>
    <mergeCell ref="A8:C8"/>
    <mergeCell ref="A11:C11"/>
  </mergeCells>
  <conditionalFormatting sqref="M16 M19 H22">
    <cfRule type="cellIs" dxfId="31" priority="1" operator="equal">
      <formula>"Unsafe"</formula>
    </cfRule>
    <cfRule type="cellIs" dxfId="30" priority="2" operator="equal">
      <formula>"Safe"</formula>
    </cfRule>
  </conditionalFormatting>
  <dataValidations count="2">
    <dataValidation type="list" allowBlank="1" showInputMessage="1" showErrorMessage="1" sqref="B4" xr:uid="{8C7A2FAE-0FD4-4071-82D2-BC80A4D3E699}">
      <formula1>$A$1:$A$3</formula1>
    </dataValidation>
    <dataValidation type="list" allowBlank="1" showInputMessage="1" showErrorMessage="1" sqref="J2:K2" xr:uid="{75D2B840-7999-4763-8D35-D9C48A977449}">
      <formula1>$B$1:$B$2</formula1>
    </dataValidation>
  </dataValidations>
  <pageMargins left="0.7" right="0.7" top="0.75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F27B-F9A3-4E4C-ACD2-D5DDC007439A}">
  <sheetPr>
    <pageSetUpPr fitToPage="1"/>
  </sheetPr>
  <dimension ref="A1:M24"/>
  <sheetViews>
    <sheetView showGridLines="0" view="pageBreakPreview" zoomScale="60" zoomScaleNormal="100" workbookViewId="0">
      <selection activeCell="K24" sqref="K24"/>
    </sheetView>
  </sheetViews>
  <sheetFormatPr defaultRowHeight="18.75" x14ac:dyDescent="0.2"/>
  <cols>
    <col min="1" max="2" width="9" style="4"/>
    <col min="3" max="3" width="11.625" style="4" bestFit="1" customWidth="1"/>
    <col min="4" max="4" width="5.75" style="4" customWidth="1"/>
    <col min="5" max="5" width="9.125" style="4" bestFit="1" customWidth="1"/>
    <col min="6" max="6" width="15.375" style="4" bestFit="1" customWidth="1"/>
    <col min="7" max="7" width="7" style="4" bestFit="1" customWidth="1"/>
    <col min="8" max="9" width="9" style="4"/>
    <col min="10" max="10" width="10" style="4" customWidth="1"/>
    <col min="11" max="16384" width="9" style="4"/>
  </cols>
  <sheetData>
    <row r="1" spans="1:13" x14ac:dyDescent="0.2">
      <c r="A1" s="13">
        <v>37</v>
      </c>
      <c r="B1" s="13"/>
    </row>
    <row r="2" spans="1:13" x14ac:dyDescent="0.2">
      <c r="A2" s="13">
        <v>44</v>
      </c>
      <c r="B2" s="13"/>
    </row>
    <row r="3" spans="1:13" x14ac:dyDescent="0.2">
      <c r="A3" s="13">
        <v>52</v>
      </c>
    </row>
    <row r="4" spans="1:13" x14ac:dyDescent="0.2">
      <c r="A4" s="4" t="s">
        <v>62</v>
      </c>
      <c r="B4" s="25">
        <v>37</v>
      </c>
      <c r="C4" s="25"/>
      <c r="D4" s="5"/>
      <c r="E4" s="26" t="s">
        <v>60</v>
      </c>
      <c r="F4" s="26"/>
      <c r="G4" s="26"/>
      <c r="J4" s="27" t="s">
        <v>104</v>
      </c>
      <c r="K4" s="27"/>
      <c r="L4" s="27"/>
      <c r="M4" s="27"/>
    </row>
    <row r="5" spans="1:13" ht="21" x14ac:dyDescent="0.2">
      <c r="A5" s="4" t="s">
        <v>72</v>
      </c>
      <c r="B5" s="4">
        <f>IF(B4=A1,2.4,IF(B4=A2,2.8,3.6))</f>
        <v>2.4</v>
      </c>
      <c r="C5" s="4" t="s">
        <v>73</v>
      </c>
      <c r="E5" s="4" t="s">
        <v>99</v>
      </c>
      <c r="F5" s="5">
        <v>29</v>
      </c>
      <c r="G5" s="4" t="s">
        <v>1</v>
      </c>
      <c r="J5" s="27"/>
      <c r="K5" s="27"/>
      <c r="L5" s="27"/>
      <c r="M5" s="27"/>
    </row>
    <row r="6" spans="1:13" ht="21" x14ac:dyDescent="0.2">
      <c r="A6" s="4" t="s">
        <v>75</v>
      </c>
      <c r="B6" s="4">
        <f>IF(B4=A1,3.7,IF(B4=A2,4.4,5.2))</f>
        <v>3.7</v>
      </c>
      <c r="C6" s="4" t="s">
        <v>73</v>
      </c>
      <c r="E6" s="4" t="s">
        <v>74</v>
      </c>
      <c r="F6" s="5">
        <v>4.5</v>
      </c>
      <c r="G6" s="4" t="s">
        <v>1</v>
      </c>
    </row>
    <row r="8" spans="1:13" x14ac:dyDescent="0.2">
      <c r="A8" s="23" t="s">
        <v>97</v>
      </c>
      <c r="B8" s="23"/>
      <c r="C8" s="23"/>
      <c r="E8" s="23" t="s">
        <v>23</v>
      </c>
      <c r="F8" s="23"/>
      <c r="G8" s="23"/>
    </row>
    <row r="9" spans="1:13" ht="21" x14ac:dyDescent="0.2">
      <c r="A9" s="4" t="s">
        <v>76</v>
      </c>
      <c r="B9" s="5">
        <v>0.25</v>
      </c>
      <c r="C9" s="4" t="s">
        <v>73</v>
      </c>
      <c r="E9" s="4" t="s">
        <v>93</v>
      </c>
      <c r="F9" s="5">
        <f>450-2*14.6</f>
        <v>420.8</v>
      </c>
      <c r="G9" s="4" t="s">
        <v>24</v>
      </c>
    </row>
    <row r="10" spans="1:13" ht="20.25" x14ac:dyDescent="0.2">
      <c r="B10" s="5"/>
      <c r="E10" s="4" t="s">
        <v>94</v>
      </c>
      <c r="F10" s="5">
        <v>190</v>
      </c>
      <c r="G10" s="4" t="s">
        <v>24</v>
      </c>
    </row>
    <row r="11" spans="1:13" ht="20.25" x14ac:dyDescent="0.2">
      <c r="A11" s="23" t="s">
        <v>25</v>
      </c>
      <c r="B11" s="23"/>
      <c r="C11" s="23"/>
      <c r="E11" s="4" t="s">
        <v>95</v>
      </c>
      <c r="F11" s="5">
        <v>9.4</v>
      </c>
      <c r="G11" s="4" t="s">
        <v>24</v>
      </c>
    </row>
    <row r="12" spans="1:13" ht="20.25" x14ac:dyDescent="0.2">
      <c r="A12" s="4" t="s">
        <v>26</v>
      </c>
      <c r="B12" s="25" t="s">
        <v>28</v>
      </c>
      <c r="C12" s="25"/>
      <c r="D12" s="17"/>
      <c r="E12" s="4" t="s">
        <v>96</v>
      </c>
      <c r="F12" s="5">
        <v>14.6</v>
      </c>
      <c r="G12" s="4" t="s">
        <v>24</v>
      </c>
    </row>
    <row r="13" spans="1:13" ht="21" x14ac:dyDescent="0.2">
      <c r="A13" s="4" t="s">
        <v>75</v>
      </c>
      <c r="B13" s="5">
        <v>5.2</v>
      </c>
      <c r="C13" s="4" t="s">
        <v>73</v>
      </c>
    </row>
    <row r="14" spans="1:13" x14ac:dyDescent="0.2">
      <c r="A14" s="4" t="s">
        <v>34</v>
      </c>
      <c r="B14" s="5">
        <v>2.5</v>
      </c>
      <c r="C14" s="4" t="s">
        <v>29</v>
      </c>
      <c r="E14" s="10" t="s">
        <v>35</v>
      </c>
      <c r="F14" s="11"/>
    </row>
    <row r="15" spans="1:13" x14ac:dyDescent="0.2">
      <c r="A15" s="4" t="s">
        <v>33</v>
      </c>
      <c r="B15" s="5">
        <v>4</v>
      </c>
      <c r="C15" s="4" t="s">
        <v>59</v>
      </c>
      <c r="E15" s="23" t="s">
        <v>61</v>
      </c>
      <c r="F15" s="23"/>
      <c r="G15" s="23"/>
      <c r="J15" s="23" t="s">
        <v>102</v>
      </c>
      <c r="K15" s="23"/>
    </row>
    <row r="16" spans="1:13" ht="20.25" x14ac:dyDescent="0.2">
      <c r="B16" s="5"/>
      <c r="E16" s="4" t="s">
        <v>13</v>
      </c>
      <c r="F16" s="5">
        <v>0.6</v>
      </c>
      <c r="G16" s="4" t="s">
        <v>29</v>
      </c>
      <c r="J16" s="4" t="s">
        <v>91</v>
      </c>
      <c r="K16" s="4">
        <f>0.6*0.5*B13*0.78*((22/7)/4)*B14^2*0.85</f>
        <v>5.0790535714285721</v>
      </c>
      <c r="L16" s="4" t="s">
        <v>1</v>
      </c>
      <c r="M16" s="19" t="str">
        <f>IF(K16&gt;=F6/B15,"Safe","Unsafe")</f>
        <v>Safe</v>
      </c>
    </row>
    <row r="17" spans="1:13" ht="21" x14ac:dyDescent="0.2">
      <c r="A17" s="23" t="s">
        <v>30</v>
      </c>
      <c r="B17" s="23"/>
      <c r="C17" s="23"/>
      <c r="E17" s="4" t="s">
        <v>89</v>
      </c>
      <c r="F17" s="4">
        <f>2*F16*0.8*0.1*F9</f>
        <v>40.396799999999999</v>
      </c>
      <c r="G17" s="4" t="s">
        <v>78</v>
      </c>
      <c r="J17" s="4" t="s">
        <v>100</v>
      </c>
      <c r="K17" s="4">
        <f>0.7*0.66*B13*0.78*((22/7)/4)*B14^2*0.85</f>
        <v>7.8217425</v>
      </c>
      <c r="L17" s="4" t="s">
        <v>1</v>
      </c>
      <c r="M17" s="13" t="str">
        <f>IF(K17&gt;=F5/B15,"Safe","Unsafe")</f>
        <v>Safe</v>
      </c>
    </row>
    <row r="18" spans="1:13" ht="21" x14ac:dyDescent="0.2">
      <c r="A18" s="4" t="s">
        <v>31</v>
      </c>
      <c r="B18" s="4">
        <f>2+0.1*F10</f>
        <v>21</v>
      </c>
      <c r="C18" s="4" t="s">
        <v>29</v>
      </c>
      <c r="E18" s="4" t="s">
        <v>90</v>
      </c>
      <c r="F18" s="4">
        <f>2*F16*0.1*F10+4*F16*0.4*0.1*F10</f>
        <v>41.040000000000006</v>
      </c>
      <c r="G18" s="4" t="s">
        <v>78</v>
      </c>
      <c r="J18" s="4" t="s">
        <v>101</v>
      </c>
      <c r="K18" s="4">
        <f>(F6/(4*K16))^2+(F5/(4*K17))^2</f>
        <v>0.90821132582846897</v>
      </c>
      <c r="L18" s="4" t="s">
        <v>1</v>
      </c>
      <c r="M18" s="18" t="str">
        <f>IF(K18&lt;=1,"Safe","Unsafe")</f>
        <v>Safe</v>
      </c>
    </row>
    <row r="19" spans="1:13" ht="21" x14ac:dyDescent="0.2">
      <c r="A19" s="4" t="s">
        <v>32</v>
      </c>
      <c r="B19" s="4">
        <f>2+0.1*(F9+2*F12)</f>
        <v>47</v>
      </c>
      <c r="C19" s="4" t="s">
        <v>29</v>
      </c>
      <c r="E19" s="4" t="s">
        <v>77</v>
      </c>
      <c r="F19" s="4">
        <f>F17+F18</f>
        <v>81.436800000000005</v>
      </c>
      <c r="G19" s="4" t="s">
        <v>78</v>
      </c>
      <c r="M19" s="13"/>
    </row>
    <row r="20" spans="1:13" ht="22.5" customHeight="1" x14ac:dyDescent="0.2">
      <c r="E20" s="4" t="s">
        <v>27</v>
      </c>
      <c r="F20" s="4">
        <f>F5/F19</f>
        <v>0.35610436559393294</v>
      </c>
      <c r="G20" s="4" t="s">
        <v>73</v>
      </c>
      <c r="J20" s="23" t="s">
        <v>103</v>
      </c>
      <c r="K20" s="23"/>
      <c r="L20" s="23"/>
    </row>
    <row r="21" spans="1:13" ht="21" x14ac:dyDescent="0.2">
      <c r="E21" s="4" t="s">
        <v>37</v>
      </c>
      <c r="F21" s="4">
        <f>F6/F17</f>
        <v>0.11139496197718632</v>
      </c>
      <c r="G21" s="4" t="s">
        <v>73</v>
      </c>
      <c r="J21" s="4" t="s">
        <v>49</v>
      </c>
      <c r="K21" s="5">
        <v>5</v>
      </c>
      <c r="L21" s="4" t="s">
        <v>29</v>
      </c>
    </row>
    <row r="22" spans="1:13" ht="21" x14ac:dyDescent="0.2">
      <c r="E22" s="4" t="s">
        <v>98</v>
      </c>
      <c r="F22" s="4">
        <f>SQRT(F20^2+3*(F21)^2)</f>
        <v>0.40501460696714853</v>
      </c>
      <c r="G22" s="4" t="s">
        <v>73</v>
      </c>
      <c r="H22" s="13" t="str">
        <f>IF(F22&lt;=1.1*0.7*0.4*B6,"Safe","Unsafe")</f>
        <v>Safe</v>
      </c>
      <c r="J22" s="4" t="s">
        <v>58</v>
      </c>
      <c r="K22" s="4">
        <f>2*K21</f>
        <v>10</v>
      </c>
      <c r="L22" s="4" t="s">
        <v>29</v>
      </c>
    </row>
    <row r="23" spans="1:13" ht="20.25" x14ac:dyDescent="0.2">
      <c r="J23" s="4" t="s">
        <v>70</v>
      </c>
      <c r="K23" s="4">
        <f>(F5/B15)*K21</f>
        <v>36.25</v>
      </c>
      <c r="L23" s="4" t="s">
        <v>43</v>
      </c>
    </row>
    <row r="24" spans="1:13" ht="20.25" x14ac:dyDescent="0.2">
      <c r="J24" s="4" t="s">
        <v>87</v>
      </c>
      <c r="K24" s="4">
        <f>ROUNDUP(SQRT((4*K23)/(K22*0.85*B5)),1)</f>
        <v>2.7</v>
      </c>
      <c r="L24" s="4" t="s">
        <v>29</v>
      </c>
      <c r="M24" s="4" t="str">
        <f>IF(K24&lt;2,"Take Min. tp= 2cm","Ok")</f>
        <v>Ok</v>
      </c>
    </row>
  </sheetData>
  <mergeCells count="11">
    <mergeCell ref="E15:G15"/>
    <mergeCell ref="A17:C17"/>
    <mergeCell ref="J15:K15"/>
    <mergeCell ref="J20:L20"/>
    <mergeCell ref="J4:M5"/>
    <mergeCell ref="B4:C4"/>
    <mergeCell ref="E4:G4"/>
    <mergeCell ref="A8:C8"/>
    <mergeCell ref="E8:G8"/>
    <mergeCell ref="A11:C11"/>
    <mergeCell ref="B12:C12"/>
  </mergeCells>
  <conditionalFormatting sqref="H22 M16:M19">
    <cfRule type="cellIs" dxfId="29" priority="1" operator="equal">
      <formula>"Unsafe"</formula>
    </cfRule>
    <cfRule type="cellIs" dxfId="28" priority="2" operator="equal">
      <formula>"Safe"</formula>
    </cfRule>
  </conditionalFormatting>
  <dataValidations count="2">
    <dataValidation type="list" allowBlank="1" showInputMessage="1" showErrorMessage="1" sqref="J2:K2" xr:uid="{018AF527-BF52-43DC-A338-4B49509E3B85}">
      <formula1>$B$1:$B$2</formula1>
    </dataValidation>
    <dataValidation type="list" allowBlank="1" showInputMessage="1" showErrorMessage="1" sqref="B4" xr:uid="{2E9E325C-EAF3-4CC6-B4E9-7E2E8D8C083D}">
      <formula1>$A$1:$A$3</formula1>
    </dataValidation>
  </dataValidations>
  <pageMargins left="0.7" right="0.7" top="0.75" bottom="0.75" header="0.3" footer="0.3"/>
  <pageSetup paperSize="9"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4FBA-A0B1-4D1B-9B98-C1D9534CD24E}">
  <sheetPr>
    <pageSetUpPr fitToPage="1"/>
  </sheetPr>
  <dimension ref="A1:AY50"/>
  <sheetViews>
    <sheetView showGridLines="0" view="pageBreakPreview" topLeftCell="A37" zoomScale="70" zoomScaleNormal="100" zoomScaleSheetLayoutView="70" workbookViewId="0">
      <selection activeCell="G49" sqref="G49"/>
    </sheetView>
  </sheetViews>
  <sheetFormatPr defaultRowHeight="18.75" x14ac:dyDescent="0.2"/>
  <cols>
    <col min="1" max="1" width="8.75" style="3" customWidth="1"/>
    <col min="2" max="3" width="9" style="3"/>
    <col min="4" max="4" width="10.875" style="3" customWidth="1"/>
    <col min="5" max="5" width="9" style="3"/>
    <col min="6" max="6" width="13" style="3" bestFit="1" customWidth="1"/>
    <col min="7" max="7" width="10.625" style="3" customWidth="1"/>
    <col min="8" max="8" width="9" style="3"/>
    <col min="9" max="9" width="11.125" style="3" bestFit="1" customWidth="1"/>
    <col min="10" max="10" width="9" style="3"/>
    <col min="11" max="11" width="9.625" style="3" customWidth="1"/>
    <col min="12" max="16384" width="9" style="3"/>
  </cols>
  <sheetData>
    <row r="1" spans="1:51" x14ac:dyDescent="0.2">
      <c r="A1" s="12">
        <v>37</v>
      </c>
      <c r="B1" s="12" t="s">
        <v>2</v>
      </c>
      <c r="C1" s="14" t="s">
        <v>50</v>
      </c>
      <c r="W1" s="23" t="s">
        <v>2</v>
      </c>
      <c r="X1" s="23"/>
      <c r="AO1" s="23" t="s">
        <v>18</v>
      </c>
      <c r="AP1" s="23"/>
    </row>
    <row r="2" spans="1:51" x14ac:dyDescent="0.2">
      <c r="A2" s="12">
        <v>44</v>
      </c>
      <c r="B2" s="12" t="s">
        <v>18</v>
      </c>
      <c r="C2" s="14" t="s">
        <v>51</v>
      </c>
      <c r="S2" s="1" t="s">
        <v>3</v>
      </c>
      <c r="T2" s="1" t="s">
        <v>4</v>
      </c>
      <c r="U2" s="1" t="s">
        <v>5</v>
      </c>
      <c r="V2" s="24" t="s">
        <v>6</v>
      </c>
      <c r="W2" s="24"/>
      <c r="X2" s="24"/>
      <c r="Y2" s="24"/>
      <c r="Z2" s="24"/>
      <c r="AA2" s="24"/>
      <c r="AB2" s="24"/>
      <c r="AC2" s="24" t="s">
        <v>7</v>
      </c>
      <c r="AD2" s="24"/>
      <c r="AE2" s="24"/>
      <c r="AF2" s="24" t="s">
        <v>8</v>
      </c>
      <c r="AG2" s="24"/>
      <c r="AH2" s="24"/>
      <c r="AK2" s="1" t="s">
        <v>3</v>
      </c>
      <c r="AL2" s="1" t="s">
        <v>4</v>
      </c>
      <c r="AM2" s="1" t="s">
        <v>5</v>
      </c>
      <c r="AN2" s="24" t="s">
        <v>6</v>
      </c>
      <c r="AO2" s="24"/>
      <c r="AP2" s="24"/>
      <c r="AQ2" s="24"/>
      <c r="AR2" s="24"/>
      <c r="AS2" s="24"/>
      <c r="AT2" s="24" t="s">
        <v>7</v>
      </c>
      <c r="AU2" s="24"/>
      <c r="AV2" s="24"/>
      <c r="AW2" s="24" t="s">
        <v>8</v>
      </c>
      <c r="AX2" s="24"/>
      <c r="AY2" s="24"/>
    </row>
    <row r="3" spans="1:51" ht="21.75" x14ac:dyDescent="0.2">
      <c r="A3" s="12">
        <v>52</v>
      </c>
      <c r="S3" s="1" t="s">
        <v>9</v>
      </c>
      <c r="T3" s="1" t="s">
        <v>63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1" t="s">
        <v>16</v>
      </c>
      <c r="AB3" s="1" t="s">
        <v>17</v>
      </c>
      <c r="AC3" s="1" t="s">
        <v>64</v>
      </c>
      <c r="AD3" s="1" t="s">
        <v>65</v>
      </c>
      <c r="AE3" s="1" t="s">
        <v>66</v>
      </c>
      <c r="AF3" s="1" t="s">
        <v>67</v>
      </c>
      <c r="AG3" s="1" t="s">
        <v>68</v>
      </c>
      <c r="AH3" s="1" t="s">
        <v>69</v>
      </c>
      <c r="AK3" s="1" t="s">
        <v>9</v>
      </c>
      <c r="AL3" s="1" t="s">
        <v>63</v>
      </c>
      <c r="AM3" s="1" t="s">
        <v>10</v>
      </c>
      <c r="AN3" s="1" t="s">
        <v>11</v>
      </c>
      <c r="AO3" s="1" t="s">
        <v>12</v>
      </c>
      <c r="AP3" s="1" t="s">
        <v>13</v>
      </c>
      <c r="AQ3" s="1" t="s">
        <v>15</v>
      </c>
      <c r="AR3" s="1" t="s">
        <v>16</v>
      </c>
      <c r="AS3" s="1" t="s">
        <v>17</v>
      </c>
      <c r="AT3" s="1" t="s">
        <v>64</v>
      </c>
      <c r="AU3" s="1" t="s">
        <v>65</v>
      </c>
      <c r="AV3" s="1" t="s">
        <v>66</v>
      </c>
      <c r="AW3" s="1" t="s">
        <v>67</v>
      </c>
      <c r="AX3" s="1" t="s">
        <v>68</v>
      </c>
      <c r="AY3" s="1" t="s">
        <v>69</v>
      </c>
    </row>
    <row r="4" spans="1:51" x14ac:dyDescent="0.3">
      <c r="A4" s="3" t="s">
        <v>62</v>
      </c>
      <c r="B4" s="9">
        <v>37</v>
      </c>
      <c r="C4" s="9"/>
      <c r="D4" s="9"/>
      <c r="F4" s="23" t="s">
        <v>0</v>
      </c>
      <c r="G4" s="23"/>
      <c r="H4" s="23"/>
      <c r="M4" s="23" t="s">
        <v>22</v>
      </c>
      <c r="N4" s="23"/>
      <c r="O4" s="23"/>
      <c r="S4" s="6">
        <v>80</v>
      </c>
      <c r="T4" s="7">
        <v>7.64</v>
      </c>
      <c r="U4" s="6">
        <v>6</v>
      </c>
      <c r="V4" s="6">
        <v>80</v>
      </c>
      <c r="W4" s="6">
        <v>46</v>
      </c>
      <c r="X4" s="8">
        <v>3.8</v>
      </c>
      <c r="Y4" s="6">
        <v>5</v>
      </c>
      <c r="Z4" s="8">
        <v>5.2</v>
      </c>
      <c r="AA4" s="8">
        <v>10.199999999999999</v>
      </c>
      <c r="AB4" s="6">
        <v>59</v>
      </c>
      <c r="AC4" s="8">
        <v>80.099999999999994</v>
      </c>
      <c r="AD4" s="6">
        <v>20</v>
      </c>
      <c r="AE4" s="7">
        <v>3.24</v>
      </c>
      <c r="AF4" s="7">
        <v>8.49</v>
      </c>
      <c r="AG4" s="7">
        <v>3.69</v>
      </c>
      <c r="AH4" s="7">
        <v>1.05</v>
      </c>
      <c r="AK4" s="6">
        <v>100</v>
      </c>
      <c r="AL4" s="6">
        <v>26</v>
      </c>
      <c r="AM4" s="8">
        <v>20.399999999999999</v>
      </c>
      <c r="AN4" s="6">
        <v>100</v>
      </c>
      <c r="AO4" s="6">
        <v>100</v>
      </c>
      <c r="AP4" s="6">
        <v>6</v>
      </c>
      <c r="AQ4" s="6">
        <v>10</v>
      </c>
      <c r="AR4" s="6">
        <v>22</v>
      </c>
      <c r="AS4" s="6">
        <v>56</v>
      </c>
      <c r="AT4" s="6">
        <v>450</v>
      </c>
      <c r="AU4" s="8">
        <v>89.9</v>
      </c>
      <c r="AV4" s="7">
        <v>4.16</v>
      </c>
      <c r="AW4" s="6">
        <v>167</v>
      </c>
      <c r="AX4" s="8">
        <v>33.5</v>
      </c>
      <c r="AY4" s="7">
        <v>2.5299999999999998</v>
      </c>
    </row>
    <row r="5" spans="1:51" ht="21" x14ac:dyDescent="0.2">
      <c r="A5" s="3" t="s">
        <v>72</v>
      </c>
      <c r="B5" s="3">
        <f>IF(B4=A1,2.4,IF(B4=A2,2.8,3.6))</f>
        <v>2.4</v>
      </c>
      <c r="D5" s="3" t="s">
        <v>73</v>
      </c>
      <c r="F5" s="4" t="s">
        <v>70</v>
      </c>
      <c r="G5" s="5">
        <v>900</v>
      </c>
      <c r="H5" s="4" t="s">
        <v>43</v>
      </c>
      <c r="M5" s="3" t="s">
        <v>19</v>
      </c>
      <c r="N5" s="5" t="s">
        <v>2</v>
      </c>
      <c r="O5" s="5"/>
      <c r="S5" s="6">
        <v>100</v>
      </c>
      <c r="T5" s="8">
        <v>10.3</v>
      </c>
      <c r="U5" s="8">
        <v>8.1</v>
      </c>
      <c r="V5" s="6">
        <v>100</v>
      </c>
      <c r="W5" s="6">
        <v>55</v>
      </c>
      <c r="X5" s="8">
        <v>4.0999999999999996</v>
      </c>
      <c r="Y5" s="6">
        <v>7</v>
      </c>
      <c r="Z5" s="8">
        <v>5.7</v>
      </c>
      <c r="AA5" s="8">
        <v>12.7</v>
      </c>
      <c r="AB5" s="6">
        <v>74</v>
      </c>
      <c r="AC5" s="6">
        <v>171</v>
      </c>
      <c r="AD5" s="8">
        <v>34.200000000000003</v>
      </c>
      <c r="AE5" s="7">
        <v>4.07</v>
      </c>
      <c r="AF5" s="8">
        <v>15.9</v>
      </c>
      <c r="AG5" s="7">
        <v>5.79</v>
      </c>
      <c r="AH5" s="7">
        <v>1.24</v>
      </c>
      <c r="AK5" s="6">
        <v>120</v>
      </c>
      <c r="AL5" s="6">
        <v>34</v>
      </c>
      <c r="AM5" s="8">
        <v>26.7</v>
      </c>
      <c r="AN5" s="6">
        <v>120</v>
      </c>
      <c r="AO5" s="6">
        <v>120</v>
      </c>
      <c r="AP5" s="8">
        <v>6.5</v>
      </c>
      <c r="AQ5" s="6">
        <v>11</v>
      </c>
      <c r="AR5" s="6">
        <v>23</v>
      </c>
      <c r="AS5" s="6">
        <v>74</v>
      </c>
      <c r="AT5" s="6">
        <v>864</v>
      </c>
      <c r="AU5" s="6">
        <v>144</v>
      </c>
      <c r="AV5" s="7">
        <v>5.04</v>
      </c>
      <c r="AW5" s="6">
        <v>318</v>
      </c>
      <c r="AX5" s="8">
        <v>52.9</v>
      </c>
      <c r="AY5" s="7">
        <v>3.06</v>
      </c>
    </row>
    <row r="6" spans="1:51" ht="21" x14ac:dyDescent="0.2">
      <c r="A6" s="3" t="s">
        <v>75</v>
      </c>
      <c r="B6" s="3">
        <f>IF(B4=A1,3.7,IF(B4=A2,4.4,5.2))</f>
        <v>3.7</v>
      </c>
      <c r="D6" s="3" t="s">
        <v>73</v>
      </c>
      <c r="F6" s="4" t="s">
        <v>71</v>
      </c>
      <c r="G6" s="5">
        <v>-20</v>
      </c>
      <c r="H6" s="4" t="s">
        <v>1</v>
      </c>
      <c r="M6" s="3" t="s">
        <v>20</v>
      </c>
      <c r="N6" s="3" t="s">
        <v>2</v>
      </c>
      <c r="O6" s="3" t="s">
        <v>18</v>
      </c>
      <c r="S6" s="6">
        <v>120</v>
      </c>
      <c r="T6" s="8">
        <v>13.2</v>
      </c>
      <c r="U6" s="8">
        <v>10.4</v>
      </c>
      <c r="V6" s="6">
        <v>120</v>
      </c>
      <c r="W6" s="6">
        <v>64</v>
      </c>
      <c r="X6" s="8">
        <v>4.4000000000000004</v>
      </c>
      <c r="Y6" s="6">
        <v>7</v>
      </c>
      <c r="Z6" s="8">
        <v>6.3</v>
      </c>
      <c r="AA6" s="8">
        <v>13.3</v>
      </c>
      <c r="AB6" s="6">
        <v>93</v>
      </c>
      <c r="AC6" s="6">
        <v>318</v>
      </c>
      <c r="AD6" s="6">
        <v>53</v>
      </c>
      <c r="AE6" s="8">
        <v>4.9000000000000004</v>
      </c>
      <c r="AF6" s="8">
        <v>27.7</v>
      </c>
      <c r="AG6" s="7">
        <v>8.65</v>
      </c>
      <c r="AH6" s="7">
        <v>1.45</v>
      </c>
      <c r="AK6" s="6">
        <v>140</v>
      </c>
      <c r="AL6" s="6">
        <v>43</v>
      </c>
      <c r="AM6" s="8">
        <v>33.700000000000003</v>
      </c>
      <c r="AN6" s="6">
        <v>140</v>
      </c>
      <c r="AO6" s="6">
        <v>140</v>
      </c>
      <c r="AP6" s="6">
        <v>7</v>
      </c>
      <c r="AQ6" s="6">
        <v>12</v>
      </c>
      <c r="AR6" s="6">
        <v>24</v>
      </c>
      <c r="AS6" s="6">
        <v>92</v>
      </c>
      <c r="AT6" s="6">
        <v>1510</v>
      </c>
      <c r="AU6" s="6">
        <v>216</v>
      </c>
      <c r="AV6" s="7">
        <v>5.93</v>
      </c>
      <c r="AW6" s="6">
        <v>550</v>
      </c>
      <c r="AX6" s="8">
        <v>78.5</v>
      </c>
      <c r="AY6" s="7">
        <v>3.58</v>
      </c>
    </row>
    <row r="7" spans="1:51" ht="20.25" x14ac:dyDescent="0.2">
      <c r="F7" s="4" t="s">
        <v>74</v>
      </c>
      <c r="G7" s="5">
        <v>4.5</v>
      </c>
      <c r="H7" s="4" t="s">
        <v>1</v>
      </c>
      <c r="N7" s="5">
        <v>500</v>
      </c>
      <c r="O7" s="5">
        <v>100</v>
      </c>
      <c r="S7" s="6">
        <v>140</v>
      </c>
      <c r="T7" s="8">
        <v>16.399999999999999</v>
      </c>
      <c r="U7" s="8">
        <v>12.9</v>
      </c>
      <c r="V7" s="6">
        <v>140</v>
      </c>
      <c r="W7" s="6">
        <v>73</v>
      </c>
      <c r="X7" s="8">
        <v>4.7</v>
      </c>
      <c r="Y7" s="6">
        <v>7</v>
      </c>
      <c r="Z7" s="8">
        <v>6.9</v>
      </c>
      <c r="AA7" s="8">
        <v>13.9</v>
      </c>
      <c r="AB7" s="6">
        <v>112</v>
      </c>
      <c r="AC7" s="6">
        <v>541</v>
      </c>
      <c r="AD7" s="8">
        <v>77.3</v>
      </c>
      <c r="AE7" s="7">
        <v>5.74</v>
      </c>
      <c r="AF7" s="8">
        <v>44.9</v>
      </c>
      <c r="AG7" s="8">
        <v>12.3</v>
      </c>
      <c r="AH7" s="7">
        <v>1.65</v>
      </c>
      <c r="AK7" s="6">
        <v>160</v>
      </c>
      <c r="AL7" s="8">
        <v>54.3</v>
      </c>
      <c r="AM7" s="8">
        <v>42.6</v>
      </c>
      <c r="AN7" s="6">
        <v>160</v>
      </c>
      <c r="AO7" s="6">
        <v>160</v>
      </c>
      <c r="AP7" s="6">
        <v>8</v>
      </c>
      <c r="AQ7" s="6">
        <v>13</v>
      </c>
      <c r="AR7" s="6">
        <v>28</v>
      </c>
      <c r="AS7" s="6">
        <v>104</v>
      </c>
      <c r="AT7" s="6">
        <v>2490</v>
      </c>
      <c r="AU7" s="6">
        <v>311</v>
      </c>
      <c r="AV7" s="7">
        <v>6.78</v>
      </c>
      <c r="AW7" s="6">
        <v>889</v>
      </c>
      <c r="AX7" s="6">
        <v>111</v>
      </c>
      <c r="AY7" s="7">
        <v>4.05</v>
      </c>
    </row>
    <row r="8" spans="1:51" ht="21" x14ac:dyDescent="0.2">
      <c r="A8" s="3" t="s">
        <v>76</v>
      </c>
      <c r="B8" s="5">
        <v>0.25</v>
      </c>
      <c r="C8" s="3" t="s">
        <v>73</v>
      </c>
      <c r="F8" s="4"/>
      <c r="G8" s="4"/>
      <c r="H8" s="4"/>
      <c r="M8" s="3" t="s">
        <v>11</v>
      </c>
      <c r="N8" s="3">
        <f>VLOOKUP(N7,table3,4,FALSE)</f>
        <v>500</v>
      </c>
      <c r="O8" s="3">
        <f>VLOOKUP(O7,table2,4,FALSE)</f>
        <v>100</v>
      </c>
      <c r="S8" s="6">
        <v>160</v>
      </c>
      <c r="T8" s="8">
        <v>20.100000000000001</v>
      </c>
      <c r="U8" s="8">
        <v>15.8</v>
      </c>
      <c r="V8" s="6">
        <v>160</v>
      </c>
      <c r="W8" s="6">
        <v>82</v>
      </c>
      <c r="X8" s="6">
        <v>5</v>
      </c>
      <c r="Y8" s="6">
        <v>9</v>
      </c>
      <c r="Z8" s="8">
        <v>7.4</v>
      </c>
      <c r="AA8" s="8">
        <v>16.399999999999999</v>
      </c>
      <c r="AB8" s="6">
        <v>127</v>
      </c>
      <c r="AC8" s="6">
        <v>869</v>
      </c>
      <c r="AD8" s="6">
        <v>109</v>
      </c>
      <c r="AE8" s="7">
        <v>6.58</v>
      </c>
      <c r="AF8" s="8">
        <v>68.3</v>
      </c>
      <c r="AG8" s="8">
        <v>16.7</v>
      </c>
      <c r="AH8" s="7">
        <v>1.84</v>
      </c>
      <c r="AK8" s="6">
        <v>180</v>
      </c>
      <c r="AL8" s="8">
        <v>65.3</v>
      </c>
      <c r="AM8" s="8">
        <v>51.2</v>
      </c>
      <c r="AN8" s="6">
        <v>180</v>
      </c>
      <c r="AO8" s="6">
        <v>180</v>
      </c>
      <c r="AP8" s="8">
        <v>8.5</v>
      </c>
      <c r="AQ8" s="6">
        <v>14</v>
      </c>
      <c r="AR8" s="6">
        <v>29</v>
      </c>
      <c r="AS8" s="6">
        <v>122</v>
      </c>
      <c r="AT8" s="6">
        <v>3830</v>
      </c>
      <c r="AU8" s="6">
        <v>426</v>
      </c>
      <c r="AV8" s="7">
        <v>7.66</v>
      </c>
      <c r="AW8" s="6">
        <v>1360</v>
      </c>
      <c r="AX8" s="6">
        <v>151</v>
      </c>
      <c r="AY8" s="7">
        <v>4.57</v>
      </c>
    </row>
    <row r="9" spans="1:51" x14ac:dyDescent="0.2">
      <c r="F9" s="23" t="s">
        <v>23</v>
      </c>
      <c r="G9" s="23"/>
      <c r="H9" s="23"/>
      <c r="M9" s="3" t="s">
        <v>12</v>
      </c>
      <c r="N9" s="3">
        <f>VLOOKUP(N7,table3,5,FALSE)</f>
        <v>200</v>
      </c>
      <c r="O9" s="3">
        <f>VLOOKUP(O7,table2,5,FALSE)</f>
        <v>100</v>
      </c>
      <c r="S9" s="6">
        <v>180</v>
      </c>
      <c r="T9" s="8">
        <v>23.9</v>
      </c>
      <c r="U9" s="8">
        <v>18.8</v>
      </c>
      <c r="V9" s="6">
        <v>180</v>
      </c>
      <c r="W9" s="6">
        <v>91</v>
      </c>
      <c r="X9" s="8">
        <v>5.3</v>
      </c>
      <c r="Y9" s="6">
        <v>9</v>
      </c>
      <c r="Z9" s="6">
        <v>8</v>
      </c>
      <c r="AA9" s="6">
        <v>17</v>
      </c>
      <c r="AB9" s="6">
        <v>146</v>
      </c>
      <c r="AC9" s="6">
        <v>1320</v>
      </c>
      <c r="AD9" s="6">
        <v>146</v>
      </c>
      <c r="AE9" s="7">
        <v>7.42</v>
      </c>
      <c r="AF9" s="6">
        <v>101</v>
      </c>
      <c r="AG9" s="8">
        <v>22.2</v>
      </c>
      <c r="AH9" s="7">
        <v>2.0499999999999998</v>
      </c>
      <c r="AK9" s="6">
        <v>200</v>
      </c>
      <c r="AL9" s="8">
        <v>78.099999999999994</v>
      </c>
      <c r="AM9" s="8">
        <v>61.3</v>
      </c>
      <c r="AN9" s="6">
        <v>200</v>
      </c>
      <c r="AO9" s="6">
        <v>200</v>
      </c>
      <c r="AP9" s="6">
        <v>9</v>
      </c>
      <c r="AQ9" s="6">
        <v>15</v>
      </c>
      <c r="AR9" s="6">
        <v>33</v>
      </c>
      <c r="AS9" s="6">
        <v>134</v>
      </c>
      <c r="AT9" s="6">
        <v>5700</v>
      </c>
      <c r="AU9" s="6">
        <v>570</v>
      </c>
      <c r="AV9" s="7">
        <v>8.5399999999999991</v>
      </c>
      <c r="AW9" s="6">
        <v>2000</v>
      </c>
      <c r="AX9" s="6">
        <v>200</v>
      </c>
      <c r="AY9" s="7">
        <v>5.07</v>
      </c>
    </row>
    <row r="10" spans="1:51" x14ac:dyDescent="0.2">
      <c r="A10" s="30" t="s">
        <v>25</v>
      </c>
      <c r="B10" s="30"/>
      <c r="C10" s="30"/>
      <c r="F10" s="4" t="s">
        <v>11</v>
      </c>
      <c r="G10" s="4">
        <f>IF(N5=B1,N8,O8)</f>
        <v>500</v>
      </c>
      <c r="H10" s="4" t="s">
        <v>24</v>
      </c>
      <c r="M10" s="3" t="s">
        <v>13</v>
      </c>
      <c r="N10" s="3">
        <f>VLOOKUP(N7,table3,6,FALSE)</f>
        <v>10.199999999999999</v>
      </c>
      <c r="O10" s="3">
        <f>VLOOKUP(O7,table2,6,FALSE)</f>
        <v>6</v>
      </c>
      <c r="S10" s="6">
        <v>200</v>
      </c>
      <c r="T10" s="8">
        <v>28.5</v>
      </c>
      <c r="U10" s="8">
        <v>22.4</v>
      </c>
      <c r="V10" s="6">
        <v>200</v>
      </c>
      <c r="W10" s="6">
        <v>100</v>
      </c>
      <c r="X10" s="8">
        <v>5.6</v>
      </c>
      <c r="Y10" s="6">
        <v>12</v>
      </c>
      <c r="Z10" s="8">
        <v>8.5</v>
      </c>
      <c r="AA10" s="8">
        <v>20.5</v>
      </c>
      <c r="AB10" s="6">
        <v>159</v>
      </c>
      <c r="AC10" s="6">
        <v>1940</v>
      </c>
      <c r="AD10" s="6">
        <v>194</v>
      </c>
      <c r="AE10" s="7">
        <v>8.26</v>
      </c>
      <c r="AF10" s="6">
        <v>142</v>
      </c>
      <c r="AG10" s="8">
        <v>28.5</v>
      </c>
      <c r="AH10" s="7">
        <v>2.2400000000000002</v>
      </c>
      <c r="AK10" s="6">
        <v>220</v>
      </c>
      <c r="AL10" s="6">
        <v>91</v>
      </c>
      <c r="AM10" s="8">
        <v>71.5</v>
      </c>
      <c r="AN10" s="6">
        <v>220</v>
      </c>
      <c r="AO10" s="6">
        <v>220</v>
      </c>
      <c r="AP10" s="8">
        <v>9.5</v>
      </c>
      <c r="AQ10" s="6">
        <v>16</v>
      </c>
      <c r="AR10" s="6">
        <v>34</v>
      </c>
      <c r="AS10" s="6">
        <v>152</v>
      </c>
      <c r="AT10" s="6">
        <v>8090</v>
      </c>
      <c r="AU10" s="6">
        <v>736</v>
      </c>
      <c r="AV10" s="7">
        <v>9.43</v>
      </c>
      <c r="AW10" s="6">
        <v>2840</v>
      </c>
      <c r="AX10" s="6">
        <v>258</v>
      </c>
      <c r="AY10" s="7">
        <v>5.59</v>
      </c>
    </row>
    <row r="11" spans="1:51" x14ac:dyDescent="0.2">
      <c r="A11" s="3" t="s">
        <v>26</v>
      </c>
      <c r="B11" s="25" t="s">
        <v>28</v>
      </c>
      <c r="C11" s="25"/>
      <c r="F11" s="4" t="s">
        <v>12</v>
      </c>
      <c r="G11" s="4">
        <f>IF(N5=B1,N9,O9)</f>
        <v>200</v>
      </c>
      <c r="H11" s="4" t="s">
        <v>24</v>
      </c>
      <c r="M11" s="3" t="s">
        <v>15</v>
      </c>
      <c r="N11" s="3">
        <f>VLOOKUP(N7,table3,8,FALSE)</f>
        <v>16</v>
      </c>
      <c r="O11" s="3">
        <f>VLOOKUP(O7,table2,7,FALSE)</f>
        <v>10</v>
      </c>
      <c r="S11" s="6">
        <v>220</v>
      </c>
      <c r="T11" s="8">
        <v>33.4</v>
      </c>
      <c r="U11" s="8">
        <v>26.2</v>
      </c>
      <c r="V11" s="6">
        <v>220</v>
      </c>
      <c r="W11" s="6">
        <v>110</v>
      </c>
      <c r="X11" s="8">
        <v>5.9</v>
      </c>
      <c r="Y11" s="6">
        <v>12</v>
      </c>
      <c r="Z11" s="8">
        <v>9.1999999999999993</v>
      </c>
      <c r="AA11" s="8">
        <v>21.2</v>
      </c>
      <c r="AB11" s="6">
        <v>177</v>
      </c>
      <c r="AC11" s="6">
        <v>2770</v>
      </c>
      <c r="AD11" s="6">
        <v>252</v>
      </c>
      <c r="AE11" s="7">
        <v>9.11</v>
      </c>
      <c r="AF11" s="6">
        <v>205</v>
      </c>
      <c r="AG11" s="8">
        <v>37.299999999999997</v>
      </c>
      <c r="AH11" s="7">
        <v>2.48</v>
      </c>
      <c r="AK11" s="6">
        <v>240</v>
      </c>
      <c r="AL11" s="6">
        <v>106</v>
      </c>
      <c r="AM11" s="8">
        <v>83.2</v>
      </c>
      <c r="AN11" s="6">
        <v>240</v>
      </c>
      <c r="AO11" s="6">
        <v>240</v>
      </c>
      <c r="AP11" s="6">
        <v>10</v>
      </c>
      <c r="AQ11" s="6">
        <v>17</v>
      </c>
      <c r="AR11" s="6">
        <v>38</v>
      </c>
      <c r="AS11" s="6">
        <v>164</v>
      </c>
      <c r="AT11" s="6">
        <v>11260</v>
      </c>
      <c r="AU11" s="6">
        <v>938</v>
      </c>
      <c r="AV11" s="8">
        <v>10.3</v>
      </c>
      <c r="AW11" s="6">
        <v>3920</v>
      </c>
      <c r="AX11" s="6">
        <v>327</v>
      </c>
      <c r="AY11" s="7">
        <v>6.08</v>
      </c>
    </row>
    <row r="12" spans="1:51" ht="21" x14ac:dyDescent="0.2">
      <c r="A12" s="3" t="s">
        <v>75</v>
      </c>
      <c r="B12" s="5">
        <v>5.2</v>
      </c>
      <c r="C12" s="3" t="s">
        <v>73</v>
      </c>
      <c r="F12" s="4" t="s">
        <v>13</v>
      </c>
      <c r="G12" s="4">
        <f>IF(N5=B1,N10,O10)</f>
        <v>10.199999999999999</v>
      </c>
      <c r="H12" s="4" t="s">
        <v>24</v>
      </c>
      <c r="S12" s="6">
        <v>240</v>
      </c>
      <c r="T12" s="8">
        <v>39.1</v>
      </c>
      <c r="U12" s="8">
        <v>30.7</v>
      </c>
      <c r="V12" s="6">
        <v>240</v>
      </c>
      <c r="W12" s="6">
        <v>120</v>
      </c>
      <c r="X12" s="8">
        <v>6.2</v>
      </c>
      <c r="Y12" s="6">
        <v>15</v>
      </c>
      <c r="Z12" s="8">
        <v>9.8000000000000007</v>
      </c>
      <c r="AA12" s="8">
        <v>24.8</v>
      </c>
      <c r="AB12" s="6">
        <v>190</v>
      </c>
      <c r="AC12" s="6">
        <v>3890</v>
      </c>
      <c r="AD12" s="6">
        <v>324</v>
      </c>
      <c r="AE12" s="7">
        <v>9.9700000000000006</v>
      </c>
      <c r="AF12" s="6">
        <v>284</v>
      </c>
      <c r="AG12" s="8">
        <v>47.3</v>
      </c>
      <c r="AH12" s="7">
        <v>2.69</v>
      </c>
      <c r="AK12" s="6">
        <v>260</v>
      </c>
      <c r="AL12" s="6">
        <v>118</v>
      </c>
      <c r="AM12" s="6">
        <v>93</v>
      </c>
      <c r="AN12" s="6">
        <v>260</v>
      </c>
      <c r="AO12" s="6">
        <v>260</v>
      </c>
      <c r="AP12" s="6">
        <v>10</v>
      </c>
      <c r="AQ12" s="8">
        <v>17.5</v>
      </c>
      <c r="AR12" s="8">
        <v>41.5</v>
      </c>
      <c r="AS12" s="6">
        <v>177</v>
      </c>
      <c r="AT12" s="6">
        <v>14920</v>
      </c>
      <c r="AU12" s="6">
        <v>1150</v>
      </c>
      <c r="AV12" s="8">
        <v>11.2</v>
      </c>
      <c r="AW12" s="6">
        <v>5130</v>
      </c>
      <c r="AX12" s="6">
        <v>395</v>
      </c>
      <c r="AY12" s="7">
        <v>6.58</v>
      </c>
    </row>
    <row r="13" spans="1:51" x14ac:dyDescent="0.2">
      <c r="A13" s="3" t="s">
        <v>34</v>
      </c>
      <c r="B13" s="5">
        <v>2</v>
      </c>
      <c r="C13" s="3" t="s">
        <v>29</v>
      </c>
      <c r="F13" s="3" t="s">
        <v>15</v>
      </c>
      <c r="G13" s="3">
        <f>IF(N5=B1,N11,O11)</f>
        <v>16</v>
      </c>
      <c r="H13" s="3" t="s">
        <v>24</v>
      </c>
      <c r="S13" s="6">
        <v>270</v>
      </c>
      <c r="T13" s="8">
        <v>45.9</v>
      </c>
      <c r="U13" s="8">
        <v>36.1</v>
      </c>
      <c r="V13" s="6">
        <v>270</v>
      </c>
      <c r="W13" s="6">
        <v>135</v>
      </c>
      <c r="X13" s="8">
        <v>6.6</v>
      </c>
      <c r="Y13" s="6">
        <v>15</v>
      </c>
      <c r="Z13" s="8">
        <v>10.199999999999999</v>
      </c>
      <c r="AA13" s="8">
        <v>25.2</v>
      </c>
      <c r="AB13" s="6">
        <v>219</v>
      </c>
      <c r="AC13" s="6">
        <v>5790</v>
      </c>
      <c r="AD13" s="6">
        <v>429</v>
      </c>
      <c r="AE13" s="8">
        <v>11.2</v>
      </c>
      <c r="AF13" s="6">
        <v>420</v>
      </c>
      <c r="AG13" s="8">
        <v>62.2</v>
      </c>
      <c r="AH13" s="7">
        <v>3.02</v>
      </c>
      <c r="AK13" s="6">
        <v>280</v>
      </c>
      <c r="AL13" s="6">
        <v>131</v>
      </c>
      <c r="AM13" s="6">
        <v>103</v>
      </c>
      <c r="AN13" s="6">
        <v>280</v>
      </c>
      <c r="AO13" s="6">
        <v>280</v>
      </c>
      <c r="AP13" s="8">
        <v>10.5</v>
      </c>
      <c r="AQ13" s="6">
        <v>18</v>
      </c>
      <c r="AR13" s="6">
        <v>42</v>
      </c>
      <c r="AS13" s="6">
        <v>196</v>
      </c>
      <c r="AT13" s="6">
        <v>19270</v>
      </c>
      <c r="AU13" s="6">
        <v>1380</v>
      </c>
      <c r="AV13" s="8">
        <v>12.1</v>
      </c>
      <c r="AW13" s="6">
        <v>6590</v>
      </c>
      <c r="AX13" s="6">
        <v>471</v>
      </c>
      <c r="AY13" s="7">
        <v>7.09</v>
      </c>
    </row>
    <row r="14" spans="1:51" x14ac:dyDescent="0.2">
      <c r="A14" s="3" t="s">
        <v>33</v>
      </c>
      <c r="B14" s="5">
        <v>4</v>
      </c>
      <c r="C14" s="3" t="s">
        <v>52</v>
      </c>
      <c r="S14" s="6">
        <v>300</v>
      </c>
      <c r="T14" s="8">
        <v>53.8</v>
      </c>
      <c r="U14" s="8">
        <v>42.2</v>
      </c>
      <c r="V14" s="6">
        <v>300</v>
      </c>
      <c r="W14" s="6">
        <v>150</v>
      </c>
      <c r="X14" s="8">
        <v>7.1</v>
      </c>
      <c r="Y14" s="6">
        <v>15</v>
      </c>
      <c r="Z14" s="8">
        <v>10.7</v>
      </c>
      <c r="AA14" s="8">
        <v>25.7</v>
      </c>
      <c r="AB14" s="6">
        <v>248</v>
      </c>
      <c r="AC14" s="6">
        <v>8360</v>
      </c>
      <c r="AD14" s="6">
        <v>557</v>
      </c>
      <c r="AE14" s="8">
        <v>12.5</v>
      </c>
      <c r="AF14" s="6">
        <v>604</v>
      </c>
      <c r="AG14" s="8">
        <v>80.5</v>
      </c>
      <c r="AH14" s="7">
        <v>3.35</v>
      </c>
      <c r="AK14" s="6">
        <v>300</v>
      </c>
      <c r="AL14" s="6">
        <v>149</v>
      </c>
      <c r="AM14" s="6">
        <v>117</v>
      </c>
      <c r="AN14" s="6">
        <v>300</v>
      </c>
      <c r="AO14" s="6">
        <v>300</v>
      </c>
      <c r="AP14" s="6">
        <v>11</v>
      </c>
      <c r="AQ14" s="6">
        <v>19</v>
      </c>
      <c r="AR14" s="6">
        <v>46</v>
      </c>
      <c r="AS14" s="6">
        <v>208</v>
      </c>
      <c r="AT14" s="6">
        <v>25170</v>
      </c>
      <c r="AU14" s="6">
        <v>1680</v>
      </c>
      <c r="AV14" s="6">
        <v>13</v>
      </c>
      <c r="AW14" s="6">
        <v>8560</v>
      </c>
      <c r="AX14" s="6">
        <v>571</v>
      </c>
      <c r="AY14" s="7">
        <v>7.58</v>
      </c>
    </row>
    <row r="15" spans="1:51" x14ac:dyDescent="0.2">
      <c r="S15" s="6">
        <v>330</v>
      </c>
      <c r="T15" s="8">
        <v>62.6</v>
      </c>
      <c r="U15" s="8">
        <v>49.1</v>
      </c>
      <c r="V15" s="6">
        <v>330</v>
      </c>
      <c r="W15" s="6">
        <v>160</v>
      </c>
      <c r="X15" s="8">
        <v>7.5</v>
      </c>
      <c r="Y15" s="6">
        <v>18</v>
      </c>
      <c r="Z15" s="8">
        <v>11.5</v>
      </c>
      <c r="AA15" s="8">
        <v>29.5</v>
      </c>
      <c r="AB15" s="6">
        <v>271</v>
      </c>
      <c r="AC15" s="6">
        <v>11770</v>
      </c>
      <c r="AD15" s="6">
        <v>713</v>
      </c>
      <c r="AE15" s="8">
        <v>13.7</v>
      </c>
      <c r="AF15" s="6">
        <v>788</v>
      </c>
      <c r="AG15" s="8">
        <v>98.5</v>
      </c>
      <c r="AH15" s="7">
        <v>3.55</v>
      </c>
      <c r="AK15" s="6">
        <v>320</v>
      </c>
      <c r="AL15" s="6">
        <v>161</v>
      </c>
      <c r="AM15" s="6">
        <v>127</v>
      </c>
      <c r="AN15" s="6">
        <v>320</v>
      </c>
      <c r="AO15" s="6">
        <v>300</v>
      </c>
      <c r="AP15" s="8">
        <v>11.5</v>
      </c>
      <c r="AQ15" s="8">
        <v>20.5</v>
      </c>
      <c r="AR15" s="8">
        <v>47.5</v>
      </c>
      <c r="AS15" s="6">
        <v>225</v>
      </c>
      <c r="AT15" s="6">
        <v>30820</v>
      </c>
      <c r="AU15" s="6">
        <v>1930</v>
      </c>
      <c r="AV15" s="8">
        <v>13.8</v>
      </c>
      <c r="AW15" s="6">
        <v>9240</v>
      </c>
      <c r="AX15" s="6">
        <v>616</v>
      </c>
      <c r="AY15" s="7">
        <v>7.57</v>
      </c>
    </row>
    <row r="16" spans="1:51" x14ac:dyDescent="0.2">
      <c r="A16" s="30" t="s">
        <v>30</v>
      </c>
      <c r="B16" s="30"/>
      <c r="C16" s="30"/>
      <c r="F16" s="10" t="s">
        <v>35</v>
      </c>
      <c r="S16" s="6">
        <v>360</v>
      </c>
      <c r="T16" s="8">
        <v>72.7</v>
      </c>
      <c r="U16" s="8">
        <v>57.1</v>
      </c>
      <c r="V16" s="6">
        <v>360</v>
      </c>
      <c r="W16" s="6">
        <v>170</v>
      </c>
      <c r="X16" s="6">
        <v>8</v>
      </c>
      <c r="Y16" s="6">
        <v>18</v>
      </c>
      <c r="Z16" s="8">
        <v>12.7</v>
      </c>
      <c r="AA16" s="8">
        <v>30.7</v>
      </c>
      <c r="AB16" s="6">
        <v>298</v>
      </c>
      <c r="AC16" s="6">
        <v>16270</v>
      </c>
      <c r="AD16" s="6">
        <v>904</v>
      </c>
      <c r="AE16" s="6">
        <v>15</v>
      </c>
      <c r="AF16" s="6">
        <v>1040</v>
      </c>
      <c r="AG16" s="6">
        <v>123</v>
      </c>
      <c r="AH16" s="7">
        <v>3.79</v>
      </c>
      <c r="AK16" s="6">
        <v>340</v>
      </c>
      <c r="AL16" s="6">
        <v>171</v>
      </c>
      <c r="AM16" s="6">
        <v>134</v>
      </c>
      <c r="AN16" s="6">
        <v>340</v>
      </c>
      <c r="AO16" s="6">
        <v>300</v>
      </c>
      <c r="AP16" s="6">
        <v>12</v>
      </c>
      <c r="AQ16" s="8">
        <v>21.5</v>
      </c>
      <c r="AR16" s="8">
        <v>48.5</v>
      </c>
      <c r="AS16" s="6">
        <v>243</v>
      </c>
      <c r="AT16" s="6">
        <v>36660</v>
      </c>
      <c r="AU16" s="6">
        <v>2160</v>
      </c>
      <c r="AV16" s="8">
        <v>14.6</v>
      </c>
      <c r="AW16" s="6">
        <v>9690</v>
      </c>
      <c r="AX16" s="6">
        <v>646</v>
      </c>
      <c r="AY16" s="7">
        <v>7.53</v>
      </c>
    </row>
    <row r="17" spans="1:51" x14ac:dyDescent="0.2">
      <c r="A17" s="3" t="s">
        <v>31</v>
      </c>
      <c r="B17" s="5">
        <f>0.1*(G11+200)</f>
        <v>40</v>
      </c>
      <c r="C17" s="3" t="s">
        <v>29</v>
      </c>
      <c r="F17" s="23" t="s">
        <v>45</v>
      </c>
      <c r="G17" s="23"/>
      <c r="H17" s="23"/>
      <c r="I17" s="23"/>
      <c r="L17" s="23" t="s">
        <v>44</v>
      </c>
      <c r="M17" s="23"/>
      <c r="N17" s="23"/>
      <c r="S17" s="6">
        <v>400</v>
      </c>
      <c r="T17" s="8">
        <v>84.5</v>
      </c>
      <c r="U17" s="8">
        <v>66.3</v>
      </c>
      <c r="V17" s="6">
        <v>400</v>
      </c>
      <c r="W17" s="6">
        <v>180</v>
      </c>
      <c r="X17" s="8">
        <v>8.6</v>
      </c>
      <c r="Y17" s="6">
        <v>21</v>
      </c>
      <c r="Z17" s="8">
        <v>13.5</v>
      </c>
      <c r="AA17" s="8">
        <v>34.5</v>
      </c>
      <c r="AB17" s="6">
        <v>331</v>
      </c>
      <c r="AC17" s="6">
        <v>23130</v>
      </c>
      <c r="AD17" s="6">
        <v>1160</v>
      </c>
      <c r="AE17" s="8">
        <v>16.5</v>
      </c>
      <c r="AF17" s="6">
        <v>1320</v>
      </c>
      <c r="AG17" s="6">
        <v>146</v>
      </c>
      <c r="AH17" s="7">
        <v>3.95</v>
      </c>
      <c r="AK17" s="6">
        <v>360</v>
      </c>
      <c r="AL17" s="6">
        <v>181</v>
      </c>
      <c r="AM17" s="6">
        <v>142</v>
      </c>
      <c r="AN17" s="6">
        <v>360</v>
      </c>
      <c r="AO17" s="6">
        <v>300</v>
      </c>
      <c r="AP17" s="8">
        <v>12.5</v>
      </c>
      <c r="AQ17" s="8">
        <v>22.5</v>
      </c>
      <c r="AR17" s="8">
        <v>49.5</v>
      </c>
      <c r="AS17" s="6">
        <v>261</v>
      </c>
      <c r="AT17" s="6">
        <v>43190</v>
      </c>
      <c r="AU17" s="6">
        <v>2400</v>
      </c>
      <c r="AV17" s="8">
        <v>15.6</v>
      </c>
      <c r="AW17" s="6">
        <v>10140</v>
      </c>
      <c r="AX17" s="6">
        <v>676</v>
      </c>
      <c r="AY17" s="7">
        <v>7.49</v>
      </c>
    </row>
    <row r="18" spans="1:51" x14ac:dyDescent="0.2">
      <c r="A18" s="3" t="s">
        <v>32</v>
      </c>
      <c r="B18" s="5">
        <f>0.1*(G10+200)</f>
        <v>70</v>
      </c>
      <c r="C18" s="3" t="s">
        <v>29</v>
      </c>
      <c r="F18" s="3" t="s">
        <v>13</v>
      </c>
      <c r="G18" s="5">
        <v>0.6</v>
      </c>
      <c r="H18" s="3" t="s">
        <v>29</v>
      </c>
      <c r="L18" s="3" t="s">
        <v>13</v>
      </c>
      <c r="M18" s="5">
        <v>0.6</v>
      </c>
      <c r="N18" s="3" t="s">
        <v>29</v>
      </c>
      <c r="S18" s="6">
        <v>450</v>
      </c>
      <c r="T18" s="8">
        <v>98.8</v>
      </c>
      <c r="U18" s="8">
        <v>77.599999999999994</v>
      </c>
      <c r="V18" s="6">
        <v>450</v>
      </c>
      <c r="W18" s="6">
        <v>190</v>
      </c>
      <c r="X18" s="8">
        <v>9.4</v>
      </c>
      <c r="Y18" s="6">
        <v>21</v>
      </c>
      <c r="Z18" s="8">
        <v>14.6</v>
      </c>
      <c r="AA18" s="8">
        <v>35.6</v>
      </c>
      <c r="AB18" s="6">
        <v>378</v>
      </c>
      <c r="AC18" s="6">
        <v>33740</v>
      </c>
      <c r="AD18" s="6">
        <v>1500</v>
      </c>
      <c r="AE18" s="8">
        <v>18.5</v>
      </c>
      <c r="AF18" s="6">
        <v>1680</v>
      </c>
      <c r="AG18" s="6">
        <v>176</v>
      </c>
      <c r="AH18" s="7">
        <v>4.12</v>
      </c>
      <c r="AK18" s="6">
        <v>400</v>
      </c>
      <c r="AL18" s="6">
        <v>198</v>
      </c>
      <c r="AM18" s="6">
        <v>155</v>
      </c>
      <c r="AN18" s="6">
        <v>400</v>
      </c>
      <c r="AO18" s="6">
        <v>300</v>
      </c>
      <c r="AP18" s="8">
        <v>13.5</v>
      </c>
      <c r="AQ18" s="6">
        <v>24</v>
      </c>
      <c r="AR18" s="6">
        <v>51</v>
      </c>
      <c r="AS18" s="6">
        <v>298</v>
      </c>
      <c r="AT18" s="6">
        <v>57680</v>
      </c>
      <c r="AU18" s="6">
        <v>2880</v>
      </c>
      <c r="AV18" s="8">
        <v>17.100000000000001</v>
      </c>
      <c r="AW18" s="6">
        <v>10820</v>
      </c>
      <c r="AX18" s="6">
        <v>721</v>
      </c>
      <c r="AY18" s="8">
        <v>7.4</v>
      </c>
    </row>
    <row r="19" spans="1:51" ht="21" x14ac:dyDescent="0.2">
      <c r="A19" s="3" t="s">
        <v>47</v>
      </c>
      <c r="B19" s="3">
        <f>G10*0.1</f>
        <v>50</v>
      </c>
      <c r="C19" s="3" t="s">
        <v>29</v>
      </c>
      <c r="F19" s="3" t="s">
        <v>77</v>
      </c>
      <c r="G19" s="3">
        <f>2*B18*G18+4*G18*0.5*(B18-0.1*G10)</f>
        <v>108</v>
      </c>
      <c r="H19" s="3" t="s">
        <v>78</v>
      </c>
      <c r="L19" s="3" t="s">
        <v>79</v>
      </c>
      <c r="M19" s="3">
        <f>G10*0.1</f>
        <v>50</v>
      </c>
      <c r="N19" s="3" t="s">
        <v>29</v>
      </c>
      <c r="S19" s="6">
        <v>500</v>
      </c>
      <c r="T19" s="6">
        <v>116</v>
      </c>
      <c r="U19" s="8">
        <v>90.7</v>
      </c>
      <c r="V19" s="6">
        <v>500</v>
      </c>
      <c r="W19" s="6">
        <v>200</v>
      </c>
      <c r="X19" s="8">
        <v>10.199999999999999</v>
      </c>
      <c r="Y19" s="6">
        <v>21</v>
      </c>
      <c r="Z19" s="6">
        <v>16</v>
      </c>
      <c r="AA19" s="6">
        <v>37</v>
      </c>
      <c r="AB19" s="6">
        <v>426</v>
      </c>
      <c r="AC19" s="6">
        <v>48200</v>
      </c>
      <c r="AD19" s="6">
        <v>1930</v>
      </c>
      <c r="AE19" s="8">
        <v>20.399999999999999</v>
      </c>
      <c r="AF19" s="6">
        <v>2140</v>
      </c>
      <c r="AG19" s="6">
        <v>214</v>
      </c>
      <c r="AH19" s="7">
        <v>4.3099999999999996</v>
      </c>
      <c r="AK19" s="6">
        <v>450</v>
      </c>
      <c r="AL19" s="6">
        <v>218</v>
      </c>
      <c r="AM19" s="6">
        <v>171</v>
      </c>
      <c r="AN19" s="6">
        <v>450</v>
      </c>
      <c r="AO19" s="6">
        <v>300</v>
      </c>
      <c r="AP19" s="6">
        <v>14</v>
      </c>
      <c r="AQ19" s="6">
        <v>26</v>
      </c>
      <c r="AR19" s="6">
        <v>53</v>
      </c>
      <c r="AS19" s="6">
        <v>344</v>
      </c>
      <c r="AT19" s="6">
        <v>79890</v>
      </c>
      <c r="AU19" s="6">
        <v>3550</v>
      </c>
      <c r="AV19" s="8">
        <v>19.100000000000001</v>
      </c>
      <c r="AW19" s="6">
        <v>11720</v>
      </c>
      <c r="AX19" s="6">
        <v>781</v>
      </c>
      <c r="AY19" s="7">
        <v>7.33</v>
      </c>
    </row>
    <row r="20" spans="1:51" ht="21" x14ac:dyDescent="0.2">
      <c r="F20" s="3" t="s">
        <v>80</v>
      </c>
      <c r="G20" s="3">
        <f>2*((0.6*B18^3)/12)+4*(((0.6*(0.5*(B18-0.1*G10))^3)/12)+0.6*0.5*(B18-0.1*G10)*(0.5*B18-0.5*0.5*(B18-0.1*G10))^2)</f>
        <v>56100</v>
      </c>
      <c r="H20" s="3" t="s">
        <v>81</v>
      </c>
      <c r="L20" s="3" t="s">
        <v>21</v>
      </c>
      <c r="M20" s="3">
        <f>G5/(0.1*G10)+0.5*ABS(G6)</f>
        <v>28</v>
      </c>
      <c r="N20" s="3" t="s">
        <v>1</v>
      </c>
      <c r="S20" s="6">
        <v>550</v>
      </c>
      <c r="T20" s="6">
        <v>134</v>
      </c>
      <c r="U20" s="6">
        <v>106</v>
      </c>
      <c r="V20" s="6">
        <v>550</v>
      </c>
      <c r="W20" s="6">
        <v>210</v>
      </c>
      <c r="X20" s="8">
        <v>11.1</v>
      </c>
      <c r="Y20" s="6">
        <v>24</v>
      </c>
      <c r="Z20" s="8">
        <v>17.2</v>
      </c>
      <c r="AA20" s="8">
        <v>41.2</v>
      </c>
      <c r="AB20" s="6">
        <v>467</v>
      </c>
      <c r="AC20" s="6">
        <v>67120</v>
      </c>
      <c r="AD20" s="6">
        <v>2440</v>
      </c>
      <c r="AE20" s="8">
        <v>22.3</v>
      </c>
      <c r="AF20" s="6">
        <v>2670</v>
      </c>
      <c r="AG20" s="6">
        <v>254</v>
      </c>
      <c r="AH20" s="7">
        <v>4.45</v>
      </c>
      <c r="AK20" s="6">
        <v>500</v>
      </c>
      <c r="AL20" s="6">
        <v>239</v>
      </c>
      <c r="AM20" s="6">
        <v>187</v>
      </c>
      <c r="AN20" s="6">
        <v>500</v>
      </c>
      <c r="AO20" s="6">
        <v>300</v>
      </c>
      <c r="AP20" s="8">
        <v>14.5</v>
      </c>
      <c r="AQ20" s="6">
        <v>28</v>
      </c>
      <c r="AR20" s="6">
        <v>655</v>
      </c>
      <c r="AS20" s="6">
        <v>390</v>
      </c>
      <c r="AT20" s="6">
        <v>107200</v>
      </c>
      <c r="AU20" s="6">
        <v>4290</v>
      </c>
      <c r="AV20" s="8">
        <v>21.2</v>
      </c>
      <c r="AW20" s="6">
        <v>12620</v>
      </c>
      <c r="AX20" s="6">
        <v>842</v>
      </c>
      <c r="AY20" s="7">
        <v>7.27</v>
      </c>
    </row>
    <row r="21" spans="1:51" ht="21" x14ac:dyDescent="0.2">
      <c r="F21" s="3" t="s">
        <v>82</v>
      </c>
      <c r="G21" s="3">
        <f>(G6/G19)-((G5*0.1*G10)/G20)</f>
        <v>-0.9873242226183403</v>
      </c>
      <c r="H21" s="3" t="s">
        <v>73</v>
      </c>
      <c r="L21" s="3" t="s">
        <v>46</v>
      </c>
      <c r="M21" s="3">
        <f>G5/(0.1*G10)+0.5*G6</f>
        <v>8</v>
      </c>
      <c r="N21" s="3" t="s">
        <v>1</v>
      </c>
      <c r="S21" s="6">
        <v>600</v>
      </c>
      <c r="T21" s="6">
        <v>156</v>
      </c>
      <c r="U21" s="6">
        <v>122</v>
      </c>
      <c r="V21" s="6">
        <v>600</v>
      </c>
      <c r="W21" s="6">
        <v>220</v>
      </c>
      <c r="X21" s="6">
        <v>12</v>
      </c>
      <c r="Y21" s="6">
        <v>24</v>
      </c>
      <c r="Z21" s="6">
        <v>19</v>
      </c>
      <c r="AA21" s="6">
        <v>43</v>
      </c>
      <c r="AB21" s="6">
        <v>514</v>
      </c>
      <c r="AC21" s="6">
        <v>92080</v>
      </c>
      <c r="AD21" s="6">
        <v>3070</v>
      </c>
      <c r="AE21" s="8">
        <v>24.3</v>
      </c>
      <c r="AF21" s="6">
        <v>3390</v>
      </c>
      <c r="AG21" s="6">
        <v>308</v>
      </c>
      <c r="AH21" s="7">
        <v>4.66</v>
      </c>
      <c r="AK21" s="6">
        <v>550</v>
      </c>
      <c r="AL21" s="6">
        <v>254</v>
      </c>
      <c r="AM21" s="6">
        <v>199</v>
      </c>
      <c r="AN21" s="6">
        <v>550</v>
      </c>
      <c r="AO21" s="6">
        <v>300</v>
      </c>
      <c r="AP21" s="6">
        <v>15</v>
      </c>
      <c r="AQ21" s="6">
        <v>29</v>
      </c>
      <c r="AR21" s="6">
        <v>56</v>
      </c>
      <c r="AS21" s="6">
        <v>438</v>
      </c>
      <c r="AT21" s="6">
        <v>136700</v>
      </c>
      <c r="AU21" s="6">
        <v>4970</v>
      </c>
      <c r="AV21" s="8">
        <v>23.2</v>
      </c>
      <c r="AW21" s="6">
        <v>13080</v>
      </c>
      <c r="AX21" s="6">
        <v>872</v>
      </c>
      <c r="AY21" s="7">
        <v>7.17</v>
      </c>
    </row>
    <row r="22" spans="1:51" ht="21" x14ac:dyDescent="0.2">
      <c r="F22" s="3" t="s">
        <v>83</v>
      </c>
      <c r="G22" s="3">
        <f>(G6/G19)+((G5*0.1*G10)/G20)</f>
        <v>0.61695385224796984</v>
      </c>
      <c r="H22" s="3" t="s">
        <v>73</v>
      </c>
      <c r="L22" s="3" t="s">
        <v>27</v>
      </c>
      <c r="M22" s="3">
        <f>MAX(M21,0.6*M20)/(2*M18*M19)</f>
        <v>0.28000000000000003</v>
      </c>
      <c r="N22" s="3" t="s">
        <v>73</v>
      </c>
      <c r="O22" s="12" t="str">
        <f>IF(M22&lt;=0.7*0.4*B6,"Safe","Unsafe")</f>
        <v>Safe</v>
      </c>
      <c r="AK22" s="6">
        <v>600</v>
      </c>
      <c r="AL22" s="6">
        <v>270</v>
      </c>
      <c r="AM22" s="6">
        <v>212</v>
      </c>
      <c r="AN22" s="6">
        <v>600</v>
      </c>
      <c r="AO22" s="6">
        <v>300</v>
      </c>
      <c r="AP22" s="8">
        <v>15.5</v>
      </c>
      <c r="AQ22" s="6">
        <v>30</v>
      </c>
      <c r="AR22" s="6">
        <v>57</v>
      </c>
      <c r="AS22" s="6">
        <v>486</v>
      </c>
      <c r="AT22" s="6">
        <v>171000</v>
      </c>
      <c r="AU22" s="6">
        <v>5700</v>
      </c>
      <c r="AV22" s="8">
        <v>25.2</v>
      </c>
      <c r="AW22" s="6">
        <v>13530</v>
      </c>
      <c r="AX22" s="6">
        <v>902</v>
      </c>
      <c r="AY22" s="7">
        <v>7.08</v>
      </c>
    </row>
    <row r="23" spans="1:51" ht="21" x14ac:dyDescent="0.2">
      <c r="F23" s="3" t="s">
        <v>37</v>
      </c>
      <c r="G23" s="3">
        <f>G7/G19</f>
        <v>4.1666666666666664E-2</v>
      </c>
      <c r="H23" s="3" t="s">
        <v>73</v>
      </c>
      <c r="AK23" s="6">
        <v>650</v>
      </c>
      <c r="AL23" s="6">
        <v>286</v>
      </c>
      <c r="AM23" s="6">
        <v>225</v>
      </c>
      <c r="AN23" s="6">
        <v>650</v>
      </c>
      <c r="AO23" s="6">
        <v>300</v>
      </c>
      <c r="AP23" s="6">
        <v>16</v>
      </c>
      <c r="AQ23" s="6">
        <v>31</v>
      </c>
      <c r="AR23" s="6">
        <v>58</v>
      </c>
      <c r="AS23" s="6">
        <v>534</v>
      </c>
      <c r="AT23" s="6">
        <v>210600</v>
      </c>
      <c r="AU23" s="6">
        <v>6480</v>
      </c>
      <c r="AV23" s="8">
        <v>27.1</v>
      </c>
      <c r="AW23" s="6">
        <v>13980</v>
      </c>
      <c r="AX23" s="6">
        <v>932</v>
      </c>
      <c r="AY23" s="7">
        <v>6.99</v>
      </c>
    </row>
    <row r="24" spans="1:51" ht="21" x14ac:dyDescent="0.2">
      <c r="F24" s="15" t="s">
        <v>98</v>
      </c>
      <c r="G24" s="3">
        <f>SQRT(MAX(G22,ABS(G21))^2+3*(G23)^2)</f>
        <v>0.98995830917379712</v>
      </c>
      <c r="H24" s="3" t="s">
        <v>73</v>
      </c>
      <c r="I24" s="12" t="str">
        <f>IF(G24&lt;=1.1*0.7*0.4*B6,"Safe","Unsafe")</f>
        <v>Safe</v>
      </c>
      <c r="AK24" s="6">
        <v>700</v>
      </c>
      <c r="AL24" s="6">
        <v>306</v>
      </c>
      <c r="AM24" s="6">
        <v>241</v>
      </c>
      <c r="AN24" s="6">
        <v>700</v>
      </c>
      <c r="AO24" s="6">
        <v>300</v>
      </c>
      <c r="AP24" s="6">
        <v>17</v>
      </c>
      <c r="AQ24" s="6">
        <v>32</v>
      </c>
      <c r="AR24" s="6">
        <v>59</v>
      </c>
      <c r="AS24" s="6">
        <v>582</v>
      </c>
      <c r="AT24" s="6">
        <v>256900</v>
      </c>
      <c r="AU24" s="6">
        <v>7340</v>
      </c>
      <c r="AV24" s="6">
        <v>29</v>
      </c>
      <c r="AW24" s="6">
        <v>14440</v>
      </c>
      <c r="AX24" s="6">
        <v>963</v>
      </c>
      <c r="AY24" s="7">
        <v>6.87</v>
      </c>
    </row>
    <row r="25" spans="1:51" x14ac:dyDescent="0.2">
      <c r="AK25" s="6">
        <v>800</v>
      </c>
      <c r="AL25" s="6">
        <v>334</v>
      </c>
      <c r="AM25" s="6">
        <v>262</v>
      </c>
      <c r="AN25" s="6">
        <v>800</v>
      </c>
      <c r="AO25" s="6">
        <v>300</v>
      </c>
      <c r="AP25" s="8">
        <v>17.5</v>
      </c>
      <c r="AQ25" s="6">
        <v>33</v>
      </c>
      <c r="AR25" s="6">
        <v>63</v>
      </c>
      <c r="AS25" s="6">
        <v>674</v>
      </c>
      <c r="AT25" s="6">
        <v>359100</v>
      </c>
      <c r="AU25" s="6">
        <v>9890</v>
      </c>
      <c r="AV25" s="8">
        <v>32.799999999999997</v>
      </c>
      <c r="AW25" s="6">
        <v>14900</v>
      </c>
      <c r="AX25" s="6">
        <v>994</v>
      </c>
      <c r="AY25" s="7">
        <v>6.68</v>
      </c>
    </row>
    <row r="26" spans="1:51" x14ac:dyDescent="0.2">
      <c r="AK26" s="6">
        <v>900</v>
      </c>
      <c r="AL26" s="6">
        <v>371</v>
      </c>
      <c r="AM26" s="6">
        <v>291</v>
      </c>
      <c r="AN26" s="6">
        <v>900</v>
      </c>
      <c r="AO26" s="6">
        <v>300</v>
      </c>
      <c r="AP26" s="8">
        <v>18.5</v>
      </c>
      <c r="AQ26" s="6">
        <v>35</v>
      </c>
      <c r="AR26" s="6">
        <v>65</v>
      </c>
      <c r="AS26" s="6">
        <v>770</v>
      </c>
      <c r="AT26" s="6">
        <v>494100</v>
      </c>
      <c r="AU26" s="6">
        <v>10980</v>
      </c>
      <c r="AV26" s="8">
        <v>36.5</v>
      </c>
      <c r="AW26" s="6">
        <v>15820</v>
      </c>
      <c r="AX26" s="6">
        <v>1050</v>
      </c>
      <c r="AY26" s="7">
        <v>6.53</v>
      </c>
    </row>
    <row r="27" spans="1:51" x14ac:dyDescent="0.2">
      <c r="F27" s="23" t="s">
        <v>48</v>
      </c>
      <c r="G27" s="23"/>
      <c r="H27" s="23"/>
      <c r="I27" s="23"/>
      <c r="AK27" s="6">
        <v>1000</v>
      </c>
      <c r="AL27" s="6">
        <v>400</v>
      </c>
      <c r="AM27" s="6">
        <v>314</v>
      </c>
      <c r="AN27" s="6">
        <v>1000</v>
      </c>
      <c r="AO27" s="6">
        <v>300</v>
      </c>
      <c r="AP27" s="6">
        <v>19</v>
      </c>
      <c r="AQ27" s="6">
        <v>36</v>
      </c>
      <c r="AR27" s="6">
        <v>66</v>
      </c>
      <c r="AS27" s="6">
        <v>868</v>
      </c>
      <c r="AT27" s="6">
        <v>644700</v>
      </c>
      <c r="AU27" s="6">
        <v>12890</v>
      </c>
      <c r="AV27" s="8">
        <v>40.1</v>
      </c>
      <c r="AW27" s="6">
        <v>16280</v>
      </c>
      <c r="AX27" s="6">
        <v>1090</v>
      </c>
      <c r="AY27" s="7">
        <v>6.38</v>
      </c>
    </row>
    <row r="28" spans="1:51" x14ac:dyDescent="0.2">
      <c r="F28" s="26" t="s">
        <v>54</v>
      </c>
      <c r="G28" s="26"/>
    </row>
    <row r="29" spans="1:51" x14ac:dyDescent="0.2">
      <c r="F29" s="3" t="s">
        <v>49</v>
      </c>
      <c r="G29" s="3">
        <f>G5/ABS(G6)</f>
        <v>45</v>
      </c>
      <c r="H29" s="3" t="s">
        <v>29</v>
      </c>
      <c r="I29" s="23" t="str">
        <f>IF(G29&lt;=(1/6)*B18,"Small ecc.","Big ecc.")</f>
        <v>Big ecc.</v>
      </c>
      <c r="J29" s="23"/>
    </row>
    <row r="30" spans="1:51" x14ac:dyDescent="0.2">
      <c r="F30" s="29" t="str">
        <f>IF(I29=C1,"No Tension on Anchor bolts","")</f>
        <v/>
      </c>
      <c r="G30" s="29"/>
      <c r="H30" s="29"/>
      <c r="I30" s="29"/>
    </row>
    <row r="31" spans="1:51" x14ac:dyDescent="0.2">
      <c r="F31" s="3" t="str">
        <f>IF(F30="No Tension on Anchor bolts","","x")</f>
        <v>x</v>
      </c>
      <c r="G31" s="5"/>
      <c r="H31" s="3" t="str">
        <f>IF(F30="No Tension on Anchor bolts","","cm")</f>
        <v>cm</v>
      </c>
    </row>
    <row r="32" spans="1:51" ht="21" x14ac:dyDescent="0.2">
      <c r="C32" s="23" t="str">
        <f>IF(F30="No Tension on Anchor bolts","","A*a2 + B*a + C=0")</f>
        <v>A*a2 + B*a + C=0</v>
      </c>
      <c r="D32" s="23"/>
      <c r="F32" s="3" t="str">
        <f>IF(F30="No Tension on Anchor bolts","","C")</f>
        <v>C</v>
      </c>
      <c r="G32" s="3">
        <f>IF(F30="No Tension on Anchor bolts","",IF(I29=C1,"0",0.45*B8*MIN(G33,G34)*B17))</f>
        <v>23.752682415786012</v>
      </c>
      <c r="H32" s="3" t="str">
        <f>IF(F30="No Tension on Anchor bolts","","ton")</f>
        <v>ton</v>
      </c>
    </row>
    <row r="33" spans="3:12" x14ac:dyDescent="0.2">
      <c r="C33" s="3" t="str">
        <f>IF(F30="No Tension on Anchor bolts","","A")</f>
        <v>A</v>
      </c>
      <c r="D33" s="3">
        <f>IF(F30="No Tension on Anchor bolts","",IF(I29=C1,"0",0.5*(0.45*B8*B17)))</f>
        <v>2.25</v>
      </c>
      <c r="E33" s="23" t="str">
        <f>IF(F30="No Tension on Anchor bolts","","&lt;&lt;&lt;&lt;")</f>
        <v>&lt;&lt;&lt;&lt;</v>
      </c>
      <c r="F33" s="3" t="str">
        <f>IF(F30="No Tension on Anchor bolts","","a1")</f>
        <v>a1</v>
      </c>
      <c r="G33" s="3">
        <f>IF(F30="No Tension on Anchor bolts","",IF(I29=C1,"0",(-D34-SQRT(D34^2-4*D33*D35))/(2*D33)))</f>
        <v>5.2783738701746694</v>
      </c>
      <c r="H33" s="21" t="str">
        <f>IF(F30="No Tension on Anchor bolts","",IF(F32="No Tension on Anchor bolts","","cm"))</f>
        <v>cm</v>
      </c>
      <c r="I33" s="12" t="str">
        <f>IF(F30="No Tension on Anchor bolts","",IF(G33&gt;B18,"Reject","Ok"))</f>
        <v>Ok</v>
      </c>
    </row>
    <row r="34" spans="3:12" x14ac:dyDescent="0.2">
      <c r="C34" s="3" t="str">
        <f>IF(F30="No Tension on Anchor bolts","","B")</f>
        <v>B</v>
      </c>
      <c r="D34" s="3">
        <f>IF(F30="No Tension on Anchor bolts","",IF(I29=C1,"0",(-(0.45*B8*B17*(B18-G31)))))</f>
        <v>-315</v>
      </c>
      <c r="E34" s="23"/>
      <c r="F34" s="3" t="str">
        <f>IF(F30="No Tension on Anchor bolts","","a2")</f>
        <v>a2</v>
      </c>
      <c r="G34" s="3">
        <f>IF(F30="No Tension on Anchor bolts","",IF(I29=C1,"0",(-D34+SQRT(D34^2-4*D33*D35))/(2*D33)))</f>
        <v>134.72162612982532</v>
      </c>
      <c r="H34" s="21" t="str">
        <f>IF(F30="No Tension on Anchor bolts","",IF(F33="No Tension on Anchor bolts","","cm"))</f>
        <v>cm</v>
      </c>
      <c r="I34" s="18" t="str">
        <f>IF(F30="No Tension on Anchor bolts","",IF(G34&gt;B18,"Reject","Ok"))</f>
        <v>Reject</v>
      </c>
    </row>
    <row r="35" spans="3:12" x14ac:dyDescent="0.2">
      <c r="C35" s="3" t="str">
        <f>IF(F30="No Tension on Anchor bolts","","C")</f>
        <v>C</v>
      </c>
      <c r="D35" s="3">
        <f>IF(F30="No Tension on Anchor bolts","",IF(I29=C1,"0",ABS(G6)*(0.5*B18-G31)+G5))</f>
        <v>1600</v>
      </c>
      <c r="F35" s="3" t="str">
        <f>IF(F30="No Tension on Anchor bolts","","T")</f>
        <v>T</v>
      </c>
      <c r="G35" s="3">
        <f>IF(F30="No Tension on Anchor bolts","",IF(I29=C1,"0",G32-ABS(G6)))</f>
        <v>3.7526824157860119</v>
      </c>
      <c r="H35" s="21" t="str">
        <f>IF(F30="No Tension on Anchor bolts","",IF(F33="No Tension on Anchor bolts","","ton"))</f>
        <v>ton</v>
      </c>
    </row>
    <row r="36" spans="3:12" ht="20.25" x14ac:dyDescent="0.2">
      <c r="F36" s="3" t="str">
        <f>IF(F30="No Tension on Anchor bolts","","Rt bolt")</f>
        <v>Rt bolt</v>
      </c>
      <c r="G36" s="3">
        <f>IF(F30="No Tension on Anchor bolts","",IF(I29=C1,"0",0.7*0.66*B12*0.78*((22/7)/4)*B13^2*0.85))</f>
        <v>5.0059152000000005</v>
      </c>
      <c r="H36" s="21" t="str">
        <f>IF(F30="No Tension on Anchor bolts","",IF(F34="No Tension on Anchor bolts","","ton"))</f>
        <v>ton</v>
      </c>
      <c r="I36" s="12" t="str">
        <f>IF(F30="No Tension on Anchor bolts","",IF(G36&gt;=G35/B14,"Safe","Unsafe"))</f>
        <v>Safe</v>
      </c>
    </row>
    <row r="38" spans="3:12" x14ac:dyDescent="0.2">
      <c r="F38" s="26" t="s">
        <v>55</v>
      </c>
      <c r="G38" s="26"/>
    </row>
    <row r="39" spans="3:12" x14ac:dyDescent="0.2">
      <c r="F39" s="28" t="str">
        <f>IF(I29=C2,"No need to make this check","")</f>
        <v>No need to make this check</v>
      </c>
      <c r="G39" s="28"/>
      <c r="H39" s="28"/>
      <c r="I39" s="28"/>
    </row>
    <row r="40" spans="3:12" ht="21" x14ac:dyDescent="0.2">
      <c r="F40" s="3" t="str">
        <f>IF(F39="No need to make this check","","A base plate")</f>
        <v/>
      </c>
      <c r="G40" s="3" t="str">
        <f>IF(F39="No need to make this check","",IF(I29=C1,B17*B18,"0"))</f>
        <v/>
      </c>
      <c r="H40" s="3" t="str">
        <f>IF(F39="No need to make this check","","cm2")</f>
        <v/>
      </c>
    </row>
    <row r="41" spans="3:12" x14ac:dyDescent="0.2">
      <c r="F41" s="3" t="str">
        <f>IF(F39="No need to make this check","","Iy base plate")</f>
        <v/>
      </c>
      <c r="G41" s="3" t="str">
        <f>IF(F39="No need to make this check","",IF(I29=C1,(B17*B18^3)/12,"0"))</f>
        <v/>
      </c>
      <c r="H41" s="21" t="str">
        <f>IF(F39="No need to make this check","","cm4")</f>
        <v/>
      </c>
    </row>
    <row r="42" spans="3:12" x14ac:dyDescent="0.2">
      <c r="F42" s="3" t="str">
        <f>IF(F39="No need to make this check","","f")</f>
        <v/>
      </c>
      <c r="G42" s="3" t="str">
        <f>IF(F39="No need to make this check","",IF(I29=C1,(G6/G40)-(G5/G41),"0"))</f>
        <v/>
      </c>
      <c r="H42" s="21" t="str">
        <f>IF(F39="No need to make this check","","t/cm2")</f>
        <v/>
      </c>
      <c r="I42" s="12" t="e">
        <f>IF(F41="No need to make this check","",IF(ABS(G42)&lt;=0.6*0.85*B8,"Safe","Unsafe"))</f>
        <v>#VALUE!</v>
      </c>
    </row>
    <row r="45" spans="3:12" x14ac:dyDescent="0.2">
      <c r="F45" s="23" t="s">
        <v>40</v>
      </c>
      <c r="G45" s="23"/>
      <c r="H45" s="23"/>
    </row>
    <row r="46" spans="3:12" x14ac:dyDescent="0.2">
      <c r="F46" s="26" t="s">
        <v>56</v>
      </c>
      <c r="G46" s="26"/>
      <c r="J46" s="26" t="s">
        <v>57</v>
      </c>
      <c r="K46" s="26"/>
    </row>
    <row r="47" spans="3:12" ht="20.25" x14ac:dyDescent="0.2">
      <c r="F47" s="3" t="s">
        <v>84</v>
      </c>
      <c r="G47" s="3">
        <f>0.45*B8*0.5*(((0.5*(B17-0.1*G11))^2))</f>
        <v>5.625</v>
      </c>
      <c r="H47" s="3" t="s">
        <v>43</v>
      </c>
      <c r="J47" s="3" t="s">
        <v>49</v>
      </c>
      <c r="K47" s="5">
        <v>5</v>
      </c>
      <c r="L47" s="3" t="s">
        <v>29</v>
      </c>
    </row>
    <row r="48" spans="3:12" ht="20.25" x14ac:dyDescent="0.2">
      <c r="F48" s="3" t="s">
        <v>85</v>
      </c>
      <c r="G48" s="3">
        <f>((0.45*B8*((0.1*G11)^2)/8))-G47</f>
        <v>0</v>
      </c>
      <c r="H48" s="3" t="s">
        <v>43</v>
      </c>
      <c r="J48" s="3" t="s">
        <v>58</v>
      </c>
      <c r="K48" s="3">
        <f>2*K47</f>
        <v>10</v>
      </c>
      <c r="L48" s="3" t="s">
        <v>29</v>
      </c>
    </row>
    <row r="49" spans="6:15" ht="20.25" x14ac:dyDescent="0.2">
      <c r="F49" s="3" t="s">
        <v>70</v>
      </c>
      <c r="G49" s="3">
        <f>MAX(G47,G48)</f>
        <v>5.625</v>
      </c>
      <c r="H49" s="3" t="s">
        <v>43</v>
      </c>
      <c r="J49" s="3" t="str">
        <f>IF(F30="No Tension on Anchor bolts","","Mu")</f>
        <v>Mu</v>
      </c>
      <c r="K49" s="3">
        <f>IF(F30="No Tension on Anchor bolts","",(G35/B14)*K47)</f>
        <v>4.6908530197325149</v>
      </c>
      <c r="L49" s="3" t="str">
        <f>IF(F30="No Tension on Anchor bolts","","cm.t")</f>
        <v>cm.t</v>
      </c>
    </row>
    <row r="50" spans="6:15" ht="20.25" x14ac:dyDescent="0.2">
      <c r="F50" s="3" t="s">
        <v>87</v>
      </c>
      <c r="G50" s="3">
        <f>SQRT((4*G49)/(1*0.85*B5))</f>
        <v>3.3210558207753573</v>
      </c>
      <c r="H50" s="3" t="s">
        <v>29</v>
      </c>
      <c r="J50" s="3" t="str">
        <f>IF(F30="No Tension on Anchor bolts","","tp")</f>
        <v>tp</v>
      </c>
      <c r="K50" s="3">
        <f>IF(F30="No Tension on Anchor bolts","",SQRT((4*K49)/(K48*0.85*B5)))</f>
        <v>0.95904906126242384</v>
      </c>
      <c r="L50" s="3" t="str">
        <f>IF(F30="No Tension on Anchor bolts","","cm")</f>
        <v>cm</v>
      </c>
      <c r="M50" s="3" t="s">
        <v>86</v>
      </c>
      <c r="N50" s="3">
        <f>ROUNDUP(MAX(K50,G50),1)</f>
        <v>3.4</v>
      </c>
      <c r="O50" s="3" t="s">
        <v>29</v>
      </c>
    </row>
  </sheetData>
  <mergeCells count="27">
    <mergeCell ref="W1:X1"/>
    <mergeCell ref="AO1:AP1"/>
    <mergeCell ref="V2:AB2"/>
    <mergeCell ref="AC2:AE2"/>
    <mergeCell ref="AF2:AH2"/>
    <mergeCell ref="AN2:AS2"/>
    <mergeCell ref="AW2:AY2"/>
    <mergeCell ref="L17:N17"/>
    <mergeCell ref="J46:K46"/>
    <mergeCell ref="B11:C11"/>
    <mergeCell ref="F46:G46"/>
    <mergeCell ref="F27:I27"/>
    <mergeCell ref="I29:J29"/>
    <mergeCell ref="C32:D32"/>
    <mergeCell ref="F17:I17"/>
    <mergeCell ref="F45:H45"/>
    <mergeCell ref="E33:E34"/>
    <mergeCell ref="F30:I30"/>
    <mergeCell ref="F28:G28"/>
    <mergeCell ref="A16:C16"/>
    <mergeCell ref="A10:C10"/>
    <mergeCell ref="M4:O4"/>
    <mergeCell ref="F38:G38"/>
    <mergeCell ref="F39:I39"/>
    <mergeCell ref="F4:H4"/>
    <mergeCell ref="F9:H9"/>
    <mergeCell ref="AT2:AV2"/>
  </mergeCells>
  <phoneticPr fontId="1" type="noConversion"/>
  <conditionalFormatting sqref="I24">
    <cfRule type="cellIs" dxfId="27" priority="15" operator="equal">
      <formula>"Unsafe"</formula>
    </cfRule>
    <cfRule type="cellIs" dxfId="26" priority="16" operator="equal">
      <formula>"Safe"</formula>
    </cfRule>
  </conditionalFormatting>
  <conditionalFormatting sqref="O22">
    <cfRule type="cellIs" dxfId="25" priority="13" operator="equal">
      <formula>"Unsafe"</formula>
    </cfRule>
    <cfRule type="cellIs" dxfId="24" priority="14" operator="equal">
      <formula>"Safe"</formula>
    </cfRule>
  </conditionalFormatting>
  <conditionalFormatting sqref="I33:I34">
    <cfRule type="cellIs" dxfId="23" priority="12" operator="equal">
      <formula>"Ok"</formula>
    </cfRule>
  </conditionalFormatting>
  <conditionalFormatting sqref="I33:I34">
    <cfRule type="cellIs" dxfId="22" priority="11" operator="equal">
      <formula>"Reject"</formula>
    </cfRule>
  </conditionalFormatting>
  <conditionalFormatting sqref="I36">
    <cfRule type="cellIs" dxfId="21" priority="9" operator="equal">
      <formula>"Unsafe"</formula>
    </cfRule>
    <cfRule type="cellIs" dxfId="20" priority="10" operator="equal">
      <formula>"Safe"</formula>
    </cfRule>
  </conditionalFormatting>
  <conditionalFormatting sqref="F30:I30">
    <cfRule type="cellIs" dxfId="19" priority="8" operator="equal">
      <formula>"No Tension on Anchor bolts"</formula>
    </cfRule>
  </conditionalFormatting>
  <conditionalFormatting sqref="I42">
    <cfRule type="cellIs" dxfId="18" priority="6" operator="equal">
      <formula>"Unsafe"</formula>
    </cfRule>
    <cfRule type="cellIs" dxfId="17" priority="7" operator="equal">
      <formula>"Safe"</formula>
    </cfRule>
  </conditionalFormatting>
  <conditionalFormatting sqref="F39:I39">
    <cfRule type="cellIs" dxfId="16" priority="1" operator="equal">
      <formula>"No need to make this check"</formula>
    </cfRule>
    <cfRule type="cellIs" dxfId="15" priority="2" operator="equal">
      <formula>"No need to make this check "</formula>
    </cfRule>
    <cfRule type="cellIs" dxfId="14" priority="3" operator="equal">
      <formula>"no need to make this check "</formula>
    </cfRule>
  </conditionalFormatting>
  <dataValidations disablePrompts="1" count="4">
    <dataValidation type="list" allowBlank="1" showInputMessage="1" showErrorMessage="1" sqref="N7" xr:uid="{AAD92C97-3D58-4006-BBD9-04C369C2DEC4}">
      <formula1>$S$4:$S$21</formula1>
    </dataValidation>
    <dataValidation type="list" allowBlank="1" showInputMessage="1" showErrorMessage="1" sqref="O7" xr:uid="{30AA0760-F9A5-4E21-AB71-A1DE1067BD15}">
      <formula1>$AK$4:$AK$27</formula1>
    </dataValidation>
    <dataValidation type="list" allowBlank="1" showInputMessage="1" showErrorMessage="1" sqref="N5:O5" xr:uid="{0510A961-0DB8-4DB3-B552-7909AB398995}">
      <formula1>$B$1:$B$2</formula1>
    </dataValidation>
    <dataValidation type="list" allowBlank="1" showInputMessage="1" showErrorMessage="1" sqref="B4" xr:uid="{6BF32BCD-BC38-4AD7-B8F2-3614521B0ADE}">
      <formula1>$A$1:$A$3</formula1>
    </dataValidation>
  </dataValidations>
  <pageMargins left="0.7" right="0.7" top="0.75" bottom="0.75" header="0.3" footer="0.3"/>
  <pageSetup paperSize="8" scale="83" orientation="landscape" r:id="rId1"/>
  <ignoredErrors>
    <ignoredError sqref="H3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BE7B-69F0-4459-A68C-DDD011EC5719}">
  <sheetPr>
    <pageSetUpPr fitToPage="1"/>
  </sheetPr>
  <dimension ref="A1:O44"/>
  <sheetViews>
    <sheetView showGridLines="0" tabSelected="1" topLeftCell="A10" zoomScale="70" zoomScaleNormal="70" workbookViewId="0">
      <selection activeCell="B14" sqref="B14"/>
    </sheetView>
  </sheetViews>
  <sheetFormatPr defaultRowHeight="18.75" x14ac:dyDescent="0.2"/>
  <cols>
    <col min="1" max="1" width="10.625" style="15" bestFit="1" customWidth="1"/>
    <col min="2" max="2" width="10.75" style="15" bestFit="1" customWidth="1"/>
    <col min="3" max="3" width="9" style="15"/>
    <col min="4" max="4" width="10.875" style="15" customWidth="1"/>
    <col min="5" max="5" width="9" style="15"/>
    <col min="6" max="6" width="13.75" style="15" bestFit="1" customWidth="1"/>
    <col min="7" max="7" width="10.75" style="15" customWidth="1"/>
    <col min="8" max="8" width="9" style="15"/>
    <col min="9" max="9" width="11.125" style="15" bestFit="1" customWidth="1"/>
    <col min="10" max="10" width="9" style="15"/>
    <col min="11" max="11" width="9.625" style="15" customWidth="1"/>
    <col min="12" max="16384" width="9" style="15"/>
  </cols>
  <sheetData>
    <row r="1" spans="1:14" x14ac:dyDescent="0.2">
      <c r="A1" s="13">
        <v>37</v>
      </c>
      <c r="B1" s="13" t="s">
        <v>50</v>
      </c>
    </row>
    <row r="2" spans="1:14" x14ac:dyDescent="0.2">
      <c r="A2" s="13">
        <v>44</v>
      </c>
      <c r="B2" s="13" t="s">
        <v>51</v>
      </c>
    </row>
    <row r="3" spans="1:14" x14ac:dyDescent="0.2">
      <c r="A3" s="13">
        <v>52</v>
      </c>
    </row>
    <row r="4" spans="1:14" x14ac:dyDescent="0.3">
      <c r="A4" s="15" t="s">
        <v>62</v>
      </c>
      <c r="B4" s="31">
        <v>52</v>
      </c>
      <c r="C4" s="31"/>
      <c r="D4" s="9"/>
      <c r="F4" s="26" t="s">
        <v>60</v>
      </c>
      <c r="G4" s="26"/>
      <c r="H4" s="26"/>
      <c r="K4" s="23" t="s">
        <v>23</v>
      </c>
      <c r="L4" s="23"/>
      <c r="M4" s="23"/>
    </row>
    <row r="5" spans="1:14" ht="21" x14ac:dyDescent="0.2">
      <c r="A5" s="15" t="s">
        <v>72</v>
      </c>
      <c r="B5" s="15">
        <f>IF(B4=A1,2.4,IF(B4=A2,2.8,3.6))</f>
        <v>3.6</v>
      </c>
      <c r="C5" s="15" t="s">
        <v>73</v>
      </c>
      <c r="F5" s="15" t="s">
        <v>70</v>
      </c>
      <c r="G5" s="16">
        <v>4000</v>
      </c>
      <c r="H5" s="15" t="s">
        <v>43</v>
      </c>
      <c r="K5" s="15" t="s">
        <v>93</v>
      </c>
      <c r="L5" s="16">
        <v>570</v>
      </c>
      <c r="M5" s="15" t="s">
        <v>24</v>
      </c>
    </row>
    <row r="6" spans="1:14" ht="21" x14ac:dyDescent="0.2">
      <c r="A6" s="15" t="s">
        <v>75</v>
      </c>
      <c r="B6" s="15">
        <f>IF(B4=A1,3.7,IF(B4=A2,4.4,5.2))</f>
        <v>5.2</v>
      </c>
      <c r="C6" s="15" t="s">
        <v>73</v>
      </c>
      <c r="F6" s="15" t="s">
        <v>71</v>
      </c>
      <c r="G6" s="16">
        <v>-150</v>
      </c>
      <c r="H6" s="15" t="s">
        <v>1</v>
      </c>
      <c r="K6" s="15" t="s">
        <v>94</v>
      </c>
      <c r="L6" s="16">
        <v>350</v>
      </c>
      <c r="M6" s="15" t="s">
        <v>24</v>
      </c>
    </row>
    <row r="7" spans="1:14" ht="20.25" x14ac:dyDescent="0.2">
      <c r="F7" s="15" t="s">
        <v>74</v>
      </c>
      <c r="G7" s="16">
        <v>20</v>
      </c>
      <c r="H7" s="15" t="s">
        <v>1</v>
      </c>
      <c r="K7" s="15" t="s">
        <v>95</v>
      </c>
      <c r="L7" s="16">
        <v>12</v>
      </c>
      <c r="M7" s="15" t="s">
        <v>24</v>
      </c>
    </row>
    <row r="8" spans="1:14" ht="20.25" x14ac:dyDescent="0.2">
      <c r="A8" s="23" t="s">
        <v>97</v>
      </c>
      <c r="B8" s="23"/>
      <c r="C8" s="23"/>
      <c r="K8" s="15" t="s">
        <v>96</v>
      </c>
      <c r="L8" s="16">
        <v>15</v>
      </c>
      <c r="M8" s="15" t="s">
        <v>24</v>
      </c>
    </row>
    <row r="9" spans="1:14" ht="21" x14ac:dyDescent="0.2">
      <c r="A9" s="15" t="s">
        <v>76</v>
      </c>
      <c r="B9" s="16">
        <v>0.25</v>
      </c>
      <c r="C9" s="15" t="s">
        <v>73</v>
      </c>
      <c r="F9" s="11"/>
      <c r="G9" s="11"/>
    </row>
    <row r="10" spans="1:14" x14ac:dyDescent="0.2">
      <c r="B10" s="16"/>
      <c r="C10" s="16"/>
      <c r="F10" s="26" t="s">
        <v>35</v>
      </c>
      <c r="G10" s="26"/>
    </row>
    <row r="11" spans="1:14" x14ac:dyDescent="0.2">
      <c r="A11" s="23" t="s">
        <v>25</v>
      </c>
      <c r="B11" s="23"/>
      <c r="C11" s="23"/>
      <c r="F11" s="23" t="s">
        <v>45</v>
      </c>
      <c r="G11" s="23"/>
      <c r="H11" s="23"/>
      <c r="I11" s="23"/>
      <c r="K11" s="23" t="s">
        <v>44</v>
      </c>
      <c r="L11" s="23"/>
      <c r="M11" s="23"/>
    </row>
    <row r="12" spans="1:14" x14ac:dyDescent="0.2">
      <c r="A12" s="15" t="s">
        <v>26</v>
      </c>
      <c r="B12" s="25" t="s">
        <v>28</v>
      </c>
      <c r="C12" s="25"/>
      <c r="F12" s="15" t="s">
        <v>13</v>
      </c>
      <c r="G12" s="16">
        <v>1</v>
      </c>
      <c r="H12" s="15" t="s">
        <v>29</v>
      </c>
      <c r="K12" s="15" t="s">
        <v>13</v>
      </c>
      <c r="L12" s="16">
        <v>1</v>
      </c>
      <c r="M12" s="15" t="s">
        <v>29</v>
      </c>
    </row>
    <row r="13" spans="1:14" ht="21" x14ac:dyDescent="0.2">
      <c r="A13" s="15" t="s">
        <v>75</v>
      </c>
      <c r="B13" s="16">
        <v>5.2</v>
      </c>
      <c r="C13" s="15" t="s">
        <v>73</v>
      </c>
      <c r="F13" s="15" t="s">
        <v>77</v>
      </c>
      <c r="G13" s="15">
        <f>2*B19*G12+4*G12*0.5*(B19-0.1*L5)</f>
        <v>206</v>
      </c>
      <c r="H13" s="15" t="s">
        <v>78</v>
      </c>
      <c r="K13" s="15" t="s">
        <v>79</v>
      </c>
      <c r="L13" s="15">
        <f>L5*0.1</f>
        <v>57</v>
      </c>
      <c r="M13" s="15" t="s">
        <v>29</v>
      </c>
    </row>
    <row r="14" spans="1:14" ht="21" x14ac:dyDescent="0.2">
      <c r="A14" s="15" t="s">
        <v>34</v>
      </c>
      <c r="B14" s="16">
        <v>2</v>
      </c>
      <c r="C14" s="15" t="s">
        <v>29</v>
      </c>
      <c r="F14" s="15" t="s">
        <v>80</v>
      </c>
      <c r="G14" s="15">
        <f>2*((0.6*B19^3)/12)+4*(((0.6*(0.5*(B19-0.1*L5))^3)/12)+0.6*0.5*(B19-0.1*L5)*(0.5*B19-0.5*0.5*(B19-0.1*L5))^2)</f>
        <v>83880.7</v>
      </c>
      <c r="H14" s="15" t="s">
        <v>81</v>
      </c>
      <c r="K14" s="15" t="s">
        <v>21</v>
      </c>
      <c r="L14" s="15">
        <f>G5/(0.1*L5)+0.5*ABS(G6)</f>
        <v>145.17543859649123</v>
      </c>
      <c r="M14" s="15" t="s">
        <v>1</v>
      </c>
    </row>
    <row r="15" spans="1:14" ht="21" x14ac:dyDescent="0.2">
      <c r="A15" s="15" t="s">
        <v>33</v>
      </c>
      <c r="B15" s="16">
        <v>4</v>
      </c>
      <c r="C15" s="15" t="s">
        <v>52</v>
      </c>
      <c r="F15" s="15" t="s">
        <v>82</v>
      </c>
      <c r="G15" s="15">
        <f>(G6/G13)-((G5*0.1*L5)/G14)</f>
        <v>-3.4463014687723219</v>
      </c>
      <c r="H15" s="15" t="s">
        <v>73</v>
      </c>
      <c r="K15" s="15" t="s">
        <v>46</v>
      </c>
      <c r="L15" s="15">
        <f>G5/(0.1*L5)+0.5*G6</f>
        <v>-4.8245614035087669</v>
      </c>
      <c r="M15" s="15" t="s">
        <v>1</v>
      </c>
    </row>
    <row r="16" spans="1:14" ht="21" x14ac:dyDescent="0.2">
      <c r="B16" s="16"/>
      <c r="F16" s="15" t="s">
        <v>83</v>
      </c>
      <c r="G16" s="15">
        <f>(G6/G13)+((G5*0.1*L5)/G14)</f>
        <v>1.9899907891606712</v>
      </c>
      <c r="H16" s="15" t="s">
        <v>73</v>
      </c>
      <c r="K16" s="15" t="s">
        <v>27</v>
      </c>
      <c r="L16" s="15">
        <f>MAX(L15,0.6*L14)/(2*L12*L13)</f>
        <v>0.7640812557710065</v>
      </c>
      <c r="M16" s="15" t="s">
        <v>73</v>
      </c>
      <c r="N16" s="13" t="str">
        <f>IF(L16&lt;=0.7*0.4*B6,"Safe","Unsafe")</f>
        <v>Safe</v>
      </c>
    </row>
    <row r="17" spans="1:10" ht="21" x14ac:dyDescent="0.2">
      <c r="A17" s="23" t="s">
        <v>30</v>
      </c>
      <c r="B17" s="23"/>
      <c r="C17" s="23"/>
      <c r="F17" s="15" t="s">
        <v>37</v>
      </c>
      <c r="G17" s="15">
        <f>G7/G13</f>
        <v>9.7087378640776698E-2</v>
      </c>
      <c r="H17" s="15" t="s">
        <v>73</v>
      </c>
    </row>
    <row r="18" spans="1:10" ht="21" x14ac:dyDescent="0.2">
      <c r="A18" s="15" t="s">
        <v>31</v>
      </c>
      <c r="B18" s="22">
        <f>0.1*(L6+200)</f>
        <v>55</v>
      </c>
      <c r="C18" s="15" t="s">
        <v>29</v>
      </c>
      <c r="F18" s="15" t="s">
        <v>106</v>
      </c>
      <c r="G18" s="15">
        <f>SQRT(MAX(G16,ABS(G15))^2+3*(G17)^2)</f>
        <v>3.4504016709560461</v>
      </c>
      <c r="H18" s="15" t="s">
        <v>73</v>
      </c>
      <c r="I18" s="13" t="str">
        <f>IF(G18&lt;=1.1*0.7*0.4*B6,"Safe","Unsafe")</f>
        <v>Unsafe</v>
      </c>
    </row>
    <row r="19" spans="1:10" x14ac:dyDescent="0.2">
      <c r="A19" s="15" t="s">
        <v>32</v>
      </c>
      <c r="B19" s="22">
        <f>0.1*((L5+2*L8)+200)</f>
        <v>80</v>
      </c>
      <c r="C19" s="15" t="s">
        <v>29</v>
      </c>
    </row>
    <row r="20" spans="1:10" x14ac:dyDescent="0.2">
      <c r="A20" s="15" t="s">
        <v>47</v>
      </c>
      <c r="B20" s="15">
        <f>(L5+2*L8)*0.1</f>
        <v>60</v>
      </c>
      <c r="C20" s="15" t="s">
        <v>29</v>
      </c>
    </row>
    <row r="21" spans="1:10" x14ac:dyDescent="0.2">
      <c r="F21" s="23" t="s">
        <v>48</v>
      </c>
      <c r="G21" s="23"/>
      <c r="H21" s="23"/>
      <c r="I21" s="23"/>
    </row>
    <row r="22" spans="1:10" x14ac:dyDescent="0.2">
      <c r="F22" s="26" t="s">
        <v>54</v>
      </c>
      <c r="G22" s="26"/>
    </row>
    <row r="23" spans="1:10" x14ac:dyDescent="0.2">
      <c r="F23" s="29" t="str">
        <f>IF(I24=B1,"No Tension on Anchor bolts","")</f>
        <v/>
      </c>
      <c r="G23" s="29"/>
      <c r="H23" s="29"/>
      <c r="I23" s="29"/>
      <c r="J23" s="20"/>
    </row>
    <row r="24" spans="1:10" x14ac:dyDescent="0.2">
      <c r="F24" s="15" t="s">
        <v>49</v>
      </c>
      <c r="G24" s="15">
        <f>G5/ABS(G6)</f>
        <v>26.666666666666668</v>
      </c>
      <c r="H24" s="15" t="s">
        <v>29</v>
      </c>
      <c r="I24" s="20" t="str">
        <f>IF(G24&lt;=(1/6)*B19,"Small ecc.","Big ecc.")</f>
        <v>Big ecc.</v>
      </c>
    </row>
    <row r="25" spans="1:10" x14ac:dyDescent="0.2">
      <c r="F25" s="15" t="str">
        <f>IF(F23="No Tension on Anchor bolts","","x")</f>
        <v>x</v>
      </c>
      <c r="G25" s="16"/>
      <c r="H25" s="15" t="str">
        <f>IF(F23="No Tension on Anchor bolts","","cm")</f>
        <v>cm</v>
      </c>
    </row>
    <row r="26" spans="1:10" x14ac:dyDescent="0.2">
      <c r="C26" s="15" t="str">
        <f>IF(F23="No Tension on Anchor bolts","","A*a2 + B*a + C=0")</f>
        <v>A*a2 + B*a + C=0</v>
      </c>
      <c r="F26" s="15" t="str">
        <f>IF(F23="No Tension on Anchor bolts","","C")</f>
        <v>C</v>
      </c>
      <c r="G26" s="15">
        <f>IF(F23="No Tension on Anchor bolts","",IF(I24=B1,"0",0.45*B9*MIN(G27,G28)*B18))</f>
        <v>146.754397012683</v>
      </c>
      <c r="H26" s="15" t="str">
        <f>IF(F23="No Tension on Anchor bolts","","ton")</f>
        <v>ton</v>
      </c>
    </row>
    <row r="27" spans="1:10" ht="20.25" customHeight="1" x14ac:dyDescent="0.2">
      <c r="C27" s="15" t="str">
        <f>IF(F23="No Tension on Anchor bolts","","A")</f>
        <v>A</v>
      </c>
      <c r="D27" s="15">
        <f>IF(F23="No Tension on Anchor bolts","",IF(I24=B1,"0",0.5*(0.45*B9*B18)))</f>
        <v>3.09375</v>
      </c>
      <c r="E27" s="23" t="str">
        <f>IF(F23="No Tension on Anchor bolts","","&lt;&lt;&lt;&lt;")</f>
        <v>&lt;&lt;&lt;&lt;</v>
      </c>
      <c r="F27" s="15" t="str">
        <f>IF(F23="No Tension on Anchor bolts","","a1")</f>
        <v>a1</v>
      </c>
      <c r="G27" s="15">
        <f>IF(F23="No Tension on Anchor bolts","",IF(I24=B1,"0",(-D28-SQRT(D28^2-4*D27*D29))/(2*D27)))</f>
        <v>23.717882345484121</v>
      </c>
      <c r="H27" s="20" t="str">
        <f>IF(F23="No Tension on Anchor bolts","","cm")</f>
        <v>cm</v>
      </c>
      <c r="I27" s="19" t="str">
        <f>IF(F23="No Tension on Anchor bolts","",IF(G27&gt;B19,"Reject","Ok"))</f>
        <v>Ok</v>
      </c>
    </row>
    <row r="28" spans="1:10" x14ac:dyDescent="0.2">
      <c r="C28" s="15" t="str">
        <f>IF(F23="No Tension on Anchor bolts","","B")</f>
        <v>B</v>
      </c>
      <c r="D28" s="15">
        <f>IF(F23="No Tension on Anchor bolts","",IF(I24=B1,"0",(-(0.45*B9*B18*(B19-G25)))))</f>
        <v>-495</v>
      </c>
      <c r="E28" s="23"/>
      <c r="F28" s="15" t="str">
        <f>IF(F23="No Tension on Anchor bolts","","a2")</f>
        <v>a2</v>
      </c>
      <c r="G28" s="15">
        <f>IF(F23="No Tension on Anchor bolts","",IF(I24=B1,"0",(-D28+SQRT(D28^2-4*D27*D29))/(2*D27)))</f>
        <v>136.28211765451587</v>
      </c>
      <c r="H28" s="20" t="str">
        <f>IF(F23="No Tension on Anchor bolts","","cm")</f>
        <v>cm</v>
      </c>
      <c r="I28" s="13" t="str">
        <f>IF(F23="No Tension on Anchor bolts","",IF(G28&gt;B19,"Reject","Ok"))</f>
        <v>Reject</v>
      </c>
    </row>
    <row r="29" spans="1:10" x14ac:dyDescent="0.2">
      <c r="C29" s="15" t="str">
        <f>IF(F23="No Tension on Anchor bolts","","C")</f>
        <v>C</v>
      </c>
      <c r="D29" s="15">
        <f>IF(F23="No Tension on Anchor bolts","",IF(I24=B1,"0",ABS(G6)*(0.5*B19-G25)+G5))</f>
        <v>10000</v>
      </c>
      <c r="F29" s="15" t="str">
        <f>IF(F23="No Tension on Anchor bolts","","T")</f>
        <v>T</v>
      </c>
      <c r="G29" s="15">
        <f>IF(F23="No Tension on Anchor bolts","",IF(I24=B1,"0",G26-ABS(G6)))</f>
        <v>-3.2456029873169996</v>
      </c>
      <c r="H29" s="20" t="str">
        <f>IF(F23="No Tension on Anchor bolts","","ton")</f>
        <v>ton</v>
      </c>
    </row>
    <row r="30" spans="1:10" x14ac:dyDescent="0.2">
      <c r="F30" s="15" t="str">
        <f>IF(F23="No Tension on Anchor bolts","","Rt bolt")</f>
        <v>Rt bolt</v>
      </c>
      <c r="G30" s="15">
        <f>IF(F23="No Tension on Anchor bolts","",IF(I24=B1,"0",0.7*0.66*B13*0.78*((22/7)/4)*B14^2*0.85))</f>
        <v>5.0059152000000005</v>
      </c>
      <c r="H30" s="20" t="str">
        <f>IF(F23="No Tension on Anchor bolts","","ton")</f>
        <v>ton</v>
      </c>
      <c r="I30" s="13" t="str">
        <f>IF(F23="No Tension on Anchor bolts","",IF(G30&gt;=G29/B15,"Safe","Unsafe"))</f>
        <v>Safe</v>
      </c>
    </row>
    <row r="32" spans="1:10" x14ac:dyDescent="0.2">
      <c r="F32" s="26" t="s">
        <v>55</v>
      </c>
      <c r="G32" s="26"/>
    </row>
    <row r="33" spans="6:15" x14ac:dyDescent="0.2">
      <c r="F33" s="28" t="str">
        <f>IF(I24=B2,"No need to make this check","")</f>
        <v>No need to make this check</v>
      </c>
      <c r="G33" s="28"/>
      <c r="H33" s="28"/>
      <c r="I33" s="28"/>
    </row>
    <row r="34" spans="6:15" x14ac:dyDescent="0.2">
      <c r="F34" s="15" t="str">
        <f>IF(F33="No need to make this check","","A base plate")</f>
        <v/>
      </c>
      <c r="G34" s="15" t="str">
        <f>IF(F33="No need to make this check","",IF(I24=B1,B18*B19,"0"))</f>
        <v/>
      </c>
      <c r="H34" s="15" t="str">
        <f>IF(F33="No need to make this check","","cm2")</f>
        <v/>
      </c>
    </row>
    <row r="35" spans="6:15" x14ac:dyDescent="0.2">
      <c r="F35" s="15" t="str">
        <f>IF(F33="No need to make this check","","Iy base plate")</f>
        <v/>
      </c>
      <c r="G35" s="15" t="str">
        <f>IF(F33="No need to make this check","",IF(I24=B1,(B18*B19^3)/12,"0"))</f>
        <v/>
      </c>
      <c r="H35" s="15" t="str">
        <f>IF(F33="No need to make this check","","cm4")</f>
        <v/>
      </c>
    </row>
    <row r="36" spans="6:15" x14ac:dyDescent="0.2">
      <c r="F36" s="15" t="str">
        <f>IF(F33="No need to make this check","","f")</f>
        <v/>
      </c>
      <c r="G36" s="15" t="str">
        <f>IF(F33="No need to make this check","",IF(I24=B1,(G6/G34)-(G5/G35),"0"))</f>
        <v/>
      </c>
      <c r="H36" s="15" t="str">
        <f>IF(F33="No need to make this check","","t/cm2")</f>
        <v/>
      </c>
      <c r="I36" s="13" t="str">
        <f>IF(F33="No need to make this check","",IF(ABS(G36)&lt;=0.6*0.85*B9,"Safe","Unsafe"))</f>
        <v/>
      </c>
    </row>
    <row r="39" spans="6:15" x14ac:dyDescent="0.2">
      <c r="F39" s="26" t="s">
        <v>40</v>
      </c>
      <c r="G39" s="26"/>
      <c r="H39" s="26"/>
    </row>
    <row r="40" spans="6:15" x14ac:dyDescent="0.2">
      <c r="F40" s="26" t="s">
        <v>56</v>
      </c>
      <c r="G40" s="26"/>
      <c r="J40" s="26" t="s">
        <v>57</v>
      </c>
      <c r="K40" s="26"/>
    </row>
    <row r="41" spans="6:15" ht="20.25" x14ac:dyDescent="0.2">
      <c r="F41" s="15" t="s">
        <v>84</v>
      </c>
      <c r="G41" s="15">
        <f>0.45*B9*(0.5*((0.5*(B18-0.1*L6))^2))</f>
        <v>5.625</v>
      </c>
      <c r="H41" s="15" t="s">
        <v>43</v>
      </c>
      <c r="J41" s="15" t="s">
        <v>49</v>
      </c>
      <c r="K41" s="16">
        <v>5</v>
      </c>
      <c r="L41" s="15" t="s">
        <v>29</v>
      </c>
    </row>
    <row r="42" spans="6:15" ht="20.25" x14ac:dyDescent="0.2">
      <c r="F42" s="15" t="s">
        <v>85</v>
      </c>
      <c r="G42" s="15">
        <f>((0.45*B9*(0.1*L6)^2)/8)-G41</f>
        <v>11.6015625</v>
      </c>
      <c r="H42" s="15" t="s">
        <v>43</v>
      </c>
      <c r="J42" s="15" t="s">
        <v>58</v>
      </c>
      <c r="K42" s="15">
        <f>2*K41</f>
        <v>10</v>
      </c>
      <c r="L42" s="15" t="s">
        <v>29</v>
      </c>
    </row>
    <row r="43" spans="6:15" ht="20.25" x14ac:dyDescent="0.2">
      <c r="F43" s="15" t="s">
        <v>70</v>
      </c>
      <c r="G43" s="15">
        <f>MAX(G41,G42)</f>
        <v>11.6015625</v>
      </c>
      <c r="H43" s="15" t="s">
        <v>43</v>
      </c>
      <c r="J43" s="15" t="s">
        <v>70</v>
      </c>
      <c r="K43" s="15">
        <f>IFERROR((G29/B15)*K41,"")</f>
        <v>-4.0570037341462495</v>
      </c>
      <c r="L43" s="15" t="s">
        <v>43</v>
      </c>
    </row>
    <row r="44" spans="6:15" ht="20.25" x14ac:dyDescent="0.2">
      <c r="F44" s="15" t="s">
        <v>87</v>
      </c>
      <c r="G44" s="15">
        <f>SQRT((4*G43)/(1*0.85*B5))</f>
        <v>3.8942831402545179</v>
      </c>
      <c r="H44" s="15" t="s">
        <v>29</v>
      </c>
      <c r="J44" s="15" t="s">
        <v>87</v>
      </c>
      <c r="K44" s="15" t="str">
        <f>IFERROR(SQRT((4*K43)/(K42*0.85*B5)),"")</f>
        <v/>
      </c>
      <c r="L44" s="15" t="s">
        <v>29</v>
      </c>
      <c r="M44" s="15" t="s">
        <v>86</v>
      </c>
      <c r="N44" s="15">
        <f>EVEN(ROUNDUP(MAX(K44,G44),1))</f>
        <v>4</v>
      </c>
      <c r="O44" s="15" t="s">
        <v>29</v>
      </c>
    </row>
  </sheetData>
  <mergeCells count="19">
    <mergeCell ref="F21:I21"/>
    <mergeCell ref="F22:G22"/>
    <mergeCell ref="J40:K40"/>
    <mergeCell ref="E27:E28"/>
    <mergeCell ref="F23:I23"/>
    <mergeCell ref="F32:G32"/>
    <mergeCell ref="F33:I33"/>
    <mergeCell ref="F39:H39"/>
    <mergeCell ref="F40:G40"/>
    <mergeCell ref="K4:M4"/>
    <mergeCell ref="B12:C12"/>
    <mergeCell ref="A11:C11"/>
    <mergeCell ref="A17:C17"/>
    <mergeCell ref="F10:G10"/>
    <mergeCell ref="A8:C8"/>
    <mergeCell ref="F4:H4"/>
    <mergeCell ref="B4:C4"/>
    <mergeCell ref="F11:I11"/>
    <mergeCell ref="K11:M11"/>
  </mergeCells>
  <conditionalFormatting sqref="I18">
    <cfRule type="cellIs" dxfId="13" priority="13" operator="equal">
      <formula>"Unsafe"</formula>
    </cfRule>
    <cfRule type="cellIs" dxfId="12" priority="14" operator="equal">
      <formula>"Safe"</formula>
    </cfRule>
  </conditionalFormatting>
  <conditionalFormatting sqref="N16">
    <cfRule type="cellIs" dxfId="11" priority="11" operator="equal">
      <formula>"Unsafe"</formula>
    </cfRule>
    <cfRule type="cellIs" dxfId="10" priority="12" operator="equal">
      <formula>"Safe"</formula>
    </cfRule>
  </conditionalFormatting>
  <conditionalFormatting sqref="I27:I28">
    <cfRule type="cellIs" dxfId="9" priority="10" operator="equal">
      <formula>"Ok"</formula>
    </cfRule>
  </conditionalFormatting>
  <conditionalFormatting sqref="I27:I28">
    <cfRule type="cellIs" dxfId="8" priority="9" operator="equal">
      <formula>"Reject"</formula>
    </cfRule>
  </conditionalFormatting>
  <conditionalFormatting sqref="I30">
    <cfRule type="cellIs" dxfId="7" priority="7" operator="equal">
      <formula>"Unsafe"</formula>
    </cfRule>
    <cfRule type="cellIs" dxfId="6" priority="8" operator="equal">
      <formula>"Safe"</formula>
    </cfRule>
  </conditionalFormatting>
  <conditionalFormatting sqref="F23:I23">
    <cfRule type="cellIs" dxfId="5" priority="6" operator="equal">
      <formula>"No Tension on Anchor bolts"</formula>
    </cfRule>
  </conditionalFormatting>
  <conditionalFormatting sqref="I36">
    <cfRule type="cellIs" dxfId="4" priority="4" operator="equal">
      <formula>"Unsafe"</formula>
    </cfRule>
    <cfRule type="cellIs" dxfId="3" priority="5" operator="equal">
      <formula>"Safe"</formula>
    </cfRule>
  </conditionalFormatting>
  <conditionalFormatting sqref="F33:I33">
    <cfRule type="cellIs" dxfId="2" priority="1" operator="equal">
      <formula>"No need to make this check"</formula>
    </cfRule>
    <cfRule type="cellIs" dxfId="1" priority="2" operator="equal">
      <formula>"No need to make this check "</formula>
    </cfRule>
    <cfRule type="cellIs" dxfId="0" priority="3" operator="equal">
      <formula>"no need to make this check "</formula>
    </cfRule>
  </conditionalFormatting>
  <dataValidations count="2">
    <dataValidation type="list" allowBlank="1" showInputMessage="1" showErrorMessage="1" sqref="K2:L2" xr:uid="{0243C71A-B0AB-41CB-BA2E-20F23705847E}">
      <formula1>#REF!</formula1>
    </dataValidation>
    <dataValidation type="list" allowBlank="1" showInputMessage="1" showErrorMessage="1" sqref="B4" xr:uid="{05EAAAB7-60DB-4C52-B3D2-02FF07CA6E4B}">
      <formula1>$A$1:$A$3</formula1>
    </dataValidation>
  </dataValidations>
  <pageMargins left="0.7" right="0.7" top="0.75" bottom="0.75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Hinged</vt:lpstr>
      <vt:lpstr>Hinged B.U.S (N&amp;Q)</vt:lpstr>
      <vt:lpstr>Hinged B.U.S (T&amp;Q)</vt:lpstr>
      <vt:lpstr>Fixed Rolled</vt:lpstr>
      <vt:lpstr>Fixed B.U.S</vt:lpstr>
      <vt:lpstr>'Fixed B.U.S'!Print_Area</vt:lpstr>
      <vt:lpstr>'Fixed Rolled'!Print_Area</vt:lpstr>
      <vt:lpstr>Hinged!Print_Area</vt:lpstr>
      <vt:lpstr>'Hinged B.U.S (N&amp;Q)'!Print_Area</vt:lpstr>
      <vt:lpstr>'Hinged B.U.S (T&amp;Q)'!Print_Area</vt:lpstr>
      <vt:lpstr>table</vt:lpstr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Windows User</cp:lastModifiedBy>
  <cp:lastPrinted>2022-06-17T08:11:17Z</cp:lastPrinted>
  <dcterms:created xsi:type="dcterms:W3CDTF">2019-09-19T21:25:39Z</dcterms:created>
  <dcterms:modified xsi:type="dcterms:W3CDTF">2022-06-17T08:27:09Z</dcterms:modified>
</cp:coreProperties>
</file>