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Study\all about steel structure\Excel Sheets\my sheets\LRFD\"/>
    </mc:Choice>
  </mc:AlternateContent>
  <xr:revisionPtr revIDLastSave="0" documentId="13_ncr:1_{AEC48041-D7C4-4B84-8C62-6612DA019DF5}" xr6:coauthVersionLast="47" xr6:coauthVersionMax="47" xr10:uidLastSave="{00000000-0000-0000-0000-000000000000}"/>
  <bookViews>
    <workbookView xWindow="-120" yWindow="-120" windowWidth="20730" windowHeight="11310" xr2:uid="{FBC72F88-6DF6-4FD6-9869-2D219FC85F79}"/>
  </bookViews>
  <sheets>
    <sheet name="Angles" sheetId="1" r:id="rId1"/>
    <sheet name="Pipes" sheetId="2" r:id="rId2"/>
  </sheets>
  <definedNames>
    <definedName name="_xlnm.Print_Area" localSheetId="0">Angles!$A$4:$K$25</definedName>
    <definedName name="_xlnm.Print_Area" localSheetId="1">Pipes!$A$4:$H$23</definedName>
    <definedName name="table">Angles!$S$1:$AG$12</definedName>
    <definedName name="table1">Angles!$S$1:$AG$20</definedName>
    <definedName name="table2">Pipes!$R$1:$Z$71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H16" i="1"/>
  <c r="D14" i="1"/>
  <c r="B21" i="1"/>
  <c r="B18" i="1" s="1"/>
  <c r="B20" i="1"/>
  <c r="B19" i="1"/>
  <c r="B17" i="1"/>
  <c r="B16" i="1"/>
  <c r="B15" i="1"/>
  <c r="B14" i="1"/>
  <c r="B23" i="2" l="1"/>
  <c r="B22" i="2"/>
  <c r="B21" i="2"/>
  <c r="B20" i="2"/>
  <c r="B19" i="2"/>
  <c r="F20" i="2" s="1"/>
  <c r="G20" i="2" s="1"/>
  <c r="B18" i="2"/>
  <c r="B17" i="2"/>
  <c r="F17" i="2" l="1"/>
  <c r="G17" i="2" s="1"/>
  <c r="F6" i="2"/>
  <c r="B6" i="2"/>
  <c r="F14" i="2" s="1"/>
  <c r="B5" i="2"/>
  <c r="F10" i="2" s="1"/>
  <c r="G6" i="2" l="1"/>
  <c r="H14" i="2"/>
  <c r="H10" i="2"/>
  <c r="I6" i="1"/>
  <c r="B23" i="1" l="1"/>
  <c r="K6" i="1"/>
  <c r="B6" i="1"/>
  <c r="B5" i="1"/>
  <c r="I16" i="1" l="1"/>
  <c r="K16" i="1" s="1"/>
  <c r="I15" i="1"/>
  <c r="K15" i="1" s="1"/>
  <c r="I20" i="1"/>
  <c r="I21" i="1" s="1"/>
  <c r="K21" i="1" s="1"/>
  <c r="I9" i="1"/>
  <c r="K9" i="1" s="1"/>
  <c r="D24" i="1"/>
  <c r="B25" i="1" s="1"/>
  <c r="I10" i="1" s="1"/>
  <c r="K10" i="1" l="1"/>
</calcChain>
</file>

<file path=xl/sharedStrings.xml><?xml version="1.0" encoding="utf-8"?>
<sst xmlns="http://schemas.openxmlformats.org/spreadsheetml/2006/main" count="237" uniqueCount="182">
  <si>
    <t>Welded</t>
  </si>
  <si>
    <t>Single Angle</t>
  </si>
  <si>
    <t>Bolted</t>
  </si>
  <si>
    <t>Double Angle</t>
  </si>
  <si>
    <t>Star Shape</t>
  </si>
  <si>
    <t xml:space="preserve">Angle </t>
  </si>
  <si>
    <t>45x5</t>
  </si>
  <si>
    <t>50x5</t>
  </si>
  <si>
    <t>55x5</t>
  </si>
  <si>
    <t>60x6</t>
  </si>
  <si>
    <t>65x7</t>
  </si>
  <si>
    <t>70x7</t>
  </si>
  <si>
    <t>75x7</t>
  </si>
  <si>
    <t>80x8</t>
  </si>
  <si>
    <t>90x9</t>
  </si>
  <si>
    <t>100x10</t>
  </si>
  <si>
    <t>Ton</t>
  </si>
  <si>
    <t>cm</t>
  </si>
  <si>
    <t>Section</t>
  </si>
  <si>
    <t>mm</t>
  </si>
  <si>
    <t>a</t>
  </si>
  <si>
    <t>Area</t>
  </si>
  <si>
    <t>t</t>
  </si>
  <si>
    <t>unitless</t>
  </si>
  <si>
    <t>Checks :</t>
  </si>
  <si>
    <t>i- Min. Angle</t>
  </si>
  <si>
    <t>ii- Capacity</t>
  </si>
  <si>
    <t>iv- Deflection</t>
  </si>
  <si>
    <t>38x3</t>
  </si>
  <si>
    <t>38x4</t>
  </si>
  <si>
    <t>44.5x3</t>
  </si>
  <si>
    <t>44.5x4</t>
  </si>
  <si>
    <t>44.5x5</t>
  </si>
  <si>
    <t>60x3</t>
  </si>
  <si>
    <t>60x4</t>
  </si>
  <si>
    <t>60x5</t>
  </si>
  <si>
    <t>70x3</t>
  </si>
  <si>
    <t>70x4</t>
  </si>
  <si>
    <t>70x5</t>
  </si>
  <si>
    <t>70x6</t>
  </si>
  <si>
    <t>76x3</t>
  </si>
  <si>
    <t>76x4</t>
  </si>
  <si>
    <t>76x5</t>
  </si>
  <si>
    <t>76x6</t>
  </si>
  <si>
    <t>89x4</t>
  </si>
  <si>
    <t>89x5</t>
  </si>
  <si>
    <t>89x6</t>
  </si>
  <si>
    <t>89x7</t>
  </si>
  <si>
    <t>108x5</t>
  </si>
  <si>
    <t>108x6</t>
  </si>
  <si>
    <t>108x7</t>
  </si>
  <si>
    <t>108x8</t>
  </si>
  <si>
    <t>133x5</t>
  </si>
  <si>
    <t>133x6</t>
  </si>
  <si>
    <t>133x7</t>
  </si>
  <si>
    <t>133x8</t>
  </si>
  <si>
    <t>159x5</t>
  </si>
  <si>
    <t>159x6</t>
  </si>
  <si>
    <t>159x7</t>
  </si>
  <si>
    <t>159x8</t>
  </si>
  <si>
    <t>159x10</t>
  </si>
  <si>
    <t>194x6</t>
  </si>
  <si>
    <t>194x7</t>
  </si>
  <si>
    <t>194x8</t>
  </si>
  <si>
    <t>194x10</t>
  </si>
  <si>
    <t>219x6</t>
  </si>
  <si>
    <t>219x7</t>
  </si>
  <si>
    <t>219x8</t>
  </si>
  <si>
    <t>219x10</t>
  </si>
  <si>
    <t>219x12</t>
  </si>
  <si>
    <t>245x7</t>
  </si>
  <si>
    <t>245x8</t>
  </si>
  <si>
    <t>245x10</t>
  </si>
  <si>
    <t>245x12</t>
  </si>
  <si>
    <t>245x14</t>
  </si>
  <si>
    <t>273x7</t>
  </si>
  <si>
    <t>273x8</t>
  </si>
  <si>
    <t>273x10</t>
  </si>
  <si>
    <t>273x12</t>
  </si>
  <si>
    <t>273x14</t>
  </si>
  <si>
    <t>325x8</t>
  </si>
  <si>
    <t>325x10</t>
  </si>
  <si>
    <t>325x12</t>
  </si>
  <si>
    <t>325x14</t>
  </si>
  <si>
    <t>325x16</t>
  </si>
  <si>
    <t>368x8</t>
  </si>
  <si>
    <t>368x10</t>
  </si>
  <si>
    <t>368x12</t>
  </si>
  <si>
    <t>368x14</t>
  </si>
  <si>
    <t>368x16</t>
  </si>
  <si>
    <t>368x20</t>
  </si>
  <si>
    <t>419x10</t>
  </si>
  <si>
    <t>419x12</t>
  </si>
  <si>
    <t>419x16</t>
  </si>
  <si>
    <t>419x20</t>
  </si>
  <si>
    <t>529x9</t>
  </si>
  <si>
    <t>529x10</t>
  </si>
  <si>
    <t>D</t>
  </si>
  <si>
    <t>Weight</t>
  </si>
  <si>
    <t>Kg/m'</t>
  </si>
  <si>
    <t>i- Compactness</t>
  </si>
  <si>
    <t>D/t =</t>
  </si>
  <si>
    <t>1- Yielding</t>
  </si>
  <si>
    <t>2- Fracture</t>
  </si>
  <si>
    <t>U =</t>
  </si>
  <si>
    <t>iii- Stiffness</t>
  </si>
  <si>
    <t>L / d</t>
  </si>
  <si>
    <t>Angle (mm)</t>
  </si>
  <si>
    <t>Distances (cm)</t>
  </si>
  <si>
    <t>x-x &amp; y-y</t>
  </si>
  <si>
    <t>u-u</t>
  </si>
  <si>
    <t>v-v</t>
  </si>
  <si>
    <t>s</t>
  </si>
  <si>
    <t>(kg/m`)</t>
  </si>
  <si>
    <t>e</t>
  </si>
  <si>
    <t>w</t>
  </si>
  <si>
    <t>Pipe</t>
  </si>
  <si>
    <t>x-x</t>
  </si>
  <si>
    <t>No.</t>
  </si>
  <si>
    <t>(mm)</t>
  </si>
  <si>
    <t>L =</t>
  </si>
  <si>
    <t>Tult =</t>
  </si>
  <si>
    <t>a =</t>
  </si>
  <si>
    <t>d =</t>
  </si>
  <si>
    <t>t =</t>
  </si>
  <si>
    <t>Ag =</t>
  </si>
  <si>
    <t>e =</t>
  </si>
  <si>
    <t>iii- Slenderness</t>
  </si>
  <si>
    <t>L/d =</t>
  </si>
  <si>
    <t>110x10</t>
  </si>
  <si>
    <t>120x12</t>
  </si>
  <si>
    <t>130x12</t>
  </si>
  <si>
    <t>140x13</t>
  </si>
  <si>
    <t>150x14</t>
  </si>
  <si>
    <t>160x15</t>
  </si>
  <si>
    <t>180x16</t>
  </si>
  <si>
    <t>200x16</t>
  </si>
  <si>
    <r>
      <t>(cm</t>
    </r>
    <r>
      <rPr>
        <b/>
        <vertAlign val="superscript"/>
        <sz val="14"/>
        <rFont val="Calibri"/>
        <family val="2"/>
      </rPr>
      <t>2</t>
    </r>
    <r>
      <rPr>
        <b/>
        <sz val="14"/>
        <rFont val="Calibri"/>
        <family val="2"/>
      </rPr>
      <t>)</t>
    </r>
  </si>
  <si>
    <r>
      <t>u</t>
    </r>
    <r>
      <rPr>
        <b/>
        <vertAlign val="subscript"/>
        <sz val="14"/>
        <rFont val="Calibri"/>
        <family val="2"/>
      </rPr>
      <t>1</t>
    </r>
  </si>
  <si>
    <r>
      <t>u</t>
    </r>
    <r>
      <rPr>
        <b/>
        <vertAlign val="subscript"/>
        <sz val="14"/>
        <rFont val="Calibri"/>
        <family val="2"/>
      </rPr>
      <t>2</t>
    </r>
  </si>
  <si>
    <r>
      <t>I</t>
    </r>
    <r>
      <rPr>
        <b/>
        <vertAlign val="subscript"/>
        <sz val="14"/>
        <rFont val="Calibri"/>
        <family val="2"/>
      </rPr>
      <t>x</t>
    </r>
    <r>
      <rPr>
        <b/>
        <sz val="14"/>
        <rFont val="Calibri"/>
        <family val="2"/>
      </rPr>
      <t>(cm</t>
    </r>
    <r>
      <rPr>
        <b/>
        <vertAlign val="superscript"/>
        <sz val="14"/>
        <rFont val="Calibri"/>
        <family val="2"/>
      </rPr>
      <t>4</t>
    </r>
    <r>
      <rPr>
        <b/>
        <sz val="14"/>
        <rFont val="Calibri"/>
        <family val="2"/>
      </rPr>
      <t>)</t>
    </r>
  </si>
  <si>
    <r>
      <t>S</t>
    </r>
    <r>
      <rPr>
        <b/>
        <vertAlign val="subscript"/>
        <sz val="14"/>
        <rFont val="Calibri"/>
        <family val="2"/>
      </rPr>
      <t>x</t>
    </r>
    <r>
      <rPr>
        <b/>
        <sz val="14"/>
        <rFont val="Calibri"/>
        <family val="2"/>
      </rPr>
      <t>(cm</t>
    </r>
    <r>
      <rPr>
        <b/>
        <vertAlign val="superscript"/>
        <sz val="14"/>
        <rFont val="Calibri"/>
        <family val="2"/>
      </rPr>
      <t>3</t>
    </r>
    <r>
      <rPr>
        <b/>
        <sz val="14"/>
        <rFont val="Calibri"/>
        <family val="2"/>
      </rPr>
      <t>)</t>
    </r>
  </si>
  <si>
    <r>
      <t>r</t>
    </r>
    <r>
      <rPr>
        <b/>
        <vertAlign val="subscript"/>
        <sz val="14"/>
        <rFont val="Calibri"/>
        <family val="2"/>
      </rPr>
      <t>x</t>
    </r>
    <r>
      <rPr>
        <b/>
        <sz val="14"/>
        <rFont val="Calibri"/>
        <family val="2"/>
      </rPr>
      <t>(cm)</t>
    </r>
  </si>
  <si>
    <r>
      <t>r</t>
    </r>
    <r>
      <rPr>
        <b/>
        <vertAlign val="subscript"/>
        <sz val="14"/>
        <rFont val="Calibri"/>
        <family val="2"/>
      </rPr>
      <t>u</t>
    </r>
    <r>
      <rPr>
        <b/>
        <sz val="14"/>
        <rFont val="Calibri"/>
        <family val="2"/>
      </rPr>
      <t>(cm)</t>
    </r>
  </si>
  <si>
    <r>
      <t>r</t>
    </r>
    <r>
      <rPr>
        <b/>
        <vertAlign val="subscript"/>
        <sz val="14"/>
        <rFont val="Calibri"/>
        <family val="2"/>
      </rPr>
      <t>v</t>
    </r>
    <r>
      <rPr>
        <b/>
        <sz val="14"/>
        <rFont val="Calibri"/>
        <family val="2"/>
      </rPr>
      <t>(cm)</t>
    </r>
  </si>
  <si>
    <r>
      <t>F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 xml:space="preserve"> =</t>
    </r>
  </si>
  <si>
    <r>
      <t>t/cm</t>
    </r>
    <r>
      <rPr>
        <b/>
        <vertAlign val="superscript"/>
        <sz val="14"/>
        <color theme="1"/>
        <rFont val="Calibri"/>
        <family val="2"/>
      </rPr>
      <t>2</t>
    </r>
  </si>
  <si>
    <r>
      <t>F</t>
    </r>
    <r>
      <rPr>
        <b/>
        <vertAlign val="subscript"/>
        <sz val="14"/>
        <color theme="1"/>
        <rFont val="Calibri"/>
        <family val="2"/>
      </rPr>
      <t>u</t>
    </r>
    <r>
      <rPr>
        <b/>
        <sz val="14"/>
        <color theme="1"/>
        <rFont val="Calibri"/>
        <family val="2"/>
      </rPr>
      <t xml:space="preserve"> =</t>
    </r>
  </si>
  <si>
    <r>
      <t>a</t>
    </r>
    <r>
      <rPr>
        <b/>
        <vertAlign val="subscript"/>
        <sz val="14"/>
        <color theme="1"/>
        <rFont val="Calibri"/>
        <family val="2"/>
      </rPr>
      <t>min.</t>
    </r>
    <r>
      <rPr>
        <b/>
        <sz val="14"/>
        <color theme="1"/>
        <rFont val="Calibri"/>
        <family val="2"/>
      </rPr>
      <t>=</t>
    </r>
  </si>
  <si>
    <r>
      <t>cm</t>
    </r>
    <r>
      <rPr>
        <b/>
        <vertAlign val="superscript"/>
        <sz val="14"/>
        <color theme="1"/>
        <rFont val="Calibri"/>
        <family val="2"/>
      </rPr>
      <t>2</t>
    </r>
  </si>
  <si>
    <r>
      <t>r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 xml:space="preserve"> =</t>
    </r>
  </si>
  <si>
    <r>
      <t>r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 xml:space="preserve"> =</t>
    </r>
  </si>
  <si>
    <r>
      <t>t</t>
    </r>
    <r>
      <rPr>
        <b/>
        <vertAlign val="subscript"/>
        <sz val="14"/>
        <color theme="1"/>
        <rFont val="Calibri"/>
        <family val="2"/>
      </rPr>
      <t>G.PL</t>
    </r>
    <r>
      <rPr>
        <b/>
        <sz val="14"/>
        <color theme="1"/>
        <rFont val="Calibri"/>
        <family val="2"/>
      </rPr>
      <t xml:space="preserve"> =</t>
    </r>
  </si>
  <si>
    <r>
      <t>r</t>
    </r>
    <r>
      <rPr>
        <b/>
        <vertAlign val="subscript"/>
        <sz val="14"/>
        <color theme="1"/>
        <rFont val="Calibri"/>
        <family val="2"/>
      </rPr>
      <t>u</t>
    </r>
    <r>
      <rPr>
        <b/>
        <sz val="14"/>
        <color theme="1"/>
        <rFont val="Calibri"/>
        <family val="2"/>
      </rPr>
      <t xml:space="preserve"> =</t>
    </r>
  </si>
  <si>
    <r>
      <t>r</t>
    </r>
    <r>
      <rPr>
        <b/>
        <vertAlign val="subscript"/>
        <sz val="14"/>
        <color theme="1"/>
        <rFont val="Calibri"/>
        <family val="2"/>
      </rPr>
      <t>v</t>
    </r>
    <r>
      <rPr>
        <b/>
        <sz val="14"/>
        <color theme="1"/>
        <rFont val="Calibri"/>
        <family val="2"/>
      </rPr>
      <t xml:space="preserve"> =</t>
    </r>
  </si>
  <si>
    <r>
      <t>L</t>
    </r>
    <r>
      <rPr>
        <b/>
        <vertAlign val="subscript"/>
        <sz val="14"/>
        <color theme="1"/>
        <rFont val="Calibri"/>
        <family val="2"/>
      </rPr>
      <t>in</t>
    </r>
    <r>
      <rPr>
        <b/>
        <sz val="14"/>
        <color theme="1"/>
        <rFont val="Calibri"/>
        <family val="2"/>
      </rPr>
      <t xml:space="preserve"> =</t>
    </r>
  </si>
  <si>
    <r>
      <t>A</t>
    </r>
    <r>
      <rPr>
        <b/>
        <vertAlign val="subscript"/>
        <sz val="14"/>
        <color theme="1"/>
        <rFont val="Calibri"/>
        <family val="2"/>
      </rPr>
      <t>net</t>
    </r>
    <r>
      <rPr>
        <b/>
        <sz val="14"/>
        <color theme="1"/>
        <rFont val="Calibri"/>
        <family val="2"/>
      </rPr>
      <t xml:space="preserve"> =</t>
    </r>
  </si>
  <si>
    <r>
      <t>L</t>
    </r>
    <r>
      <rPr>
        <b/>
        <vertAlign val="subscript"/>
        <sz val="14"/>
        <color theme="1"/>
        <rFont val="Calibri"/>
        <family val="2"/>
      </rPr>
      <t>out</t>
    </r>
    <r>
      <rPr>
        <b/>
        <sz val="14"/>
        <color theme="1"/>
        <rFont val="Calibri"/>
        <family val="2"/>
      </rPr>
      <t xml:space="preserve"> =</t>
    </r>
  </si>
  <si>
    <r>
      <t>A</t>
    </r>
    <r>
      <rPr>
        <b/>
        <vertAlign val="subscript"/>
        <sz val="14"/>
        <color theme="1"/>
        <rFont val="Calibri"/>
        <family val="2"/>
      </rPr>
      <t>neff</t>
    </r>
    <r>
      <rPr>
        <b/>
        <sz val="14"/>
        <color theme="1"/>
        <rFont val="Calibri"/>
        <family val="2"/>
      </rPr>
      <t xml:space="preserve"> =</t>
    </r>
  </si>
  <si>
    <r>
      <t>λ</t>
    </r>
    <r>
      <rPr>
        <b/>
        <vertAlign val="subscript"/>
        <sz val="14"/>
        <color theme="1"/>
        <rFont val="Calibri"/>
        <family val="2"/>
      </rPr>
      <t>out</t>
    </r>
    <r>
      <rPr>
        <b/>
        <sz val="14"/>
        <color theme="1"/>
        <rFont val="Calibri"/>
        <family val="2"/>
      </rPr>
      <t xml:space="preserve"> =</t>
    </r>
  </si>
  <si>
    <t>st</t>
  </si>
  <si>
    <r>
      <t>T</t>
    </r>
    <r>
      <rPr>
        <b/>
        <vertAlign val="subscript"/>
        <sz val="14"/>
        <color theme="1"/>
        <rFont val="Calibri"/>
        <family val="2"/>
      </rPr>
      <t>r1</t>
    </r>
    <r>
      <rPr>
        <b/>
        <sz val="14"/>
        <color theme="1"/>
        <rFont val="Calibri"/>
        <family val="2"/>
      </rPr>
      <t xml:space="preserve"> =</t>
    </r>
  </si>
  <si>
    <r>
      <t>T</t>
    </r>
    <r>
      <rPr>
        <b/>
        <vertAlign val="subscript"/>
        <sz val="14"/>
        <color theme="1"/>
        <rFont val="Calibri"/>
        <family val="2"/>
      </rPr>
      <t>r2</t>
    </r>
    <r>
      <rPr>
        <b/>
        <sz val="14"/>
        <color theme="1"/>
        <rFont val="Calibri"/>
        <family val="2"/>
      </rPr>
      <t xml:space="preserve"> =</t>
    </r>
  </si>
  <si>
    <t>Choice of section:</t>
  </si>
  <si>
    <t>Data</t>
  </si>
  <si>
    <r>
      <t>F</t>
    </r>
    <r>
      <rPr>
        <b/>
        <vertAlign val="subscript"/>
        <sz val="14"/>
        <color theme="1"/>
        <rFont val="Calibri"/>
        <family val="2"/>
      </rPr>
      <t>y</t>
    </r>
  </si>
  <si>
    <r>
      <t>F</t>
    </r>
    <r>
      <rPr>
        <b/>
        <vertAlign val="subscript"/>
        <sz val="14"/>
        <color theme="1"/>
        <rFont val="Calibri"/>
        <family val="2"/>
      </rPr>
      <t>u</t>
    </r>
  </si>
  <si>
    <r>
      <t>L</t>
    </r>
    <r>
      <rPr>
        <b/>
        <vertAlign val="subscript"/>
        <sz val="14"/>
        <color theme="1"/>
        <rFont val="Calibri"/>
        <family val="2"/>
      </rPr>
      <t>in</t>
    </r>
  </si>
  <si>
    <r>
      <t>L</t>
    </r>
    <r>
      <rPr>
        <b/>
        <vertAlign val="subscript"/>
        <sz val="14"/>
        <color theme="1"/>
        <rFont val="Calibri"/>
        <family val="2"/>
      </rPr>
      <t>out</t>
    </r>
  </si>
  <si>
    <r>
      <t>t</t>
    </r>
    <r>
      <rPr>
        <b/>
        <vertAlign val="subscript"/>
        <sz val="14"/>
        <color theme="1"/>
        <rFont val="Calibri"/>
        <family val="2"/>
      </rPr>
      <t>G.PL</t>
    </r>
  </si>
  <si>
    <r>
      <t>I</t>
    </r>
    <r>
      <rPr>
        <b/>
        <vertAlign val="subscript"/>
        <sz val="14"/>
        <color theme="1"/>
        <rFont val="Calibri"/>
        <family val="2"/>
      </rPr>
      <t>x</t>
    </r>
  </si>
  <si>
    <r>
      <t>cm</t>
    </r>
    <r>
      <rPr>
        <b/>
        <vertAlign val="superscript"/>
        <sz val="14"/>
        <color theme="1"/>
        <rFont val="Calibri"/>
        <family val="2"/>
      </rPr>
      <t>4</t>
    </r>
  </si>
  <si>
    <r>
      <t>S</t>
    </r>
    <r>
      <rPr>
        <b/>
        <vertAlign val="subscript"/>
        <sz val="14"/>
        <color theme="1"/>
        <rFont val="Calibri"/>
        <family val="2"/>
      </rPr>
      <t>x</t>
    </r>
  </si>
  <si>
    <r>
      <t>cm</t>
    </r>
    <r>
      <rPr>
        <b/>
        <vertAlign val="superscript"/>
        <sz val="14"/>
        <color theme="1"/>
        <rFont val="Calibri"/>
        <family val="2"/>
      </rPr>
      <t>3</t>
    </r>
  </si>
  <si>
    <r>
      <t>r</t>
    </r>
    <r>
      <rPr>
        <b/>
        <vertAlign val="subscript"/>
        <sz val="14"/>
        <color theme="1"/>
        <rFont val="Calibri"/>
        <family val="2"/>
      </rPr>
      <t>x</t>
    </r>
  </si>
  <si>
    <t>L</t>
  </si>
  <si>
    <r>
      <t>T</t>
    </r>
    <r>
      <rPr>
        <b/>
        <vertAlign val="subscript"/>
        <sz val="14"/>
        <color theme="1"/>
        <rFont val="Calibri"/>
        <family val="2"/>
      </rPr>
      <t>u</t>
    </r>
  </si>
  <si>
    <t>Choice of section</t>
  </si>
  <si>
    <r>
      <t>L</t>
    </r>
    <r>
      <rPr>
        <b/>
        <vertAlign val="subscript"/>
        <sz val="14"/>
        <color theme="1"/>
        <rFont val="Calibri"/>
        <family val="2"/>
      </rPr>
      <t xml:space="preserve"> </t>
    </r>
    <r>
      <rPr>
        <b/>
        <sz val="14"/>
        <color theme="1"/>
        <rFont val="Calibri"/>
        <family val="2"/>
      </rPr>
      <t>/ r</t>
    </r>
  </si>
  <si>
    <r>
      <t>A</t>
    </r>
    <r>
      <rPr>
        <b/>
        <vertAlign val="subscript"/>
        <sz val="14"/>
        <color theme="1"/>
        <rFont val="Calibri"/>
        <family val="2"/>
      </rPr>
      <t>g</t>
    </r>
  </si>
  <si>
    <r>
      <t>T</t>
    </r>
    <r>
      <rPr>
        <b/>
        <vertAlign val="subscript"/>
        <sz val="14"/>
        <color theme="1"/>
        <rFont val="Calibri"/>
        <family val="2"/>
      </rPr>
      <t>r1</t>
    </r>
  </si>
  <si>
    <r>
      <t>T</t>
    </r>
    <r>
      <rPr>
        <b/>
        <vertAlign val="subscript"/>
        <sz val="14"/>
        <color theme="1"/>
        <rFont val="Calibri"/>
        <family val="2"/>
      </rPr>
      <t>r2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</si>
</sst>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b/>
      <sz val="14"/>
      <name val="Calibri"/>
      <family val="2"/>
    </font>
    <font>
      <b/>
      <sz val="14"/>
      <color indexed="0"/>
      <name val="Calibri"/>
      <family val="2"/>
    </font>
    <font>
      <b/>
      <vertAlign val="superscript"/>
      <sz val="14"/>
      <name val="Calibri"/>
      <family val="2"/>
    </font>
    <font>
      <b/>
      <vertAlign val="subscript"/>
      <sz val="14"/>
      <name val="Calibri"/>
      <family val="2"/>
    </font>
    <font>
      <b/>
      <sz val="14"/>
      <color rgb="FFFF0000"/>
      <name val="Calibri"/>
      <family val="2"/>
    </font>
    <font>
      <b/>
      <sz val="14"/>
      <color rgb="FF000000"/>
      <name val="Calibri"/>
      <family val="2"/>
    </font>
    <font>
      <b/>
      <u val="double"/>
      <sz val="14"/>
      <color theme="1"/>
      <name val="Calibri"/>
      <family val="2"/>
    </font>
    <font>
      <b/>
      <u val="double"/>
      <sz val="16"/>
      <color theme="1"/>
      <name val="Calibri"/>
      <family val="2"/>
    </font>
    <font>
      <b/>
      <vertAlign val="subscript"/>
      <sz val="14"/>
      <color theme="1"/>
      <name val="Calibri"/>
      <family val="2"/>
    </font>
    <font>
      <b/>
      <vertAlign val="superscript"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sz val="22"/>
      <color theme="1"/>
      <name val="Calibri"/>
      <family val="2"/>
    </font>
    <font>
      <b/>
      <u/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top" wrapText="1"/>
    </xf>
    <xf numFmtId="1" fontId="9" fillId="2" borderId="0" xfId="0" applyNumberFormat="1" applyFont="1" applyFill="1" applyBorder="1" applyAlignment="1">
      <alignment horizontal="center" vertical="center" shrinkToFit="1"/>
    </xf>
    <xf numFmtId="164" fontId="9" fillId="2" borderId="0" xfId="0" applyNumberFormat="1" applyFont="1" applyFill="1" applyBorder="1" applyAlignment="1">
      <alignment horizontal="center" vertical="center" shrinkToFit="1"/>
    </xf>
    <xf numFmtId="2" fontId="9" fillId="2" borderId="0" xfId="0" applyNumberFormat="1" applyFont="1" applyFill="1" applyBorder="1" applyAlignment="1">
      <alignment horizontal="center" vertical="center" shrinkToFit="1"/>
    </xf>
    <xf numFmtId="0" fontId="11" fillId="2" borderId="0" xfId="0" applyFont="1" applyFill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 shrinkToFit="1"/>
    </xf>
    <xf numFmtId="164" fontId="9" fillId="0" borderId="0" xfId="0" applyNumberFormat="1" applyFont="1" applyBorder="1" applyAlignment="1">
      <alignment horizontal="center" vertical="center" shrinkToFit="1"/>
    </xf>
    <xf numFmtId="2" fontId="9" fillId="0" borderId="0" xfId="0" applyNumberFormat="1" applyFont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" fontId="9" fillId="0" borderId="0" xfId="0" applyNumberFormat="1" applyFont="1" applyFill="1" applyBorder="1" applyAlignment="1">
      <alignment horizontal="center" vertical="center" shrinkToFit="1"/>
    </xf>
    <xf numFmtId="164" fontId="9" fillId="0" borderId="0" xfId="0" applyNumberFormat="1" applyFont="1" applyFill="1" applyBorder="1" applyAlignment="1">
      <alignment horizontal="center" vertical="center" shrinkToFit="1"/>
    </xf>
    <xf numFmtId="2" fontId="9" fillId="0" borderId="0" xfId="0" applyNumberFormat="1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top" wrapText="1"/>
    </xf>
    <xf numFmtId="1" fontId="9" fillId="2" borderId="0" xfId="0" applyNumberFormat="1" applyFont="1" applyFill="1" applyBorder="1" applyAlignment="1">
      <alignment horizontal="center" vertical="center" shrinkToFit="1"/>
    </xf>
    <xf numFmtId="0" fontId="8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 shrinkToFit="1"/>
    </xf>
    <xf numFmtId="1" fontId="9" fillId="0" borderId="0" xfId="0" applyNumberFormat="1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64" fontId="9" fillId="0" borderId="0" xfId="0" applyNumberFormat="1" applyFont="1" applyFill="1" applyBorder="1" applyAlignment="1">
      <alignment horizontal="center" vertical="center" shrinkToFi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B378A-35EF-4D6C-B2E8-EA0445ABBDEE}">
  <sheetPr>
    <pageSetUpPr fitToPage="1"/>
  </sheetPr>
  <dimension ref="A1:AG25"/>
  <sheetViews>
    <sheetView tabSelected="1" view="pageBreakPreview" zoomScale="60" zoomScaleNormal="100" workbookViewId="0">
      <selection activeCell="G24" sqref="G24"/>
    </sheetView>
  </sheetViews>
  <sheetFormatPr defaultRowHeight="18.75" x14ac:dyDescent="0.2"/>
  <cols>
    <col min="1" max="1" width="14.5" style="1" customWidth="1"/>
    <col min="2" max="2" width="6.25" style="1" customWidth="1"/>
    <col min="3" max="3" width="8.75" style="1" customWidth="1"/>
    <col min="4" max="4" width="7.75" style="1" bestFit="1" customWidth="1"/>
    <col min="5" max="5" width="3.625" style="1" bestFit="1" customWidth="1"/>
    <col min="6" max="6" width="4.875" style="1" bestFit="1" customWidth="1"/>
    <col min="7" max="7" width="10.5" style="1" customWidth="1"/>
    <col min="8" max="8" width="10.375" style="1" customWidth="1"/>
    <col min="9" max="9" width="9.25" style="1" customWidth="1"/>
    <col min="10" max="10" width="9" style="1" bestFit="1" customWidth="1"/>
    <col min="11" max="11" width="8" style="1" bestFit="1" customWidth="1"/>
    <col min="12" max="17" width="9.75" style="1" customWidth="1"/>
    <col min="18" max="18" width="14.5" style="1" customWidth="1"/>
    <col min="19" max="19" width="8.5" style="1" bestFit="1" customWidth="1"/>
    <col min="20" max="21" width="9" style="1"/>
    <col min="22" max="22" width="5.125" style="1" bestFit="1" customWidth="1"/>
    <col min="23" max="23" width="6.375" style="1" bestFit="1" customWidth="1"/>
    <col min="24" max="24" width="8.5" style="1" bestFit="1" customWidth="1"/>
    <col min="25" max="28" width="5.5" style="1" bestFit="1" customWidth="1"/>
    <col min="29" max="29" width="7.75" style="1" bestFit="1" customWidth="1"/>
    <col min="30" max="30" width="8.25" style="1" bestFit="1" customWidth="1"/>
    <col min="31" max="31" width="7.125" style="1" bestFit="1" customWidth="1"/>
    <col min="32" max="32" width="7.25" style="1" bestFit="1" customWidth="1"/>
    <col min="33" max="33" width="7.125" style="1" bestFit="1" customWidth="1"/>
    <col min="34" max="16384" width="9" style="1"/>
  </cols>
  <sheetData>
    <row r="1" spans="1:33" ht="18" customHeight="1" x14ac:dyDescent="0.2">
      <c r="A1" s="3">
        <v>37</v>
      </c>
      <c r="B1" s="3" t="s">
        <v>0</v>
      </c>
      <c r="C1" s="3" t="s">
        <v>1</v>
      </c>
      <c r="S1" s="5" t="s">
        <v>5</v>
      </c>
      <c r="T1" s="25" t="s">
        <v>107</v>
      </c>
      <c r="U1" s="25"/>
      <c r="V1" s="25"/>
      <c r="W1" s="6" t="s">
        <v>21</v>
      </c>
      <c r="X1" s="6" t="s">
        <v>98</v>
      </c>
      <c r="Y1" s="25" t="s">
        <v>108</v>
      </c>
      <c r="Z1" s="25"/>
      <c r="AA1" s="25"/>
      <c r="AB1" s="25"/>
      <c r="AC1" s="25" t="s">
        <v>109</v>
      </c>
      <c r="AD1" s="25"/>
      <c r="AE1" s="25"/>
      <c r="AF1" s="6" t="s">
        <v>110</v>
      </c>
      <c r="AG1" s="6" t="s">
        <v>111</v>
      </c>
    </row>
    <row r="2" spans="1:33" ht="18" customHeight="1" x14ac:dyDescent="0.2">
      <c r="A2" s="3">
        <v>44</v>
      </c>
      <c r="B2" s="3" t="s">
        <v>2</v>
      </c>
      <c r="C2" s="3" t="s">
        <v>3</v>
      </c>
      <c r="S2" s="7"/>
      <c r="T2" s="26" t="s">
        <v>20</v>
      </c>
      <c r="U2" s="26"/>
      <c r="V2" s="8" t="s">
        <v>112</v>
      </c>
      <c r="W2" s="8" t="s">
        <v>137</v>
      </c>
      <c r="X2" s="8" t="s">
        <v>113</v>
      </c>
      <c r="Y2" s="8" t="s">
        <v>114</v>
      </c>
      <c r="Z2" s="8" t="s">
        <v>115</v>
      </c>
      <c r="AA2" s="8" t="s">
        <v>138</v>
      </c>
      <c r="AB2" s="8" t="s">
        <v>139</v>
      </c>
      <c r="AC2" s="8" t="s">
        <v>140</v>
      </c>
      <c r="AD2" s="8" t="s">
        <v>141</v>
      </c>
      <c r="AE2" s="8" t="s">
        <v>142</v>
      </c>
      <c r="AF2" s="8" t="s">
        <v>143</v>
      </c>
      <c r="AG2" s="8" t="s">
        <v>144</v>
      </c>
    </row>
    <row r="3" spans="1:33" x14ac:dyDescent="0.2">
      <c r="A3" s="3">
        <v>52</v>
      </c>
      <c r="C3" s="3" t="s">
        <v>4</v>
      </c>
      <c r="S3" s="7" t="s">
        <v>6</v>
      </c>
      <c r="T3" s="27">
        <v>45</v>
      </c>
      <c r="U3" s="27"/>
      <c r="V3" s="9">
        <v>5</v>
      </c>
      <c r="W3" s="10">
        <v>4.3</v>
      </c>
      <c r="X3" s="11">
        <v>3.38</v>
      </c>
      <c r="Y3" s="11">
        <v>1.28</v>
      </c>
      <c r="Z3" s="11">
        <v>3.18</v>
      </c>
      <c r="AA3" s="11">
        <v>1.81</v>
      </c>
      <c r="AB3" s="11">
        <v>1.58</v>
      </c>
      <c r="AC3" s="11">
        <v>7.83</v>
      </c>
      <c r="AD3" s="11">
        <v>2.4300000000000002</v>
      </c>
      <c r="AE3" s="11">
        <v>1.35</v>
      </c>
      <c r="AF3" s="10">
        <v>1.7</v>
      </c>
      <c r="AG3" s="11">
        <v>0.87</v>
      </c>
    </row>
    <row r="4" spans="1:33" ht="21" x14ac:dyDescent="0.3">
      <c r="A4" s="1" t="s">
        <v>160</v>
      </c>
      <c r="B4" s="28">
        <v>37</v>
      </c>
      <c r="C4" s="28"/>
      <c r="H4" s="12" t="s">
        <v>24</v>
      </c>
      <c r="S4" s="7" t="s">
        <v>7</v>
      </c>
      <c r="T4" s="27">
        <v>50</v>
      </c>
      <c r="U4" s="27"/>
      <c r="V4" s="9">
        <v>5</v>
      </c>
      <c r="W4" s="10">
        <v>4.8</v>
      </c>
      <c r="X4" s="11">
        <v>3.77</v>
      </c>
      <c r="Y4" s="10">
        <v>1.4</v>
      </c>
      <c r="Z4" s="11">
        <v>3.54</v>
      </c>
      <c r="AA4" s="11">
        <v>1.98</v>
      </c>
      <c r="AB4" s="11">
        <v>1.76</v>
      </c>
      <c r="AC4" s="9">
        <v>11</v>
      </c>
      <c r="AD4" s="11">
        <v>3.05</v>
      </c>
      <c r="AE4" s="11">
        <v>1.51</v>
      </c>
      <c r="AF4" s="10">
        <v>1.9</v>
      </c>
      <c r="AG4" s="11">
        <v>0.98</v>
      </c>
    </row>
    <row r="5" spans="1:33" ht="20.25" customHeight="1" x14ac:dyDescent="0.2">
      <c r="A5" s="1" t="s">
        <v>145</v>
      </c>
      <c r="B5" s="1">
        <f>IF(B4=A1,2.4,IF(B4=A2,2.8,3.6))</f>
        <v>2.4</v>
      </c>
      <c r="C5" s="1" t="s">
        <v>146</v>
      </c>
      <c r="H5" s="4" t="s">
        <v>25</v>
      </c>
      <c r="S5" s="7" t="s">
        <v>8</v>
      </c>
      <c r="T5" s="27">
        <v>55</v>
      </c>
      <c r="U5" s="27"/>
      <c r="V5" s="9">
        <v>5</v>
      </c>
      <c r="W5" s="11">
        <v>5.32</v>
      </c>
      <c r="X5" s="11">
        <v>4.18</v>
      </c>
      <c r="Y5" s="11">
        <v>1.52</v>
      </c>
      <c r="Z5" s="11">
        <v>3.89</v>
      </c>
      <c r="AA5" s="11">
        <v>2.15</v>
      </c>
      <c r="AB5" s="11">
        <v>1.93</v>
      </c>
      <c r="AC5" s="10">
        <v>14.7</v>
      </c>
      <c r="AD5" s="10">
        <v>3.7</v>
      </c>
      <c r="AE5" s="11">
        <v>1.66</v>
      </c>
      <c r="AF5" s="11">
        <v>2.09</v>
      </c>
      <c r="AG5" s="11">
        <v>1.07</v>
      </c>
    </row>
    <row r="6" spans="1:33" ht="19.5" customHeight="1" x14ac:dyDescent="0.2">
      <c r="A6" s="1" t="s">
        <v>147</v>
      </c>
      <c r="B6" s="1">
        <f>IF(B4=A1,3.7,IF(B4=A2,4.4,5.2))</f>
        <v>3.7</v>
      </c>
      <c r="C6" s="1" t="s">
        <v>146</v>
      </c>
      <c r="H6" s="1" t="s">
        <v>148</v>
      </c>
      <c r="I6" s="1">
        <f>IF(D13=B1,45,3.3*E14)</f>
        <v>45</v>
      </c>
      <c r="J6" s="1" t="s">
        <v>19</v>
      </c>
      <c r="K6" s="3" t="str">
        <f>IF(B14&gt;=I6,"Safe","Unsafe")</f>
        <v>Safe</v>
      </c>
      <c r="S6" s="7" t="s">
        <v>9</v>
      </c>
      <c r="T6" s="27">
        <v>60</v>
      </c>
      <c r="U6" s="27"/>
      <c r="V6" s="9">
        <v>6</v>
      </c>
      <c r="W6" s="11">
        <v>6.91</v>
      </c>
      <c r="X6" s="11">
        <v>5.42</v>
      </c>
      <c r="Y6" s="11">
        <v>1.69</v>
      </c>
      <c r="Z6" s="11">
        <v>4.24</v>
      </c>
      <c r="AA6" s="11">
        <v>2.39</v>
      </c>
      <c r="AB6" s="11">
        <v>2.11</v>
      </c>
      <c r="AC6" s="10">
        <v>22.8</v>
      </c>
      <c r="AD6" s="11">
        <v>5.29</v>
      </c>
      <c r="AE6" s="11">
        <v>1.82</v>
      </c>
      <c r="AF6" s="11">
        <v>2.29</v>
      </c>
      <c r="AG6" s="11">
        <v>1.17</v>
      </c>
    </row>
    <row r="7" spans="1:33" ht="21" customHeight="1" x14ac:dyDescent="0.2">
      <c r="S7" s="7" t="s">
        <v>10</v>
      </c>
      <c r="T7" s="27">
        <v>65</v>
      </c>
      <c r="U7" s="27"/>
      <c r="V7" s="9">
        <v>7</v>
      </c>
      <c r="W7" s="10">
        <v>8.6999999999999993</v>
      </c>
      <c r="X7" s="11">
        <v>6.83</v>
      </c>
      <c r="Y7" s="11">
        <v>1.85</v>
      </c>
      <c r="Z7" s="10">
        <v>4.5999999999999996</v>
      </c>
      <c r="AA7" s="11">
        <v>2.62</v>
      </c>
      <c r="AB7" s="11">
        <v>2.29</v>
      </c>
      <c r="AC7" s="10">
        <v>33.4</v>
      </c>
      <c r="AD7" s="11">
        <v>7.13</v>
      </c>
      <c r="AE7" s="11">
        <v>1.96</v>
      </c>
      <c r="AF7" s="11">
        <v>2.4700000000000002</v>
      </c>
      <c r="AG7" s="11">
        <v>1.26</v>
      </c>
    </row>
    <row r="8" spans="1:33" x14ac:dyDescent="0.2">
      <c r="A8" s="30" t="s">
        <v>164</v>
      </c>
      <c r="B8" s="30"/>
      <c r="C8" s="30"/>
      <c r="H8" s="4" t="s">
        <v>26</v>
      </c>
      <c r="S8" s="7" t="s">
        <v>11</v>
      </c>
      <c r="T8" s="27">
        <v>70</v>
      </c>
      <c r="U8" s="27"/>
      <c r="V8" s="9">
        <v>7</v>
      </c>
      <c r="W8" s="10">
        <v>9.4</v>
      </c>
      <c r="X8" s="11">
        <v>7.38</v>
      </c>
      <c r="Y8" s="11">
        <v>1.97</v>
      </c>
      <c r="Z8" s="11">
        <v>4.95</v>
      </c>
      <c r="AA8" s="11">
        <v>2.79</v>
      </c>
      <c r="AB8" s="11">
        <v>2.4700000000000002</v>
      </c>
      <c r="AC8" s="10">
        <v>42.4</v>
      </c>
      <c r="AD8" s="11">
        <v>8.43</v>
      </c>
      <c r="AE8" s="11">
        <v>2.12</v>
      </c>
      <c r="AF8" s="11">
        <v>2.67</v>
      </c>
      <c r="AG8" s="11">
        <v>1.37</v>
      </c>
    </row>
    <row r="9" spans="1:33" ht="20.25" x14ac:dyDescent="0.2">
      <c r="A9" s="1" t="s">
        <v>121</v>
      </c>
      <c r="B9" s="2">
        <v>44.8</v>
      </c>
      <c r="C9" s="1" t="s">
        <v>16</v>
      </c>
      <c r="H9" s="1" t="s">
        <v>161</v>
      </c>
      <c r="I9" s="1">
        <f>0.85*(B5*B16)</f>
        <v>63.239999999999988</v>
      </c>
      <c r="J9" s="1" t="s">
        <v>16</v>
      </c>
      <c r="K9" s="3" t="str">
        <f>IF(I9&gt;=B9,"Safe", "Unsafe" )</f>
        <v>Safe</v>
      </c>
      <c r="S9" s="7" t="s">
        <v>12</v>
      </c>
      <c r="T9" s="27">
        <v>75</v>
      </c>
      <c r="U9" s="27"/>
      <c r="V9" s="9">
        <v>7</v>
      </c>
      <c r="W9" s="10">
        <v>10.1</v>
      </c>
      <c r="X9" s="11">
        <v>7.94</v>
      </c>
      <c r="Y9" s="11">
        <v>2.0299999999999998</v>
      </c>
      <c r="Z9" s="10">
        <v>5.3</v>
      </c>
      <c r="AA9" s="11">
        <v>2.87</v>
      </c>
      <c r="AB9" s="11">
        <v>2.63</v>
      </c>
      <c r="AC9" s="10">
        <v>52.4</v>
      </c>
      <c r="AD9" s="11">
        <v>8.67</v>
      </c>
      <c r="AE9" s="11">
        <v>2.2799999999999998</v>
      </c>
      <c r="AF9" s="11">
        <v>2.88</v>
      </c>
      <c r="AG9" s="11">
        <v>1.45</v>
      </c>
    </row>
    <row r="10" spans="1:33" ht="20.25" x14ac:dyDescent="0.2">
      <c r="A10" s="1" t="s">
        <v>152</v>
      </c>
      <c r="B10" s="2">
        <v>1</v>
      </c>
      <c r="C10" s="1" t="s">
        <v>17</v>
      </c>
      <c r="H10" s="1" t="s">
        <v>162</v>
      </c>
      <c r="I10" s="1">
        <f>0.7*B6*B25</f>
        <v>68.246499999999997</v>
      </c>
      <c r="J10" s="1" t="s">
        <v>16</v>
      </c>
      <c r="K10" s="17" t="str">
        <f>IF(I10&gt;=B9, "Safe", "Unsafe" )</f>
        <v>Safe</v>
      </c>
      <c r="S10" s="7" t="s">
        <v>13</v>
      </c>
      <c r="T10" s="27">
        <v>80</v>
      </c>
      <c r="U10" s="27"/>
      <c r="V10" s="9">
        <v>8</v>
      </c>
      <c r="W10" s="10">
        <v>12.3</v>
      </c>
      <c r="X10" s="11">
        <v>9.66</v>
      </c>
      <c r="Y10" s="11">
        <v>2.2599999999999998</v>
      </c>
      <c r="Z10" s="11">
        <v>5.66</v>
      </c>
      <c r="AA10" s="10">
        <v>3.2</v>
      </c>
      <c r="AB10" s="11">
        <v>2.82</v>
      </c>
      <c r="AC10" s="10">
        <v>72.3</v>
      </c>
      <c r="AD10" s="10">
        <v>12.6</v>
      </c>
      <c r="AE10" s="11">
        <v>2.42</v>
      </c>
      <c r="AF10" s="11">
        <v>3.06</v>
      </c>
      <c r="AG10" s="11">
        <v>1.55</v>
      </c>
    </row>
    <row r="11" spans="1:33" x14ac:dyDescent="0.2">
      <c r="S11" s="7" t="s">
        <v>14</v>
      </c>
      <c r="T11" s="27">
        <v>90</v>
      </c>
      <c r="U11" s="27"/>
      <c r="V11" s="9">
        <v>9</v>
      </c>
      <c r="W11" s="10">
        <v>15.5</v>
      </c>
      <c r="X11" s="10">
        <v>12.2</v>
      </c>
      <c r="Y11" s="11">
        <v>2.54</v>
      </c>
      <c r="Z11" s="11">
        <v>6.36</v>
      </c>
      <c r="AA11" s="11">
        <v>3.59</v>
      </c>
      <c r="AB11" s="11">
        <v>3.18</v>
      </c>
      <c r="AC11" s="9">
        <v>116</v>
      </c>
      <c r="AD11" s="9">
        <v>18</v>
      </c>
      <c r="AE11" s="11">
        <v>2.74</v>
      </c>
      <c r="AF11" s="11">
        <v>3.45</v>
      </c>
      <c r="AG11" s="11">
        <v>1.76</v>
      </c>
    </row>
    <row r="12" spans="1:33" x14ac:dyDescent="0.2">
      <c r="A12" s="30" t="s">
        <v>163</v>
      </c>
      <c r="B12" s="30"/>
      <c r="C12" s="30"/>
      <c r="H12" s="4" t="s">
        <v>127</v>
      </c>
      <c r="S12" s="7" t="s">
        <v>15</v>
      </c>
      <c r="T12" s="27">
        <v>100</v>
      </c>
      <c r="U12" s="27"/>
      <c r="V12" s="9">
        <v>10</v>
      </c>
      <c r="W12" s="10">
        <v>19.2</v>
      </c>
      <c r="X12" s="10">
        <v>15.1</v>
      </c>
      <c r="Y12" s="11">
        <v>2.82</v>
      </c>
      <c r="Z12" s="11">
        <v>7.07</v>
      </c>
      <c r="AA12" s="11">
        <v>3.99</v>
      </c>
      <c r="AB12" s="11">
        <v>3.54</v>
      </c>
      <c r="AC12" s="9">
        <v>177</v>
      </c>
      <c r="AD12" s="10">
        <v>24.7</v>
      </c>
      <c r="AE12" s="11">
        <v>3.04</v>
      </c>
      <c r="AF12" s="11">
        <v>3.82</v>
      </c>
      <c r="AG12" s="11">
        <v>1.95</v>
      </c>
    </row>
    <row r="13" spans="1:33" ht="20.25" x14ac:dyDescent="0.2">
      <c r="A13" s="2" t="s">
        <v>3</v>
      </c>
      <c r="B13" s="29" t="s">
        <v>14</v>
      </c>
      <c r="C13" s="29"/>
      <c r="D13" s="2" t="s">
        <v>0</v>
      </c>
      <c r="H13" s="1" t="s">
        <v>155</v>
      </c>
      <c r="I13" s="2">
        <v>210</v>
      </c>
      <c r="J13" s="1" t="s">
        <v>17</v>
      </c>
      <c r="S13" s="1" t="s">
        <v>129</v>
      </c>
      <c r="T13" s="31">
        <v>110</v>
      </c>
      <c r="U13" s="31"/>
      <c r="V13" s="13">
        <v>10</v>
      </c>
      <c r="W13" s="14">
        <v>21.2</v>
      </c>
      <c r="X13" s="14">
        <v>16.600000000000001</v>
      </c>
      <c r="Y13" s="15">
        <v>3.07</v>
      </c>
      <c r="Z13" s="15">
        <v>7.78</v>
      </c>
      <c r="AA13" s="15">
        <v>4.34</v>
      </c>
      <c r="AB13" s="15">
        <v>3.89</v>
      </c>
      <c r="AC13" s="13">
        <v>239</v>
      </c>
      <c r="AD13" s="14">
        <v>30.1</v>
      </c>
      <c r="AE13" s="15">
        <v>3.36</v>
      </c>
      <c r="AF13" s="15">
        <v>4.2300000000000004</v>
      </c>
      <c r="AG13" s="15">
        <v>2.16</v>
      </c>
    </row>
    <row r="14" spans="1:33" ht="20.25" x14ac:dyDescent="0.2">
      <c r="A14" s="1" t="s">
        <v>122</v>
      </c>
      <c r="B14" s="1">
        <f>VLOOKUP(B13,table1,2,FALSE)</f>
        <v>90</v>
      </c>
      <c r="C14" s="1" t="s">
        <v>19</v>
      </c>
      <c r="D14" s="1" t="str">
        <f>IF(D13=B2,"M","s =" )</f>
        <v>s =</v>
      </c>
      <c r="E14" s="2">
        <v>5</v>
      </c>
      <c r="F14" s="1" t="s">
        <v>19</v>
      </c>
      <c r="H14" s="1" t="s">
        <v>157</v>
      </c>
      <c r="I14" s="2">
        <v>210</v>
      </c>
      <c r="J14" s="1" t="s">
        <v>17</v>
      </c>
      <c r="S14" s="1" t="s">
        <v>130</v>
      </c>
      <c r="T14" s="31">
        <v>120</v>
      </c>
      <c r="U14" s="31"/>
      <c r="V14" s="13">
        <v>12</v>
      </c>
      <c r="W14" s="14">
        <v>27.5</v>
      </c>
      <c r="X14" s="14">
        <v>21.6</v>
      </c>
      <c r="Y14" s="14">
        <v>3.4</v>
      </c>
      <c r="Z14" s="15">
        <v>8.49</v>
      </c>
      <c r="AA14" s="14">
        <v>4.8</v>
      </c>
      <c r="AB14" s="15">
        <v>4.26</v>
      </c>
      <c r="AC14" s="13">
        <v>368</v>
      </c>
      <c r="AD14" s="14">
        <v>42.7</v>
      </c>
      <c r="AE14" s="15">
        <v>3.65</v>
      </c>
      <c r="AF14" s="14">
        <v>4.5999999999999996</v>
      </c>
      <c r="AG14" s="15">
        <v>2.35</v>
      </c>
    </row>
    <row r="15" spans="1:33" ht="20.25" x14ac:dyDescent="0.2">
      <c r="A15" s="1" t="s">
        <v>124</v>
      </c>
      <c r="B15" s="1">
        <f>VLOOKUP(B13,table1,4,FALSE)</f>
        <v>9</v>
      </c>
      <c r="C15" s="1" t="s">
        <v>19</v>
      </c>
      <c r="H15" s="1" t="s">
        <v>159</v>
      </c>
      <c r="I15" s="1">
        <f>IF(A13=C1,I14/B20,IF(A13=C2,I14/B18,IF(A13=C3,I14/B19)))</f>
        <v>51.31239201483541</v>
      </c>
      <c r="J15" s="1" t="s">
        <v>23</v>
      </c>
      <c r="K15" s="16" t="str">
        <f>IF(I15&lt;=300, "Safe", "Unsafe" )</f>
        <v>Safe</v>
      </c>
      <c r="S15" s="1" t="s">
        <v>131</v>
      </c>
      <c r="T15" s="31">
        <v>130</v>
      </c>
      <c r="U15" s="31"/>
      <c r="V15" s="13">
        <v>12</v>
      </c>
      <c r="W15" s="13">
        <v>30</v>
      </c>
      <c r="X15" s="14">
        <v>23.6</v>
      </c>
      <c r="Y15" s="15">
        <v>3.64</v>
      </c>
      <c r="Z15" s="15">
        <v>9.19</v>
      </c>
      <c r="AA15" s="15">
        <v>5.15</v>
      </c>
      <c r="AB15" s="14">
        <v>4.5999999999999996</v>
      </c>
      <c r="AC15" s="13">
        <v>472</v>
      </c>
      <c r="AD15" s="14">
        <v>50.4</v>
      </c>
      <c r="AE15" s="15">
        <v>3.97</v>
      </c>
      <c r="AF15" s="13">
        <v>5</v>
      </c>
      <c r="AG15" s="15">
        <v>2.54</v>
      </c>
    </row>
    <row r="16" spans="1:33" ht="21" x14ac:dyDescent="0.2">
      <c r="A16" s="1" t="s">
        <v>125</v>
      </c>
      <c r="B16" s="1">
        <f>IF(A13=C1,VLOOKUP(B13,table1,5,FALSE),2*VLOOKUP(B13,table1,5,FALSE))</f>
        <v>31</v>
      </c>
      <c r="C16" s="1" t="s">
        <v>149</v>
      </c>
      <c r="H16" s="1" t="str">
        <f>IF(A13=C2,"λin =","")</f>
        <v>λin =</v>
      </c>
      <c r="I16" s="1">
        <f>IF(A13=C2,I13/B17,"")</f>
        <v>76.642335766423358</v>
      </c>
      <c r="J16" s="1" t="str">
        <f>IF(A13=C2,"unitless","")</f>
        <v>unitless</v>
      </c>
      <c r="K16" s="16" t="str">
        <f>IF(A13=C2,IF(I16&lt;=300, "Safe", "Unsafe"  ),"")</f>
        <v>Safe</v>
      </c>
      <c r="S16" s="1" t="s">
        <v>132</v>
      </c>
      <c r="T16" s="31">
        <v>140</v>
      </c>
      <c r="U16" s="31"/>
      <c r="V16" s="13">
        <v>13</v>
      </c>
      <c r="W16" s="13">
        <v>35</v>
      </c>
      <c r="X16" s="14">
        <v>27.5</v>
      </c>
      <c r="Y16" s="15">
        <v>3.92</v>
      </c>
      <c r="Z16" s="14">
        <v>9.9</v>
      </c>
      <c r="AA16" s="15">
        <v>5.54</v>
      </c>
      <c r="AB16" s="15">
        <v>4.96</v>
      </c>
      <c r="AC16" s="13">
        <v>638</v>
      </c>
      <c r="AD16" s="14">
        <v>63.3</v>
      </c>
      <c r="AE16" s="15">
        <v>4.2699999999999996</v>
      </c>
      <c r="AF16" s="15">
        <v>5.38</v>
      </c>
      <c r="AG16" s="15">
        <v>2.74</v>
      </c>
    </row>
    <row r="17" spans="1:33" ht="20.25" x14ac:dyDescent="0.2">
      <c r="A17" s="1" t="s">
        <v>150</v>
      </c>
      <c r="B17" s="1">
        <f>VLOOKUP(B13,table1,13,FALSE)</f>
        <v>2.74</v>
      </c>
      <c r="C17" s="1" t="s">
        <v>17</v>
      </c>
      <c r="S17" s="1" t="s">
        <v>133</v>
      </c>
      <c r="T17" s="31">
        <v>150</v>
      </c>
      <c r="U17" s="31"/>
      <c r="V17" s="13">
        <v>14</v>
      </c>
      <c r="W17" s="14">
        <v>40.299999999999997</v>
      </c>
      <c r="X17" s="14">
        <v>31.6</v>
      </c>
      <c r="Y17" s="15">
        <v>4.21</v>
      </c>
      <c r="Z17" s="14">
        <v>10.6</v>
      </c>
      <c r="AA17" s="15">
        <v>5.95</v>
      </c>
      <c r="AB17" s="15">
        <v>5.31</v>
      </c>
      <c r="AC17" s="13">
        <v>845</v>
      </c>
      <c r="AD17" s="14">
        <v>78.2</v>
      </c>
      <c r="AE17" s="15">
        <v>4.58</v>
      </c>
      <c r="AF17" s="15">
        <v>5.77</v>
      </c>
      <c r="AG17" s="15">
        <v>2.94</v>
      </c>
    </row>
    <row r="18" spans="1:33" ht="20.25" x14ac:dyDescent="0.2">
      <c r="A18" s="1" t="s">
        <v>151</v>
      </c>
      <c r="B18" s="1">
        <f>IF(A13=C1,VLOOKUP(B13,table1,13,FALSE),IF(A13=C2,SQRT((VLOOKUP(B13,table1,13,FALSE))^2+(B21+B10/2)^2)))</f>
        <v>4.0925786492137206</v>
      </c>
      <c r="C18" s="1" t="s">
        <v>17</v>
      </c>
      <c r="H18" s="4" t="s">
        <v>27</v>
      </c>
      <c r="S18" s="1" t="s">
        <v>134</v>
      </c>
      <c r="T18" s="31">
        <v>160</v>
      </c>
      <c r="U18" s="31"/>
      <c r="V18" s="13">
        <v>15</v>
      </c>
      <c r="W18" s="14">
        <v>46.1</v>
      </c>
      <c r="X18" s="14">
        <v>36.200000000000003</v>
      </c>
      <c r="Y18" s="15">
        <v>4.49</v>
      </c>
      <c r="Z18" s="14">
        <v>11.3</v>
      </c>
      <c r="AA18" s="15">
        <v>6.35</v>
      </c>
      <c r="AB18" s="15">
        <v>5.67</v>
      </c>
      <c r="AC18" s="13">
        <v>1100</v>
      </c>
      <c r="AD18" s="14">
        <v>95.6</v>
      </c>
      <c r="AE18" s="15">
        <v>4.88</v>
      </c>
      <c r="AF18" s="15">
        <v>6.15</v>
      </c>
      <c r="AG18" s="15">
        <v>3.14</v>
      </c>
    </row>
    <row r="19" spans="1:33" ht="20.25" x14ac:dyDescent="0.2">
      <c r="A19" s="1" t="s">
        <v>153</v>
      </c>
      <c r="B19" s="1">
        <f>VLOOKUP(B13,table1,14,FALSE)</f>
        <v>3.45</v>
      </c>
      <c r="C19" s="1" t="s">
        <v>17</v>
      </c>
      <c r="D19" s="3"/>
      <c r="H19" s="1" t="s">
        <v>120</v>
      </c>
      <c r="I19" s="2">
        <v>210</v>
      </c>
      <c r="J19" s="1" t="s">
        <v>17</v>
      </c>
      <c r="S19" s="1" t="s">
        <v>135</v>
      </c>
      <c r="T19" s="31">
        <v>180</v>
      </c>
      <c r="U19" s="31"/>
      <c r="V19" s="13">
        <v>16</v>
      </c>
      <c r="W19" s="14">
        <v>55.4</v>
      </c>
      <c r="X19" s="14">
        <v>43.5</v>
      </c>
      <c r="Y19" s="15">
        <v>5.0199999999999996</v>
      </c>
      <c r="Z19" s="14">
        <v>12.7</v>
      </c>
      <c r="AA19" s="15">
        <v>7.11</v>
      </c>
      <c r="AB19" s="15">
        <v>6.39</v>
      </c>
      <c r="AC19" s="13">
        <v>1680</v>
      </c>
      <c r="AD19" s="13">
        <v>130</v>
      </c>
      <c r="AE19" s="15">
        <v>5.51</v>
      </c>
      <c r="AF19" s="15">
        <v>6.96</v>
      </c>
      <c r="AG19" s="14">
        <v>3.5</v>
      </c>
    </row>
    <row r="20" spans="1:33" ht="20.25" x14ac:dyDescent="0.2">
      <c r="A20" s="1" t="s">
        <v>154</v>
      </c>
      <c r="B20" s="1">
        <f>VLOOKUP(B13,table1,15,FALSE)</f>
        <v>1.76</v>
      </c>
      <c r="C20" s="1" t="s">
        <v>17</v>
      </c>
      <c r="H20" s="1" t="s">
        <v>123</v>
      </c>
      <c r="I20" s="1">
        <f>IF(A13=C3,2*B14+B10*10,B14)</f>
        <v>90</v>
      </c>
      <c r="J20" s="1" t="s">
        <v>19</v>
      </c>
      <c r="S20" s="1" t="s">
        <v>136</v>
      </c>
      <c r="T20" s="31">
        <v>200</v>
      </c>
      <c r="U20" s="31"/>
      <c r="V20" s="13">
        <v>16</v>
      </c>
      <c r="W20" s="14">
        <v>61.8</v>
      </c>
      <c r="X20" s="14">
        <v>48.5</v>
      </c>
      <c r="Y20" s="15">
        <v>5.52</v>
      </c>
      <c r="Z20" s="14">
        <v>14.1</v>
      </c>
      <c r="AA20" s="14">
        <v>7.8</v>
      </c>
      <c r="AB20" s="15">
        <v>7.09</v>
      </c>
      <c r="AC20" s="13">
        <v>2340</v>
      </c>
      <c r="AD20" s="13">
        <v>168</v>
      </c>
      <c r="AE20" s="15">
        <v>6.15</v>
      </c>
      <c r="AF20" s="15">
        <v>7.78</v>
      </c>
      <c r="AG20" s="15">
        <v>3.91</v>
      </c>
    </row>
    <row r="21" spans="1:33" x14ac:dyDescent="0.2">
      <c r="A21" s="1" t="s">
        <v>126</v>
      </c>
      <c r="B21" s="1">
        <f>VLOOKUP(B13,table1,7,FALSE)</f>
        <v>2.54</v>
      </c>
      <c r="C21" s="1" t="s">
        <v>17</v>
      </c>
      <c r="H21" s="1" t="s">
        <v>128</v>
      </c>
      <c r="I21" s="1">
        <f>I19/(I20/10)</f>
        <v>23.333333333333332</v>
      </c>
      <c r="J21" s="1" t="s">
        <v>23</v>
      </c>
      <c r="K21" s="3" t="str">
        <f>IF(I21&lt;=60, "Safe", "Unsafe"  )</f>
        <v>Safe</v>
      </c>
    </row>
    <row r="22" spans="1:33" x14ac:dyDescent="0.2">
      <c r="B22" s="2"/>
    </row>
    <row r="23" spans="1:33" ht="21" x14ac:dyDescent="0.2">
      <c r="A23" s="1" t="s">
        <v>156</v>
      </c>
      <c r="B23" s="1">
        <f>IF(D13=B1,B16,IF(D13=B2,B16-2*((0.1*E14+0.2)*0.1*B15)))</f>
        <v>31</v>
      </c>
      <c r="C23" s="1" t="s">
        <v>149</v>
      </c>
    </row>
    <row r="24" spans="1:33" x14ac:dyDescent="0.2">
      <c r="A24" s="1" t="s">
        <v>104</v>
      </c>
      <c r="B24" s="2">
        <v>0.85</v>
      </c>
      <c r="C24" s="1" t="s">
        <v>23</v>
      </c>
      <c r="D24" s="1">
        <f>IF(B24&gt;0.9,0.9,B24)</f>
        <v>0.85</v>
      </c>
    </row>
    <row r="25" spans="1:33" ht="21" x14ac:dyDescent="0.2">
      <c r="A25" s="1" t="s">
        <v>158</v>
      </c>
      <c r="B25" s="1">
        <f>D24*B23</f>
        <v>26.349999999999998</v>
      </c>
      <c r="C25" s="1" t="s">
        <v>149</v>
      </c>
    </row>
  </sheetData>
  <mergeCells count="26">
    <mergeCell ref="T20:U20"/>
    <mergeCell ref="T19:U19"/>
    <mergeCell ref="T18:U18"/>
    <mergeCell ref="T4:U4"/>
    <mergeCell ref="T5:U5"/>
    <mergeCell ref="T6:U6"/>
    <mergeCell ref="T13:U13"/>
    <mergeCell ref="T14:U14"/>
    <mergeCell ref="T15:U15"/>
    <mergeCell ref="T16:U16"/>
    <mergeCell ref="T17:U17"/>
    <mergeCell ref="B4:C4"/>
    <mergeCell ref="B13:C13"/>
    <mergeCell ref="T11:U11"/>
    <mergeCell ref="T12:U12"/>
    <mergeCell ref="T7:U7"/>
    <mergeCell ref="T8:U8"/>
    <mergeCell ref="T9:U9"/>
    <mergeCell ref="T10:U10"/>
    <mergeCell ref="A12:C12"/>
    <mergeCell ref="A8:C8"/>
    <mergeCell ref="T1:V1"/>
    <mergeCell ref="Y1:AB1"/>
    <mergeCell ref="AC1:AE1"/>
    <mergeCell ref="T2:U2"/>
    <mergeCell ref="T3:U3"/>
  </mergeCells>
  <phoneticPr fontId="1" type="noConversion"/>
  <conditionalFormatting sqref="K9">
    <cfRule type="cellIs" dxfId="10" priority="9" operator="equal">
      <formula>"Unsafe"</formula>
    </cfRule>
  </conditionalFormatting>
  <conditionalFormatting sqref="K10">
    <cfRule type="cellIs" dxfId="9" priority="8" operator="equal">
      <formula>"Unsafe"</formula>
    </cfRule>
  </conditionalFormatting>
  <conditionalFormatting sqref="K16">
    <cfRule type="cellIs" dxfId="8" priority="7" operator="equal">
      <formula>"Unsafe"</formula>
    </cfRule>
  </conditionalFormatting>
  <conditionalFormatting sqref="K15">
    <cfRule type="cellIs" dxfId="7" priority="6" operator="equal">
      <formula>"Unsafe"</formula>
    </cfRule>
  </conditionalFormatting>
  <conditionalFormatting sqref="K21">
    <cfRule type="cellIs" dxfId="6" priority="5" operator="equal">
      <formula>"Unsafe"</formula>
    </cfRule>
  </conditionalFormatting>
  <conditionalFormatting sqref="K9:K10 K21 K15:K16">
    <cfRule type="cellIs" dxfId="5" priority="4" operator="equal">
      <formula>"Safe"</formula>
    </cfRule>
  </conditionalFormatting>
  <conditionalFormatting sqref="K6">
    <cfRule type="cellIs" dxfId="4" priority="2" operator="equal">
      <formula>"Unsafe"</formula>
    </cfRule>
    <cfRule type="cellIs" dxfId="3" priority="3" operator="equal">
      <formula>"Safe"</formula>
    </cfRule>
  </conditionalFormatting>
  <conditionalFormatting sqref="L15:Q15 H16:K16">
    <cfRule type="cellIs" dxfId="2" priority="1" operator="equal">
      <formula>"Not Important"</formula>
    </cfRule>
  </conditionalFormatting>
  <dataValidations count="4">
    <dataValidation type="list" allowBlank="1" showInputMessage="1" showErrorMessage="1" sqref="B4" xr:uid="{9D715DAE-C056-4E77-9148-450E870A0A11}">
      <formula1>$A$1:$A$3</formula1>
    </dataValidation>
    <dataValidation type="list" allowBlank="1" showInputMessage="1" showErrorMessage="1" sqref="A13" xr:uid="{4DF9DBEC-7833-406F-853C-A1666351BC39}">
      <formula1>$C$1:$C$3</formula1>
    </dataValidation>
    <dataValidation type="list" allowBlank="1" showInputMessage="1" showErrorMessage="1" sqref="D13" xr:uid="{C9391AAC-E721-4AF2-8AC3-583350A12541}">
      <formula1>$B$1:$B$2</formula1>
    </dataValidation>
    <dataValidation type="list" allowBlank="1" showInputMessage="1" showErrorMessage="1" sqref="B13:C13" xr:uid="{626276A5-1307-44E3-A2EC-B2CA85FD818D}">
      <formula1>$S$3:$S$20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3AB4-B7F5-43D8-8A40-548FE3B30AC3}">
  <dimension ref="A1:Z71"/>
  <sheetViews>
    <sheetView showGridLines="0" zoomScaleNormal="100" workbookViewId="0">
      <selection activeCell="D3" sqref="D3"/>
    </sheetView>
  </sheetViews>
  <sheetFormatPr defaultRowHeight="18.75" x14ac:dyDescent="0.2"/>
  <cols>
    <col min="1" max="3" width="9" style="18"/>
    <col min="4" max="4" width="7.375" style="18" customWidth="1"/>
    <col min="5" max="16384" width="9" style="18"/>
  </cols>
  <sheetData>
    <row r="1" spans="1:26" ht="18.75" customHeight="1" x14ac:dyDescent="0.2">
      <c r="A1" s="24">
        <v>37</v>
      </c>
      <c r="R1" s="34" t="s">
        <v>18</v>
      </c>
      <c r="S1" s="19" t="s">
        <v>116</v>
      </c>
      <c r="T1" s="19" t="s">
        <v>97</v>
      </c>
      <c r="U1" s="19" t="s">
        <v>22</v>
      </c>
      <c r="V1" s="19" t="s">
        <v>21</v>
      </c>
      <c r="W1" s="19" t="s">
        <v>98</v>
      </c>
      <c r="X1" s="36" t="s">
        <v>117</v>
      </c>
      <c r="Y1" s="36"/>
      <c r="Z1" s="36"/>
    </row>
    <row r="2" spans="1:26" ht="21.75" x14ac:dyDescent="0.2">
      <c r="A2" s="24">
        <v>44</v>
      </c>
      <c r="R2" s="38"/>
      <c r="S2" s="19" t="s">
        <v>118</v>
      </c>
      <c r="T2" s="19" t="s">
        <v>119</v>
      </c>
      <c r="U2" s="19" t="s">
        <v>119</v>
      </c>
      <c r="V2" s="19" t="s">
        <v>137</v>
      </c>
      <c r="W2" s="19" t="s">
        <v>113</v>
      </c>
      <c r="X2" s="19" t="s">
        <v>140</v>
      </c>
      <c r="Y2" s="19" t="s">
        <v>141</v>
      </c>
      <c r="Z2" s="19" t="s">
        <v>142</v>
      </c>
    </row>
    <row r="3" spans="1:26" ht="25.5" customHeight="1" x14ac:dyDescent="0.2">
      <c r="A3" s="24">
        <v>52</v>
      </c>
      <c r="R3" s="18" t="s">
        <v>28</v>
      </c>
      <c r="S3" s="32">
        <v>38</v>
      </c>
      <c r="T3" s="20">
        <v>38</v>
      </c>
      <c r="U3" s="20">
        <v>3</v>
      </c>
      <c r="V3" s="21">
        <v>3.3</v>
      </c>
      <c r="W3" s="22">
        <v>2.59</v>
      </c>
      <c r="X3" s="20">
        <v>5</v>
      </c>
      <c r="Y3" s="22">
        <v>2.63</v>
      </c>
      <c r="Z3" s="22">
        <v>1.24</v>
      </c>
    </row>
    <row r="4" spans="1:26" ht="19.5" customHeight="1" x14ac:dyDescent="0.2">
      <c r="A4" s="18" t="s">
        <v>160</v>
      </c>
      <c r="B4" s="33">
        <v>37</v>
      </c>
      <c r="C4" s="33"/>
      <c r="E4" s="39" t="s">
        <v>24</v>
      </c>
      <c r="F4" s="39"/>
      <c r="R4" s="18" t="s">
        <v>29</v>
      </c>
      <c r="S4" s="32"/>
      <c r="T4" s="20">
        <v>38</v>
      </c>
      <c r="U4" s="20">
        <v>4</v>
      </c>
      <c r="V4" s="22">
        <v>4.2699999999999996</v>
      </c>
      <c r="W4" s="22">
        <v>3.35</v>
      </c>
      <c r="X4" s="22">
        <v>6.26</v>
      </c>
      <c r="Y4" s="22">
        <v>3.29</v>
      </c>
      <c r="Z4" s="22">
        <v>1.21</v>
      </c>
    </row>
    <row r="5" spans="1:26" ht="21" x14ac:dyDescent="0.2">
      <c r="A5" s="18" t="s">
        <v>165</v>
      </c>
      <c r="B5" s="18">
        <f>IF(B4=A1,2.4,IF(B4=A2,2.8,3.6))</f>
        <v>2.4</v>
      </c>
      <c r="C5" s="18" t="s">
        <v>146</v>
      </c>
      <c r="E5" s="34" t="s">
        <v>100</v>
      </c>
      <c r="F5" s="34"/>
      <c r="R5" s="18" t="s">
        <v>30</v>
      </c>
      <c r="S5" s="37">
        <v>44.5</v>
      </c>
      <c r="T5" s="21">
        <v>44.5</v>
      </c>
      <c r="U5" s="20">
        <v>3</v>
      </c>
      <c r="V5" s="22">
        <v>3.91</v>
      </c>
      <c r="W5" s="22">
        <v>3.07</v>
      </c>
      <c r="X5" s="22">
        <v>8.4600000000000009</v>
      </c>
      <c r="Y5" s="21">
        <v>3.8</v>
      </c>
      <c r="Z5" s="22">
        <v>1.47</v>
      </c>
    </row>
    <row r="6" spans="1:26" ht="21" x14ac:dyDescent="0.2">
      <c r="A6" s="18" t="s">
        <v>166</v>
      </c>
      <c r="B6" s="18">
        <f>IF(B4=A1,3.7,IF(B4=A2,4.4,5.2))</f>
        <v>3.7</v>
      </c>
      <c r="C6" s="18" t="s">
        <v>146</v>
      </c>
      <c r="E6" s="18" t="s">
        <v>101</v>
      </c>
      <c r="F6" s="18">
        <f>B19/B20</f>
        <v>31.8</v>
      </c>
      <c r="G6" s="34" t="str">
        <f>IF(F6&lt;=165/B5,"Compact",IF(AND(F6&lt;=211/B5,F6&gt;165/B5),"Non-Compact"))</f>
        <v>Compact</v>
      </c>
      <c r="H6" s="34"/>
      <c r="R6" s="18" t="s">
        <v>31</v>
      </c>
      <c r="S6" s="37"/>
      <c r="T6" s="21">
        <v>44.5</v>
      </c>
      <c r="U6" s="20">
        <v>4</v>
      </c>
      <c r="V6" s="22">
        <v>5.09</v>
      </c>
      <c r="W6" s="22">
        <v>4</v>
      </c>
      <c r="X6" s="21">
        <v>10.5</v>
      </c>
      <c r="Y6" s="22">
        <v>4.74</v>
      </c>
      <c r="Z6" s="22">
        <v>1.44</v>
      </c>
    </row>
    <row r="7" spans="1:26" x14ac:dyDescent="0.2">
      <c r="R7" s="18" t="s">
        <v>32</v>
      </c>
      <c r="S7" s="37"/>
      <c r="T7" s="21">
        <v>44.5</v>
      </c>
      <c r="U7" s="20">
        <v>5</v>
      </c>
      <c r="V7" s="21">
        <v>6.2</v>
      </c>
      <c r="W7" s="22">
        <v>4.87</v>
      </c>
      <c r="X7" s="21">
        <v>12.3</v>
      </c>
      <c r="Y7" s="22">
        <v>5.53</v>
      </c>
      <c r="Z7" s="22">
        <v>1.41</v>
      </c>
    </row>
    <row r="8" spans="1:26" x14ac:dyDescent="0.2">
      <c r="A8" s="35" t="s">
        <v>164</v>
      </c>
      <c r="B8" s="35"/>
      <c r="C8" s="35"/>
      <c r="E8" s="34" t="s">
        <v>26</v>
      </c>
      <c r="F8" s="34"/>
      <c r="R8" s="18" t="s">
        <v>33</v>
      </c>
      <c r="S8" s="32">
        <v>60</v>
      </c>
      <c r="T8" s="20">
        <v>60</v>
      </c>
      <c r="U8" s="20">
        <v>3</v>
      </c>
      <c r="V8" s="22">
        <v>5.37</v>
      </c>
      <c r="W8" s="22">
        <v>4.22</v>
      </c>
      <c r="X8" s="21">
        <v>21.9</v>
      </c>
      <c r="Y8" s="22">
        <v>7.29</v>
      </c>
      <c r="Z8" s="22">
        <v>2.02</v>
      </c>
    </row>
    <row r="9" spans="1:26" ht="20.25" x14ac:dyDescent="0.2">
      <c r="A9" s="18" t="s">
        <v>176</v>
      </c>
      <c r="B9" s="23">
        <v>5.5</v>
      </c>
      <c r="C9" s="18" t="s">
        <v>16</v>
      </c>
      <c r="E9" s="34" t="s">
        <v>102</v>
      </c>
      <c r="F9" s="34"/>
      <c r="R9" s="18" t="s">
        <v>34</v>
      </c>
      <c r="S9" s="32"/>
      <c r="T9" s="20">
        <v>60</v>
      </c>
      <c r="U9" s="20">
        <v>4</v>
      </c>
      <c r="V9" s="22">
        <v>7.04</v>
      </c>
      <c r="W9" s="22">
        <v>5.52</v>
      </c>
      <c r="X9" s="21">
        <v>27.7</v>
      </c>
      <c r="Y9" s="22">
        <v>9.24</v>
      </c>
      <c r="Z9" s="22">
        <v>1.99</v>
      </c>
    </row>
    <row r="10" spans="1:26" ht="20.25" x14ac:dyDescent="0.2">
      <c r="A10" s="18" t="s">
        <v>175</v>
      </c>
      <c r="B10" s="23">
        <v>848</v>
      </c>
      <c r="C10" s="18" t="s">
        <v>17</v>
      </c>
      <c r="E10" s="18" t="s">
        <v>180</v>
      </c>
      <c r="F10" s="18">
        <f>0.85*B17*B5</f>
        <v>49.368000000000002</v>
      </c>
      <c r="G10" s="18" t="s">
        <v>16</v>
      </c>
      <c r="H10" s="24" t="str">
        <f>IF(F10&gt;=B9,"Safe","Unsafe")</f>
        <v>Safe</v>
      </c>
      <c r="R10" s="18" t="s">
        <v>35</v>
      </c>
      <c r="S10" s="32"/>
      <c r="T10" s="20">
        <v>60</v>
      </c>
      <c r="U10" s="20">
        <v>5</v>
      </c>
      <c r="V10" s="22">
        <v>8.64</v>
      </c>
      <c r="W10" s="22">
        <v>6.78</v>
      </c>
      <c r="X10" s="21">
        <v>32.9</v>
      </c>
      <c r="Y10" s="20">
        <v>11</v>
      </c>
      <c r="Z10" s="22">
        <v>1.95</v>
      </c>
    </row>
    <row r="11" spans="1:26" ht="20.25" x14ac:dyDescent="0.2">
      <c r="A11" s="18" t="s">
        <v>167</v>
      </c>
      <c r="B11" s="23">
        <v>848</v>
      </c>
      <c r="C11" s="18" t="s">
        <v>17</v>
      </c>
      <c r="R11" s="18" t="s">
        <v>36</v>
      </c>
      <c r="S11" s="32">
        <v>70</v>
      </c>
      <c r="T11" s="20">
        <v>70</v>
      </c>
      <c r="U11" s="20">
        <v>3</v>
      </c>
      <c r="V11" s="22">
        <v>6.31</v>
      </c>
      <c r="W11" s="22">
        <v>4.96</v>
      </c>
      <c r="X11" s="21">
        <v>35.5</v>
      </c>
      <c r="Y11" s="21">
        <v>10.1</v>
      </c>
      <c r="Z11" s="22">
        <v>2.37</v>
      </c>
    </row>
    <row r="12" spans="1:26" ht="20.25" x14ac:dyDescent="0.2">
      <c r="A12" s="18" t="s">
        <v>168</v>
      </c>
      <c r="B12" s="23">
        <v>848</v>
      </c>
      <c r="C12" s="18" t="s">
        <v>17</v>
      </c>
      <c r="E12" s="34" t="s">
        <v>103</v>
      </c>
      <c r="F12" s="34"/>
      <c r="R12" s="18" t="s">
        <v>37</v>
      </c>
      <c r="S12" s="32"/>
      <c r="T12" s="20">
        <v>70</v>
      </c>
      <c r="U12" s="20">
        <v>4</v>
      </c>
      <c r="V12" s="22">
        <v>8.2899999999999991</v>
      </c>
      <c r="W12" s="22">
        <v>6.51</v>
      </c>
      <c r="X12" s="21">
        <v>45.3</v>
      </c>
      <c r="Y12" s="20">
        <v>13</v>
      </c>
      <c r="Z12" s="22">
        <v>2.34</v>
      </c>
    </row>
    <row r="13" spans="1:26" ht="20.25" x14ac:dyDescent="0.2">
      <c r="A13" s="18" t="s">
        <v>169</v>
      </c>
      <c r="B13" s="23">
        <v>1</v>
      </c>
      <c r="C13" s="18" t="s">
        <v>17</v>
      </c>
      <c r="E13" s="18" t="s">
        <v>104</v>
      </c>
      <c r="F13" s="23">
        <v>1</v>
      </c>
      <c r="G13" s="18" t="s">
        <v>23</v>
      </c>
      <c r="R13" s="18" t="s">
        <v>38</v>
      </c>
      <c r="S13" s="32"/>
      <c r="T13" s="20">
        <v>70</v>
      </c>
      <c r="U13" s="20">
        <v>5</v>
      </c>
      <c r="V13" s="21">
        <v>10.199999999999999</v>
      </c>
      <c r="W13" s="22">
        <v>8.01</v>
      </c>
      <c r="X13" s="21">
        <v>54.2</v>
      </c>
      <c r="Y13" s="21">
        <v>15.5</v>
      </c>
      <c r="Z13" s="22">
        <v>2.31</v>
      </c>
    </row>
    <row r="14" spans="1:26" ht="20.25" x14ac:dyDescent="0.2">
      <c r="B14" s="23"/>
      <c r="E14" s="18" t="s">
        <v>181</v>
      </c>
      <c r="F14" s="18">
        <f>0.7*F13*B17*B6</f>
        <v>62.677999999999997</v>
      </c>
      <c r="G14" s="18" t="s">
        <v>16</v>
      </c>
      <c r="H14" s="24" t="str">
        <f>IF(F10&gt;=B9,"Safe","Unsafe")</f>
        <v>Safe</v>
      </c>
      <c r="R14" s="18" t="s">
        <v>39</v>
      </c>
      <c r="S14" s="32"/>
      <c r="T14" s="20">
        <v>70</v>
      </c>
      <c r="U14" s="20">
        <v>6</v>
      </c>
      <c r="V14" s="22">
        <v>12.06</v>
      </c>
      <c r="W14" s="22">
        <v>9.4700000000000006</v>
      </c>
      <c r="X14" s="21">
        <v>62.3</v>
      </c>
      <c r="Y14" s="21">
        <v>17.8</v>
      </c>
      <c r="Z14" s="22">
        <v>2.27</v>
      </c>
    </row>
    <row r="15" spans="1:26" x14ac:dyDescent="0.2">
      <c r="A15" s="35" t="s">
        <v>177</v>
      </c>
      <c r="B15" s="35"/>
      <c r="C15" s="35"/>
      <c r="R15" s="18" t="s">
        <v>40</v>
      </c>
      <c r="S15" s="32">
        <v>76</v>
      </c>
      <c r="T15" s="20">
        <v>76</v>
      </c>
      <c r="U15" s="20">
        <v>3</v>
      </c>
      <c r="V15" s="22">
        <v>6.88</v>
      </c>
      <c r="W15" s="22">
        <v>5.4</v>
      </c>
      <c r="X15" s="21">
        <v>45.9</v>
      </c>
      <c r="Y15" s="21">
        <v>12.1</v>
      </c>
      <c r="Z15" s="22">
        <v>2.58</v>
      </c>
    </row>
    <row r="16" spans="1:26" x14ac:dyDescent="0.2">
      <c r="A16" s="18" t="s">
        <v>116</v>
      </c>
      <c r="B16" s="33" t="s">
        <v>56</v>
      </c>
      <c r="C16" s="33"/>
      <c r="E16" s="34" t="s">
        <v>105</v>
      </c>
      <c r="F16" s="34"/>
      <c r="R16" s="18" t="s">
        <v>41</v>
      </c>
      <c r="S16" s="32"/>
      <c r="T16" s="20">
        <v>76</v>
      </c>
      <c r="U16" s="20">
        <v>4</v>
      </c>
      <c r="V16" s="22">
        <v>9.0500000000000007</v>
      </c>
      <c r="W16" s="22">
        <v>7.1</v>
      </c>
      <c r="X16" s="21">
        <v>58.5</v>
      </c>
      <c r="Y16" s="21">
        <v>15.5</v>
      </c>
      <c r="Z16" s="22">
        <v>2.5499999999999998</v>
      </c>
    </row>
    <row r="17" spans="1:26" ht="21" x14ac:dyDescent="0.2">
      <c r="A17" s="18" t="s">
        <v>179</v>
      </c>
      <c r="B17" s="18">
        <f>VLOOKUP(B16,table2,5,FALSE)</f>
        <v>24.2</v>
      </c>
      <c r="C17" s="18" t="s">
        <v>149</v>
      </c>
      <c r="E17" s="18" t="s">
        <v>178</v>
      </c>
      <c r="F17" s="18">
        <f>(MAX(B12,B11))/B23</f>
        <v>155.59633027522935</v>
      </c>
      <c r="G17" s="24" t="str">
        <f>IF(F17&lt;=300,"Safe","Unsafe")</f>
        <v>Safe</v>
      </c>
      <c r="R17" s="18" t="s">
        <v>42</v>
      </c>
      <c r="S17" s="32"/>
      <c r="T17" s="20">
        <v>76</v>
      </c>
      <c r="U17" s="20">
        <v>5</v>
      </c>
      <c r="V17" s="22">
        <v>11.15</v>
      </c>
      <c r="W17" s="22">
        <v>8.75</v>
      </c>
      <c r="X17" s="21">
        <v>70.599999999999994</v>
      </c>
      <c r="Y17" s="21">
        <v>18.600000000000001</v>
      </c>
      <c r="Z17" s="22">
        <v>2.52</v>
      </c>
    </row>
    <row r="18" spans="1:26" x14ac:dyDescent="0.2">
      <c r="A18" s="18" t="s">
        <v>98</v>
      </c>
      <c r="B18" s="18">
        <f>VLOOKUP(B16,table2,6,FALSE)</f>
        <v>19</v>
      </c>
      <c r="C18" s="18" t="s">
        <v>99</v>
      </c>
      <c r="R18" s="18" t="s">
        <v>43</v>
      </c>
      <c r="S18" s="32"/>
      <c r="T18" s="20">
        <v>76</v>
      </c>
      <c r="U18" s="20">
        <v>6</v>
      </c>
      <c r="V18" s="21">
        <v>13.2</v>
      </c>
      <c r="W18" s="21">
        <v>10.4</v>
      </c>
      <c r="X18" s="21">
        <v>81.400000000000006</v>
      </c>
      <c r="Y18" s="21">
        <v>21.4</v>
      </c>
      <c r="Z18" s="22">
        <v>2.48</v>
      </c>
    </row>
    <row r="19" spans="1:26" x14ac:dyDescent="0.2">
      <c r="A19" s="18" t="s">
        <v>97</v>
      </c>
      <c r="B19" s="18">
        <f>VLOOKUP(B16,table2,3,FALSE)</f>
        <v>159</v>
      </c>
      <c r="C19" s="18" t="s">
        <v>19</v>
      </c>
      <c r="E19" s="34" t="s">
        <v>27</v>
      </c>
      <c r="F19" s="34"/>
      <c r="R19" s="18" t="s">
        <v>44</v>
      </c>
      <c r="S19" s="32">
        <v>89</v>
      </c>
      <c r="T19" s="20">
        <v>89</v>
      </c>
      <c r="U19" s="20">
        <v>4</v>
      </c>
      <c r="V19" s="21">
        <v>10.7</v>
      </c>
      <c r="W19" s="22">
        <v>8.3800000000000008</v>
      </c>
      <c r="X19" s="21">
        <v>96.7</v>
      </c>
      <c r="Y19" s="21">
        <v>21.7</v>
      </c>
      <c r="Z19" s="22">
        <v>3.01</v>
      </c>
    </row>
    <row r="20" spans="1:26" x14ac:dyDescent="0.2">
      <c r="A20" s="18" t="s">
        <v>22</v>
      </c>
      <c r="B20" s="18">
        <f>VLOOKUP(B16,table2,4,FALSE)</f>
        <v>5</v>
      </c>
      <c r="C20" s="18" t="s">
        <v>19</v>
      </c>
      <c r="E20" s="18" t="s">
        <v>106</v>
      </c>
      <c r="F20" s="18">
        <f>B10/(0.1*B19)</f>
        <v>53.333333333333329</v>
      </c>
      <c r="G20" s="24" t="str">
        <f>IF(F20&lt;=60,"Safe","Unsafe")</f>
        <v>Safe</v>
      </c>
      <c r="R20" s="18" t="s">
        <v>45</v>
      </c>
      <c r="S20" s="32"/>
      <c r="T20" s="20">
        <v>89</v>
      </c>
      <c r="U20" s="20">
        <v>5</v>
      </c>
      <c r="V20" s="21">
        <v>13.2</v>
      </c>
      <c r="W20" s="22">
        <v>10.4</v>
      </c>
      <c r="X20" s="20">
        <v>117</v>
      </c>
      <c r="Y20" s="21">
        <v>26.2</v>
      </c>
      <c r="Z20" s="22">
        <v>2.98</v>
      </c>
    </row>
    <row r="21" spans="1:26" ht="21" x14ac:dyDescent="0.2">
      <c r="A21" s="18" t="s">
        <v>170</v>
      </c>
      <c r="B21" s="18">
        <f>VLOOKUP(B16,table2,7,FALSE)</f>
        <v>718</v>
      </c>
      <c r="C21" s="18" t="s">
        <v>171</v>
      </c>
      <c r="R21" s="18" t="s">
        <v>46</v>
      </c>
      <c r="S21" s="32"/>
      <c r="T21" s="20">
        <v>89</v>
      </c>
      <c r="U21" s="20">
        <v>6</v>
      </c>
      <c r="V21" s="21">
        <v>15.6</v>
      </c>
      <c r="W21" s="22">
        <v>12.3</v>
      </c>
      <c r="X21" s="20">
        <v>135</v>
      </c>
      <c r="Y21" s="21">
        <v>30.4</v>
      </c>
      <c r="Z21" s="22">
        <v>2.94</v>
      </c>
    </row>
    <row r="22" spans="1:26" ht="21" x14ac:dyDescent="0.2">
      <c r="A22" s="18" t="s">
        <v>172</v>
      </c>
      <c r="B22" s="18">
        <f>VLOOKUP(B16,table2,8,FALSE)</f>
        <v>90.3</v>
      </c>
      <c r="C22" s="18" t="s">
        <v>173</v>
      </c>
      <c r="R22" s="18" t="s">
        <v>47</v>
      </c>
      <c r="S22" s="32"/>
      <c r="T22" s="20">
        <v>89</v>
      </c>
      <c r="U22" s="20">
        <v>7</v>
      </c>
      <c r="V22" s="20">
        <v>18</v>
      </c>
      <c r="W22" s="21">
        <v>14.2</v>
      </c>
      <c r="X22" s="20">
        <v>153</v>
      </c>
      <c r="Y22" s="21">
        <v>34.299999999999997</v>
      </c>
      <c r="Z22" s="22">
        <v>2.91</v>
      </c>
    </row>
    <row r="23" spans="1:26" ht="20.25" x14ac:dyDescent="0.2">
      <c r="A23" s="18" t="s">
        <v>174</v>
      </c>
      <c r="B23" s="18">
        <f>VLOOKUP(B16,table2,9,FALSE)</f>
        <v>5.45</v>
      </c>
      <c r="C23" s="18" t="s">
        <v>17</v>
      </c>
      <c r="R23" s="18" t="s">
        <v>48</v>
      </c>
      <c r="S23" s="32">
        <v>108</v>
      </c>
      <c r="T23" s="20">
        <v>108</v>
      </c>
      <c r="U23" s="20">
        <v>5</v>
      </c>
      <c r="V23" s="21">
        <v>16.2</v>
      </c>
      <c r="W23" s="22">
        <v>12.7</v>
      </c>
      <c r="X23" s="20">
        <v>215</v>
      </c>
      <c r="Y23" s="21">
        <v>39.799999999999997</v>
      </c>
      <c r="Z23" s="22">
        <v>3.65</v>
      </c>
    </row>
    <row r="24" spans="1:26" x14ac:dyDescent="0.2">
      <c r="R24" s="18" t="s">
        <v>49</v>
      </c>
      <c r="S24" s="32"/>
      <c r="T24" s="20">
        <v>108</v>
      </c>
      <c r="U24" s="20">
        <v>6</v>
      </c>
      <c r="V24" s="21">
        <v>19.2</v>
      </c>
      <c r="W24" s="22">
        <v>15.1</v>
      </c>
      <c r="X24" s="20">
        <v>251</v>
      </c>
      <c r="Y24" s="21">
        <v>46.5</v>
      </c>
      <c r="Z24" s="22">
        <v>3.61</v>
      </c>
    </row>
    <row r="25" spans="1:26" x14ac:dyDescent="0.2">
      <c r="R25" s="18" t="s">
        <v>50</v>
      </c>
      <c r="S25" s="32"/>
      <c r="T25" s="20">
        <v>108</v>
      </c>
      <c r="U25" s="20">
        <v>7</v>
      </c>
      <c r="V25" s="21">
        <v>22.2</v>
      </c>
      <c r="W25" s="22">
        <v>17.399999999999999</v>
      </c>
      <c r="X25" s="20">
        <v>285</v>
      </c>
      <c r="Y25" s="21">
        <v>52.7</v>
      </c>
      <c r="Z25" s="22">
        <v>3.58</v>
      </c>
    </row>
    <row r="26" spans="1:26" x14ac:dyDescent="0.2">
      <c r="R26" s="18" t="s">
        <v>51</v>
      </c>
      <c r="S26" s="32"/>
      <c r="T26" s="20">
        <v>108</v>
      </c>
      <c r="U26" s="20">
        <v>8</v>
      </c>
      <c r="V26" s="21">
        <v>25.1</v>
      </c>
      <c r="W26" s="21">
        <v>19.7</v>
      </c>
      <c r="X26" s="20">
        <v>316</v>
      </c>
      <c r="Y26" s="21">
        <v>58.6</v>
      </c>
      <c r="Z26" s="22">
        <v>3.55</v>
      </c>
    </row>
    <row r="27" spans="1:26" x14ac:dyDescent="0.2">
      <c r="R27" s="18" t="s">
        <v>52</v>
      </c>
      <c r="S27" s="32">
        <v>133</v>
      </c>
      <c r="T27" s="20">
        <v>133</v>
      </c>
      <c r="U27" s="20">
        <v>5</v>
      </c>
      <c r="V27" s="21">
        <v>20.100000000000001</v>
      </c>
      <c r="W27" s="22">
        <v>15.8</v>
      </c>
      <c r="X27" s="20">
        <v>412</v>
      </c>
      <c r="Y27" s="20">
        <v>62</v>
      </c>
      <c r="Z27" s="22">
        <v>4.53</v>
      </c>
    </row>
    <row r="28" spans="1:26" x14ac:dyDescent="0.2">
      <c r="R28" s="18" t="s">
        <v>53</v>
      </c>
      <c r="S28" s="32"/>
      <c r="T28" s="20">
        <v>133</v>
      </c>
      <c r="U28" s="20">
        <v>6</v>
      </c>
      <c r="V28" s="21">
        <v>23.9</v>
      </c>
      <c r="W28" s="22">
        <v>18.8</v>
      </c>
      <c r="X28" s="20">
        <v>484</v>
      </c>
      <c r="Y28" s="21">
        <v>72.7</v>
      </c>
      <c r="Z28" s="21">
        <v>4.5</v>
      </c>
    </row>
    <row r="29" spans="1:26" x14ac:dyDescent="0.2">
      <c r="R29" s="18" t="s">
        <v>54</v>
      </c>
      <c r="S29" s="32"/>
      <c r="T29" s="20">
        <v>133</v>
      </c>
      <c r="U29" s="20">
        <v>7</v>
      </c>
      <c r="V29" s="21">
        <v>27.7</v>
      </c>
      <c r="W29" s="22">
        <v>21.8</v>
      </c>
      <c r="X29" s="20">
        <v>552</v>
      </c>
      <c r="Y29" s="21">
        <v>82.9</v>
      </c>
      <c r="Z29" s="22">
        <v>4.46</v>
      </c>
    </row>
    <row r="30" spans="1:26" x14ac:dyDescent="0.2">
      <c r="R30" s="18" t="s">
        <v>55</v>
      </c>
      <c r="S30" s="32"/>
      <c r="T30" s="20">
        <v>133</v>
      </c>
      <c r="U30" s="20">
        <v>8</v>
      </c>
      <c r="V30" s="21">
        <v>31.4</v>
      </c>
      <c r="W30" s="21">
        <v>24.7</v>
      </c>
      <c r="X30" s="20">
        <v>616</v>
      </c>
      <c r="Y30" s="21">
        <v>92.6</v>
      </c>
      <c r="Z30" s="22">
        <v>4.43</v>
      </c>
    </row>
    <row r="31" spans="1:26" x14ac:dyDescent="0.2">
      <c r="R31" s="18" t="s">
        <v>56</v>
      </c>
      <c r="S31" s="32">
        <v>159</v>
      </c>
      <c r="T31" s="20">
        <v>159</v>
      </c>
      <c r="U31" s="20">
        <v>5</v>
      </c>
      <c r="V31" s="21">
        <v>24.2</v>
      </c>
      <c r="W31" s="22">
        <v>19</v>
      </c>
      <c r="X31" s="20">
        <v>718</v>
      </c>
      <c r="Y31" s="21">
        <v>90.3</v>
      </c>
      <c r="Z31" s="22">
        <v>5.45</v>
      </c>
    </row>
    <row r="32" spans="1:26" x14ac:dyDescent="0.2">
      <c r="R32" s="18" t="s">
        <v>57</v>
      </c>
      <c r="S32" s="32"/>
      <c r="T32" s="20">
        <v>159</v>
      </c>
      <c r="U32" s="20">
        <v>6</v>
      </c>
      <c r="V32" s="21">
        <v>28.8</v>
      </c>
      <c r="W32" s="22">
        <v>22.6</v>
      </c>
      <c r="X32" s="20">
        <v>845</v>
      </c>
      <c r="Y32" s="20">
        <v>106</v>
      </c>
      <c r="Z32" s="22">
        <v>5.41</v>
      </c>
    </row>
    <row r="33" spans="18:26" x14ac:dyDescent="0.2">
      <c r="R33" s="18" t="s">
        <v>58</v>
      </c>
      <c r="S33" s="32"/>
      <c r="T33" s="20">
        <v>159</v>
      </c>
      <c r="U33" s="20">
        <v>7</v>
      </c>
      <c r="V33" s="21">
        <v>33.4</v>
      </c>
      <c r="W33" s="22">
        <v>26.2</v>
      </c>
      <c r="X33" s="20">
        <v>967</v>
      </c>
      <c r="Y33" s="20">
        <v>122</v>
      </c>
      <c r="Z33" s="22">
        <v>5.38</v>
      </c>
    </row>
    <row r="34" spans="18:26" x14ac:dyDescent="0.2">
      <c r="R34" s="18" t="s">
        <v>59</v>
      </c>
      <c r="S34" s="32"/>
      <c r="T34" s="20">
        <v>159</v>
      </c>
      <c r="U34" s="20">
        <v>8</v>
      </c>
      <c r="V34" s="20">
        <v>38</v>
      </c>
      <c r="W34" s="22">
        <v>29.8</v>
      </c>
      <c r="X34" s="20">
        <v>1080</v>
      </c>
      <c r="Y34" s="20">
        <v>136</v>
      </c>
      <c r="Z34" s="22">
        <v>5.35</v>
      </c>
    </row>
    <row r="35" spans="18:26" x14ac:dyDescent="0.2">
      <c r="R35" s="18" t="s">
        <v>60</v>
      </c>
      <c r="S35" s="32"/>
      <c r="T35" s="20">
        <v>159</v>
      </c>
      <c r="U35" s="20">
        <v>10</v>
      </c>
      <c r="V35" s="21">
        <v>46.8</v>
      </c>
      <c r="W35" s="22">
        <v>36.700000000000003</v>
      </c>
      <c r="X35" s="20">
        <v>1300</v>
      </c>
      <c r="Y35" s="20">
        <v>164</v>
      </c>
      <c r="Z35" s="22">
        <v>5.28</v>
      </c>
    </row>
    <row r="36" spans="18:26" x14ac:dyDescent="0.2">
      <c r="R36" s="18" t="s">
        <v>61</v>
      </c>
      <c r="S36" s="32">
        <v>194</v>
      </c>
      <c r="T36" s="20">
        <v>194</v>
      </c>
      <c r="U36" s="20">
        <v>6</v>
      </c>
      <c r="V36" s="21">
        <v>35.4</v>
      </c>
      <c r="W36" s="21">
        <v>27.8</v>
      </c>
      <c r="X36" s="20">
        <v>1570</v>
      </c>
      <c r="Y36" s="20">
        <v>162</v>
      </c>
      <c r="Z36" s="22">
        <v>6.65</v>
      </c>
    </row>
    <row r="37" spans="18:26" x14ac:dyDescent="0.2">
      <c r="R37" s="18" t="s">
        <v>62</v>
      </c>
      <c r="S37" s="32"/>
      <c r="T37" s="20">
        <v>194</v>
      </c>
      <c r="U37" s="20">
        <v>7</v>
      </c>
      <c r="V37" s="21">
        <v>41.1</v>
      </c>
      <c r="W37" s="21">
        <v>32.299999999999997</v>
      </c>
      <c r="X37" s="20">
        <v>1800</v>
      </c>
      <c r="Y37" s="20">
        <v>186</v>
      </c>
      <c r="Z37" s="22">
        <v>6.62</v>
      </c>
    </row>
    <row r="38" spans="18:26" x14ac:dyDescent="0.2">
      <c r="R38" s="18" t="s">
        <v>63</v>
      </c>
      <c r="S38" s="32"/>
      <c r="T38" s="20">
        <v>194</v>
      </c>
      <c r="U38" s="20">
        <v>8</v>
      </c>
      <c r="V38" s="21">
        <v>46.7</v>
      </c>
      <c r="W38" s="21">
        <v>36.700000000000003</v>
      </c>
      <c r="X38" s="20">
        <v>2030</v>
      </c>
      <c r="Y38" s="20">
        <v>209</v>
      </c>
      <c r="Z38" s="22">
        <v>6.59</v>
      </c>
    </row>
    <row r="39" spans="18:26" x14ac:dyDescent="0.2">
      <c r="R39" s="18" t="s">
        <v>64</v>
      </c>
      <c r="S39" s="32"/>
      <c r="T39" s="20">
        <v>194</v>
      </c>
      <c r="U39" s="20">
        <v>10</v>
      </c>
      <c r="V39" s="21">
        <v>57.8</v>
      </c>
      <c r="W39" s="21">
        <v>45.4</v>
      </c>
      <c r="X39" s="20">
        <v>2440</v>
      </c>
      <c r="Y39" s="20">
        <v>253</v>
      </c>
      <c r="Z39" s="22">
        <v>6.53</v>
      </c>
    </row>
    <row r="40" spans="18:26" x14ac:dyDescent="0.2">
      <c r="R40" s="18" t="s">
        <v>65</v>
      </c>
      <c r="S40" s="32">
        <v>219</v>
      </c>
      <c r="T40" s="20">
        <v>219</v>
      </c>
      <c r="U40" s="20">
        <v>6</v>
      </c>
      <c r="V40" s="21">
        <v>40.200000000000003</v>
      </c>
      <c r="W40" s="21">
        <v>31.6</v>
      </c>
      <c r="X40" s="20">
        <v>2280</v>
      </c>
      <c r="Y40" s="20">
        <v>208</v>
      </c>
      <c r="Z40" s="22">
        <v>7.53</v>
      </c>
    </row>
    <row r="41" spans="18:26" x14ac:dyDescent="0.2">
      <c r="R41" s="18" t="s">
        <v>66</v>
      </c>
      <c r="S41" s="32"/>
      <c r="T41" s="20">
        <v>219</v>
      </c>
      <c r="U41" s="20">
        <v>7</v>
      </c>
      <c r="V41" s="21">
        <v>46.6</v>
      </c>
      <c r="W41" s="21">
        <v>36.6</v>
      </c>
      <c r="X41" s="20">
        <v>2620</v>
      </c>
      <c r="Y41" s="20">
        <v>240</v>
      </c>
      <c r="Z41" s="21">
        <v>7.5</v>
      </c>
    </row>
    <row r="42" spans="18:26" x14ac:dyDescent="0.2">
      <c r="R42" s="18" t="s">
        <v>67</v>
      </c>
      <c r="S42" s="32"/>
      <c r="T42" s="20">
        <v>219</v>
      </c>
      <c r="U42" s="20">
        <v>8</v>
      </c>
      <c r="V42" s="20">
        <v>53</v>
      </c>
      <c r="W42" s="21">
        <v>41.6</v>
      </c>
      <c r="X42" s="20">
        <v>2960</v>
      </c>
      <c r="Y42" s="20">
        <v>270</v>
      </c>
      <c r="Z42" s="22">
        <v>7.46</v>
      </c>
    </row>
    <row r="43" spans="18:26" x14ac:dyDescent="0.2">
      <c r="R43" s="18" t="s">
        <v>68</v>
      </c>
      <c r="S43" s="32"/>
      <c r="T43" s="20">
        <v>219</v>
      </c>
      <c r="U43" s="20">
        <v>10</v>
      </c>
      <c r="V43" s="21">
        <v>65.7</v>
      </c>
      <c r="W43" s="21">
        <v>51.6</v>
      </c>
      <c r="X43" s="20">
        <v>3590</v>
      </c>
      <c r="Y43" s="20">
        <v>328</v>
      </c>
      <c r="Z43" s="21">
        <v>7.4</v>
      </c>
    </row>
    <row r="44" spans="18:26" x14ac:dyDescent="0.2">
      <c r="R44" s="18" t="s">
        <v>69</v>
      </c>
      <c r="S44" s="32"/>
      <c r="T44" s="20">
        <v>219</v>
      </c>
      <c r="U44" s="20">
        <v>12</v>
      </c>
      <c r="V44" s="20">
        <v>78</v>
      </c>
      <c r="W44" s="21">
        <v>61.2</v>
      </c>
      <c r="X44" s="20">
        <v>4190</v>
      </c>
      <c r="Y44" s="20">
        <v>383</v>
      </c>
      <c r="Z44" s="22">
        <v>7.32</v>
      </c>
    </row>
    <row r="45" spans="18:26" x14ac:dyDescent="0.2">
      <c r="R45" s="18" t="s">
        <v>70</v>
      </c>
      <c r="S45" s="32">
        <v>245</v>
      </c>
      <c r="T45" s="20">
        <v>245</v>
      </c>
      <c r="U45" s="20">
        <v>7</v>
      </c>
      <c r="V45" s="21">
        <v>52.3</v>
      </c>
      <c r="W45" s="21">
        <v>41.1</v>
      </c>
      <c r="X45" s="20">
        <v>3710</v>
      </c>
      <c r="Y45" s="20">
        <v>303</v>
      </c>
      <c r="Z45" s="22">
        <v>8.42</v>
      </c>
    </row>
    <row r="46" spans="18:26" x14ac:dyDescent="0.2">
      <c r="R46" s="18" t="s">
        <v>71</v>
      </c>
      <c r="S46" s="32"/>
      <c r="T46" s="20">
        <v>245</v>
      </c>
      <c r="U46" s="20">
        <v>8</v>
      </c>
      <c r="V46" s="21">
        <v>59.6</v>
      </c>
      <c r="W46" s="21">
        <v>46.8</v>
      </c>
      <c r="X46" s="20">
        <v>4190</v>
      </c>
      <c r="Y46" s="20">
        <v>342</v>
      </c>
      <c r="Z46" s="22">
        <v>8.3699999999999992</v>
      </c>
    </row>
    <row r="47" spans="18:26" x14ac:dyDescent="0.2">
      <c r="R47" s="18" t="s">
        <v>72</v>
      </c>
      <c r="S47" s="32"/>
      <c r="T47" s="20">
        <v>245</v>
      </c>
      <c r="U47" s="20">
        <v>10</v>
      </c>
      <c r="V47" s="21">
        <v>73.8</v>
      </c>
      <c r="W47" s="21">
        <v>57.9</v>
      </c>
      <c r="X47" s="20">
        <v>5110</v>
      </c>
      <c r="Y47" s="20">
        <v>417</v>
      </c>
      <c r="Z47" s="22">
        <v>8.32</v>
      </c>
    </row>
    <row r="48" spans="18:26" x14ac:dyDescent="0.2">
      <c r="R48" s="18" t="s">
        <v>73</v>
      </c>
      <c r="S48" s="32"/>
      <c r="T48" s="20">
        <v>245</v>
      </c>
      <c r="U48" s="20">
        <v>12</v>
      </c>
      <c r="V48" s="21">
        <v>87.8</v>
      </c>
      <c r="W48" s="21">
        <v>68.900000000000006</v>
      </c>
      <c r="X48" s="20">
        <v>5980</v>
      </c>
      <c r="Y48" s="20">
        <v>488</v>
      </c>
      <c r="Z48" s="22">
        <v>8.25</v>
      </c>
    </row>
    <row r="49" spans="18:26" x14ac:dyDescent="0.2">
      <c r="R49" s="18" t="s">
        <v>74</v>
      </c>
      <c r="S49" s="32"/>
      <c r="T49" s="20">
        <v>245</v>
      </c>
      <c r="U49" s="20">
        <v>14</v>
      </c>
      <c r="V49" s="20">
        <v>102</v>
      </c>
      <c r="W49" s="21">
        <v>80.099999999999994</v>
      </c>
      <c r="X49" s="20">
        <v>6800</v>
      </c>
      <c r="Y49" s="20">
        <v>555</v>
      </c>
      <c r="Z49" s="22">
        <v>8.17</v>
      </c>
    </row>
    <row r="50" spans="18:26" x14ac:dyDescent="0.2">
      <c r="R50" s="18" t="s">
        <v>75</v>
      </c>
      <c r="S50" s="32">
        <v>273</v>
      </c>
      <c r="T50" s="20">
        <v>273</v>
      </c>
      <c r="U50" s="20">
        <v>7</v>
      </c>
      <c r="V50" s="21">
        <v>58.5</v>
      </c>
      <c r="W50" s="21">
        <v>45.9</v>
      </c>
      <c r="X50" s="20">
        <v>5180</v>
      </c>
      <c r="Y50" s="20">
        <v>379</v>
      </c>
      <c r="Z50" s="21">
        <v>9.4</v>
      </c>
    </row>
    <row r="51" spans="18:26" x14ac:dyDescent="0.2">
      <c r="R51" s="18" t="s">
        <v>76</v>
      </c>
      <c r="S51" s="32"/>
      <c r="T51" s="20">
        <v>273</v>
      </c>
      <c r="U51" s="20">
        <v>8</v>
      </c>
      <c r="V51" s="21">
        <v>66.599999999999994</v>
      </c>
      <c r="W51" s="21">
        <v>52.3</v>
      </c>
      <c r="X51" s="20">
        <v>5850</v>
      </c>
      <c r="Y51" s="20">
        <v>429</v>
      </c>
      <c r="Z51" s="22">
        <v>9.3699999999999992</v>
      </c>
    </row>
    <row r="52" spans="18:26" x14ac:dyDescent="0.2">
      <c r="R52" s="18" t="s">
        <v>77</v>
      </c>
      <c r="S52" s="32"/>
      <c r="T52" s="20">
        <v>273</v>
      </c>
      <c r="U52" s="20">
        <v>10</v>
      </c>
      <c r="V52" s="21">
        <v>82.6</v>
      </c>
      <c r="W52" s="21">
        <v>64.8</v>
      </c>
      <c r="X52" s="20">
        <v>7150</v>
      </c>
      <c r="Y52" s="20">
        <v>524</v>
      </c>
      <c r="Z52" s="21">
        <v>9.3000000000000007</v>
      </c>
    </row>
    <row r="53" spans="18:26" x14ac:dyDescent="0.2">
      <c r="R53" s="18" t="s">
        <v>78</v>
      </c>
      <c r="S53" s="32"/>
      <c r="T53" s="20">
        <v>273</v>
      </c>
      <c r="U53" s="20">
        <v>12</v>
      </c>
      <c r="V53" s="21">
        <v>98.4</v>
      </c>
      <c r="W53" s="21">
        <v>77.2</v>
      </c>
      <c r="X53" s="20">
        <v>8400</v>
      </c>
      <c r="Y53" s="20">
        <v>615</v>
      </c>
      <c r="Z53" s="22">
        <v>9.24</v>
      </c>
    </row>
    <row r="54" spans="18:26" x14ac:dyDescent="0.2">
      <c r="R54" s="18" t="s">
        <v>79</v>
      </c>
      <c r="S54" s="32"/>
      <c r="T54" s="20">
        <v>273</v>
      </c>
      <c r="U54" s="20">
        <v>14</v>
      </c>
      <c r="V54" s="20">
        <v>114</v>
      </c>
      <c r="W54" s="21">
        <v>89.5</v>
      </c>
      <c r="X54" s="20">
        <v>9580</v>
      </c>
      <c r="Y54" s="20">
        <v>702</v>
      </c>
      <c r="Z54" s="22">
        <v>9.17</v>
      </c>
    </row>
    <row r="55" spans="18:26" x14ac:dyDescent="0.2">
      <c r="R55" s="18" t="s">
        <v>80</v>
      </c>
      <c r="S55" s="32">
        <v>325</v>
      </c>
      <c r="T55" s="20">
        <v>325</v>
      </c>
      <c r="U55" s="20">
        <v>8</v>
      </c>
      <c r="V55" s="21">
        <v>79.7</v>
      </c>
      <c r="W55" s="21">
        <v>62.6</v>
      </c>
      <c r="X55" s="20">
        <v>10010</v>
      </c>
      <c r="Y55" s="20">
        <v>616</v>
      </c>
      <c r="Z55" s="21">
        <v>11.2</v>
      </c>
    </row>
    <row r="56" spans="18:26" x14ac:dyDescent="0.2">
      <c r="R56" s="18" t="s">
        <v>81</v>
      </c>
      <c r="S56" s="32"/>
      <c r="T56" s="20">
        <v>325</v>
      </c>
      <c r="U56" s="20">
        <v>10</v>
      </c>
      <c r="V56" s="20">
        <v>99</v>
      </c>
      <c r="W56" s="21">
        <v>77.7</v>
      </c>
      <c r="X56" s="20">
        <v>12290</v>
      </c>
      <c r="Y56" s="20">
        <v>756</v>
      </c>
      <c r="Z56" s="21">
        <v>11.1</v>
      </c>
    </row>
    <row r="57" spans="18:26" x14ac:dyDescent="0.2">
      <c r="R57" s="18" t="s">
        <v>82</v>
      </c>
      <c r="S57" s="32"/>
      <c r="T57" s="20">
        <v>325</v>
      </c>
      <c r="U57" s="20">
        <v>12</v>
      </c>
      <c r="V57" s="20">
        <v>118</v>
      </c>
      <c r="W57" s="21">
        <v>92.6</v>
      </c>
      <c r="X57" s="20">
        <v>14470</v>
      </c>
      <c r="Y57" s="20">
        <v>891</v>
      </c>
      <c r="Z57" s="21">
        <v>11.1</v>
      </c>
    </row>
    <row r="58" spans="18:26" x14ac:dyDescent="0.2">
      <c r="R58" s="18" t="s">
        <v>83</v>
      </c>
      <c r="S58" s="32"/>
      <c r="T58" s="20">
        <v>325</v>
      </c>
      <c r="U58" s="20">
        <v>14</v>
      </c>
      <c r="V58" s="20">
        <v>137</v>
      </c>
      <c r="W58" s="21">
        <v>107.5</v>
      </c>
      <c r="X58" s="20">
        <v>16570</v>
      </c>
      <c r="Y58" s="20">
        <v>1020</v>
      </c>
      <c r="Z58" s="20">
        <v>11</v>
      </c>
    </row>
    <row r="59" spans="18:26" x14ac:dyDescent="0.2">
      <c r="R59" s="18" t="s">
        <v>84</v>
      </c>
      <c r="S59" s="32"/>
      <c r="T59" s="20">
        <v>325</v>
      </c>
      <c r="U59" s="20">
        <v>16</v>
      </c>
      <c r="V59" s="20">
        <v>155</v>
      </c>
      <c r="W59" s="21">
        <v>121.7</v>
      </c>
      <c r="X59" s="20">
        <v>18590</v>
      </c>
      <c r="Y59" s="20">
        <v>1140</v>
      </c>
      <c r="Z59" s="21">
        <v>10.9</v>
      </c>
    </row>
    <row r="60" spans="18:26" x14ac:dyDescent="0.2">
      <c r="R60" s="18" t="s">
        <v>85</v>
      </c>
      <c r="S60" s="32">
        <v>368</v>
      </c>
      <c r="T60" s="20">
        <v>368</v>
      </c>
      <c r="U60" s="20">
        <v>8</v>
      </c>
      <c r="V60" s="21">
        <v>90.5</v>
      </c>
      <c r="W60" s="21">
        <v>71</v>
      </c>
      <c r="X60" s="20">
        <v>14660</v>
      </c>
      <c r="Y60" s="20">
        <v>797</v>
      </c>
      <c r="Z60" s="21">
        <v>12.7</v>
      </c>
    </row>
    <row r="61" spans="18:26" x14ac:dyDescent="0.2">
      <c r="R61" s="18" t="s">
        <v>86</v>
      </c>
      <c r="S61" s="32"/>
      <c r="T61" s="20">
        <v>368</v>
      </c>
      <c r="U61" s="20">
        <v>10</v>
      </c>
      <c r="V61" s="20">
        <v>112</v>
      </c>
      <c r="W61" s="21">
        <v>87.9</v>
      </c>
      <c r="X61" s="20">
        <v>18030</v>
      </c>
      <c r="Y61" s="20">
        <v>980</v>
      </c>
      <c r="Z61" s="21">
        <v>12.7</v>
      </c>
    </row>
    <row r="62" spans="18:26" x14ac:dyDescent="0.2">
      <c r="R62" s="18" t="s">
        <v>87</v>
      </c>
      <c r="S62" s="32"/>
      <c r="T62" s="20">
        <v>368</v>
      </c>
      <c r="U62" s="20">
        <v>12</v>
      </c>
      <c r="V62" s="20">
        <v>134</v>
      </c>
      <c r="W62" s="21">
        <v>105.2</v>
      </c>
      <c r="X62" s="20">
        <v>21290</v>
      </c>
      <c r="Y62" s="20">
        <v>1160</v>
      </c>
      <c r="Z62" s="21">
        <v>12.6</v>
      </c>
    </row>
    <row r="63" spans="18:26" x14ac:dyDescent="0.2">
      <c r="R63" s="18" t="s">
        <v>88</v>
      </c>
      <c r="S63" s="32"/>
      <c r="T63" s="20">
        <v>368</v>
      </c>
      <c r="U63" s="20">
        <v>14</v>
      </c>
      <c r="V63" s="20">
        <v>156</v>
      </c>
      <c r="W63" s="21">
        <v>122.5</v>
      </c>
      <c r="X63" s="20">
        <v>24430</v>
      </c>
      <c r="Y63" s="20">
        <v>1330</v>
      </c>
      <c r="Z63" s="21">
        <v>12.5</v>
      </c>
    </row>
    <row r="64" spans="18:26" x14ac:dyDescent="0.2">
      <c r="R64" s="18" t="s">
        <v>89</v>
      </c>
      <c r="S64" s="32"/>
      <c r="T64" s="20">
        <v>368</v>
      </c>
      <c r="U64" s="20">
        <v>16</v>
      </c>
      <c r="V64" s="20">
        <v>177</v>
      </c>
      <c r="W64" s="21">
        <v>138.9</v>
      </c>
      <c r="X64" s="20">
        <v>27460</v>
      </c>
      <c r="Y64" s="20">
        <v>1490</v>
      </c>
      <c r="Z64" s="21">
        <v>12.5</v>
      </c>
    </row>
    <row r="65" spans="18:26" x14ac:dyDescent="0.2">
      <c r="R65" s="18" t="s">
        <v>90</v>
      </c>
      <c r="S65" s="32"/>
      <c r="T65" s="20">
        <v>368</v>
      </c>
      <c r="U65" s="20">
        <v>20</v>
      </c>
      <c r="V65" s="20">
        <v>219</v>
      </c>
      <c r="W65" s="21">
        <v>171.9</v>
      </c>
      <c r="X65" s="20">
        <v>33210</v>
      </c>
      <c r="Y65" s="20">
        <v>1800</v>
      </c>
      <c r="Z65" s="21">
        <v>12.3</v>
      </c>
    </row>
    <row r="66" spans="18:26" x14ac:dyDescent="0.2">
      <c r="R66" s="18" t="s">
        <v>91</v>
      </c>
      <c r="S66" s="32">
        <v>419</v>
      </c>
      <c r="T66" s="20">
        <v>419</v>
      </c>
      <c r="U66" s="20">
        <v>10</v>
      </c>
      <c r="V66" s="20">
        <v>128</v>
      </c>
      <c r="W66" s="21">
        <v>100.5</v>
      </c>
      <c r="X66" s="20">
        <v>26880</v>
      </c>
      <c r="Y66" s="20">
        <v>1283</v>
      </c>
      <c r="Z66" s="21">
        <v>14.5</v>
      </c>
    </row>
    <row r="67" spans="18:26" x14ac:dyDescent="0.2">
      <c r="R67" s="18" t="s">
        <v>92</v>
      </c>
      <c r="S67" s="32"/>
      <c r="T67" s="20">
        <v>419</v>
      </c>
      <c r="U67" s="20">
        <v>12</v>
      </c>
      <c r="V67" s="20">
        <v>153</v>
      </c>
      <c r="W67" s="21">
        <v>120.1</v>
      </c>
      <c r="X67" s="20">
        <v>31800</v>
      </c>
      <c r="Y67" s="20">
        <v>1518</v>
      </c>
      <c r="Z67" s="21">
        <v>14.4</v>
      </c>
    </row>
    <row r="68" spans="18:26" x14ac:dyDescent="0.2">
      <c r="R68" s="18" t="s">
        <v>93</v>
      </c>
      <c r="S68" s="32"/>
      <c r="T68" s="20">
        <v>419</v>
      </c>
      <c r="U68" s="20">
        <v>16</v>
      </c>
      <c r="V68" s="20">
        <v>203</v>
      </c>
      <c r="W68" s="21">
        <v>159.4</v>
      </c>
      <c r="X68" s="20">
        <v>41190</v>
      </c>
      <c r="Y68" s="20">
        <v>1970</v>
      </c>
      <c r="Z68" s="21">
        <v>14.3</v>
      </c>
    </row>
    <row r="69" spans="18:26" x14ac:dyDescent="0.2">
      <c r="R69" s="18" t="s">
        <v>94</v>
      </c>
      <c r="S69" s="32"/>
      <c r="T69" s="20">
        <v>419</v>
      </c>
      <c r="U69" s="20">
        <v>20</v>
      </c>
      <c r="V69" s="20">
        <v>251</v>
      </c>
      <c r="W69" s="21">
        <v>197</v>
      </c>
      <c r="X69" s="20">
        <v>50020</v>
      </c>
      <c r="Y69" s="20">
        <v>2390</v>
      </c>
      <c r="Z69" s="21">
        <v>14.1</v>
      </c>
    </row>
    <row r="70" spans="18:26" x14ac:dyDescent="0.2">
      <c r="R70" s="18" t="s">
        <v>95</v>
      </c>
      <c r="S70" s="32">
        <v>529</v>
      </c>
      <c r="T70" s="20">
        <v>529</v>
      </c>
      <c r="U70" s="20">
        <v>9</v>
      </c>
      <c r="V70" s="20">
        <v>147</v>
      </c>
      <c r="W70" s="21">
        <v>115.4</v>
      </c>
      <c r="X70" s="20">
        <v>49710</v>
      </c>
      <c r="Y70" s="20">
        <v>1879</v>
      </c>
      <c r="Z70" s="21">
        <v>18.399999999999999</v>
      </c>
    </row>
    <row r="71" spans="18:26" x14ac:dyDescent="0.2">
      <c r="R71" s="18" t="s">
        <v>96</v>
      </c>
      <c r="S71" s="32"/>
      <c r="T71" s="20">
        <v>529</v>
      </c>
      <c r="U71" s="20">
        <v>10</v>
      </c>
      <c r="V71" s="20">
        <v>163</v>
      </c>
      <c r="W71" s="21">
        <v>128</v>
      </c>
      <c r="X71" s="20">
        <v>54920</v>
      </c>
      <c r="Y71" s="20">
        <v>2077</v>
      </c>
      <c r="Z71" s="21">
        <v>18.399999999999999</v>
      </c>
    </row>
  </sheetData>
  <mergeCells count="31">
    <mergeCell ref="E19:F19"/>
    <mergeCell ref="E5:F5"/>
    <mergeCell ref="R1:R2"/>
    <mergeCell ref="E8:F8"/>
    <mergeCell ref="E9:F9"/>
    <mergeCell ref="E12:F12"/>
    <mergeCell ref="E16:F16"/>
    <mergeCell ref="E4:F4"/>
    <mergeCell ref="S70:S71"/>
    <mergeCell ref="S19:S22"/>
    <mergeCell ref="S23:S26"/>
    <mergeCell ref="S27:S30"/>
    <mergeCell ref="S31:S35"/>
    <mergeCell ref="S36:S39"/>
    <mergeCell ref="S40:S44"/>
    <mergeCell ref="S45:S49"/>
    <mergeCell ref="S50:S54"/>
    <mergeCell ref="S55:S59"/>
    <mergeCell ref="S60:S65"/>
    <mergeCell ref="S66:S69"/>
    <mergeCell ref="X1:Z1"/>
    <mergeCell ref="S3:S4"/>
    <mergeCell ref="S5:S7"/>
    <mergeCell ref="S8:S10"/>
    <mergeCell ref="S11:S14"/>
    <mergeCell ref="S15:S18"/>
    <mergeCell ref="B4:C4"/>
    <mergeCell ref="B16:C16"/>
    <mergeCell ref="G6:H6"/>
    <mergeCell ref="A8:C8"/>
    <mergeCell ref="A15:C15"/>
  </mergeCells>
  <phoneticPr fontId="1" type="noConversion"/>
  <conditionalFormatting sqref="H10 H14 G17 G20">
    <cfRule type="cellIs" dxfId="1" priority="1" operator="equal">
      <formula>"unsafe"</formula>
    </cfRule>
    <cfRule type="cellIs" dxfId="0" priority="2" operator="equal">
      <formula>"safe"</formula>
    </cfRule>
  </conditionalFormatting>
  <dataValidations count="2">
    <dataValidation type="list" allowBlank="1" showInputMessage="1" showErrorMessage="1" sqref="B16:C16" xr:uid="{9E4E4BD3-442F-470F-A04A-BFFC8A6EB6F9}">
      <formula1>$R$3:$R$71</formula1>
    </dataValidation>
    <dataValidation type="list" allowBlank="1" showInputMessage="1" showErrorMessage="1" sqref="B4:C4" xr:uid="{10961957-3C0B-49FB-A661-1281EA6E941E}">
      <formula1>$B$1:$B$3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Angles</vt:lpstr>
      <vt:lpstr>Pipes</vt:lpstr>
      <vt:lpstr>Angles!Print_Area</vt:lpstr>
      <vt:lpstr>Pipes!Print_Area</vt:lpstr>
      <vt:lpstr>table</vt:lpstr>
      <vt:lpstr>table1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Uranus</dc:creator>
  <cp:lastModifiedBy>Windows User</cp:lastModifiedBy>
  <cp:lastPrinted>2022-08-08T22:17:28Z</cp:lastPrinted>
  <dcterms:created xsi:type="dcterms:W3CDTF">2019-08-26T14:12:08Z</dcterms:created>
  <dcterms:modified xsi:type="dcterms:W3CDTF">2022-08-08T22:17:29Z</dcterms:modified>
</cp:coreProperties>
</file>