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Study\all about steel structure\Excel Sheets\my sheets\LRFD\"/>
    </mc:Choice>
  </mc:AlternateContent>
  <xr:revisionPtr revIDLastSave="0" documentId="13_ncr:1_{85AA7F80-266C-4516-9D89-595584B499E0}" xr6:coauthVersionLast="47" xr6:coauthVersionMax="47" xr10:uidLastSave="{00000000-0000-0000-0000-000000000000}"/>
  <bookViews>
    <workbookView xWindow="-120" yWindow="-120" windowWidth="20730" windowHeight="11310" xr2:uid="{46A0EEEE-629A-495B-AA2F-6F15A4301ABF}"/>
  </bookViews>
  <sheets>
    <sheet name="Bolted" sheetId="1" r:id="rId1"/>
    <sheet name="Welded" sheetId="2" r:id="rId2"/>
  </sheets>
  <externalReferences>
    <externalReference r:id="rId3"/>
  </externalReferences>
  <definedNames>
    <definedName name="om6r">Welded!$U$1:$AI$20</definedName>
    <definedName name="om8r">Bolted!$U$1:$AH$20</definedName>
    <definedName name="_xlnm.Print_Area" localSheetId="0">Bolted!$A$5:$N$25</definedName>
    <definedName name="table1">Bolted!$U$1:$AI$12</definedName>
    <definedName name="table5">[1]Bolted!$U$1:$AI$12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L20" i="1"/>
  <c r="F12" i="1"/>
  <c r="F8" i="2"/>
  <c r="F7" i="2"/>
  <c r="F6" i="2"/>
  <c r="F6" i="1"/>
  <c r="K19" i="2" l="1"/>
  <c r="K18" i="2"/>
  <c r="M19" i="2" s="1"/>
  <c r="F15" i="2"/>
  <c r="K10" i="2"/>
  <c r="M7" i="2"/>
  <c r="B7" i="2"/>
  <c r="B6" i="2"/>
  <c r="B15" i="1"/>
  <c r="F17" i="1" s="1"/>
  <c r="B16" i="1"/>
  <c r="K9" i="1"/>
  <c r="F13" i="1"/>
  <c r="M10" i="2" l="1"/>
  <c r="N10" i="2" s="1"/>
  <c r="F13" i="2"/>
  <c r="F16" i="2" s="1"/>
  <c r="H17" i="2" s="1"/>
  <c r="F12" i="2"/>
  <c r="F18" i="2" s="1"/>
  <c r="M15" i="2"/>
  <c r="N19" i="2"/>
  <c r="H14" i="2"/>
  <c r="H15" i="2" l="1"/>
  <c r="F19" i="2"/>
  <c r="F17" i="2"/>
  <c r="L11" i="1"/>
  <c r="L15" i="1"/>
  <c r="B20" i="1"/>
  <c r="B19" i="1"/>
  <c r="B7" i="1"/>
  <c r="B6" i="1"/>
  <c r="F11" i="1" l="1"/>
  <c r="F14" i="1" s="1"/>
  <c r="L21" i="1"/>
  <c r="F18" i="1"/>
  <c r="F19" i="1" s="1"/>
  <c r="L13" i="1"/>
  <c r="L22" i="1" l="1"/>
  <c r="F21" i="1"/>
  <c r="L25" i="1" l="1"/>
  <c r="L14" i="1"/>
  <c r="L10" i="1"/>
  <c r="L12" i="1" s="1"/>
  <c r="L16" i="1" s="1"/>
  <c r="N16" i="1" s="1"/>
</calcChain>
</file>

<file path=xl/sharedStrings.xml><?xml version="1.0" encoding="utf-8"?>
<sst xmlns="http://schemas.openxmlformats.org/spreadsheetml/2006/main" count="232" uniqueCount="129">
  <si>
    <t>Steel Type</t>
  </si>
  <si>
    <t>Bolts</t>
  </si>
  <si>
    <t>cm</t>
  </si>
  <si>
    <t>A</t>
  </si>
  <si>
    <t>C</t>
  </si>
  <si>
    <t>B</t>
  </si>
  <si>
    <t>Single Angle</t>
  </si>
  <si>
    <t>Double Angle</t>
  </si>
  <si>
    <t>Star shape</t>
  </si>
  <si>
    <t>mm</t>
  </si>
  <si>
    <t>unitless</t>
  </si>
  <si>
    <t>a</t>
  </si>
  <si>
    <t>e</t>
  </si>
  <si>
    <t>Checks :</t>
  </si>
  <si>
    <t xml:space="preserve">Angle </t>
  </si>
  <si>
    <t>45x5</t>
  </si>
  <si>
    <t>50x5</t>
  </si>
  <si>
    <t>55x5</t>
  </si>
  <si>
    <t>60x6</t>
  </si>
  <si>
    <t>65x7</t>
  </si>
  <si>
    <t>70x7</t>
  </si>
  <si>
    <t>75x7</t>
  </si>
  <si>
    <t>80x8</t>
  </si>
  <si>
    <t>90x9</t>
  </si>
  <si>
    <t>100x10</t>
  </si>
  <si>
    <t>Continous</t>
  </si>
  <si>
    <t>Discontinous</t>
  </si>
  <si>
    <t>Angle (mm)</t>
  </si>
  <si>
    <t>Area</t>
  </si>
  <si>
    <t>Weight</t>
  </si>
  <si>
    <t>Distances (cm)</t>
  </si>
  <si>
    <t>x-x &amp; y-y</t>
  </si>
  <si>
    <t>u-u</t>
  </si>
  <si>
    <t>v-v</t>
  </si>
  <si>
    <t>s</t>
  </si>
  <si>
    <t>(kg/m`)</t>
  </si>
  <si>
    <t>w</t>
  </si>
  <si>
    <t>a =</t>
  </si>
  <si>
    <t>t =</t>
  </si>
  <si>
    <t>Category :</t>
  </si>
  <si>
    <t>Grade :</t>
  </si>
  <si>
    <t>n =</t>
  </si>
  <si>
    <t>T =</t>
  </si>
  <si>
    <t>section :</t>
  </si>
  <si>
    <t>Force =</t>
  </si>
  <si>
    <t>Ton</t>
  </si>
  <si>
    <t>Diameter =</t>
  </si>
  <si>
    <t>Pitch dist. =</t>
  </si>
  <si>
    <t>edge dist. =</t>
  </si>
  <si>
    <t>Shear</t>
  </si>
  <si>
    <t>As =</t>
  </si>
  <si>
    <t>Bearing</t>
  </si>
  <si>
    <t>N =</t>
  </si>
  <si>
    <t>Member Type :</t>
  </si>
  <si>
    <t>Connection Type :</t>
  </si>
  <si>
    <t>Tension</t>
  </si>
  <si>
    <t>Compression</t>
  </si>
  <si>
    <t>Rrp =</t>
  </si>
  <si>
    <t>II- Shear + Tension</t>
  </si>
  <si>
    <t>T  =</t>
  </si>
  <si>
    <t>V  =</t>
  </si>
  <si>
    <t>Rt =</t>
  </si>
  <si>
    <t xml:space="preserve">N = </t>
  </si>
  <si>
    <t>Finally</t>
  </si>
  <si>
    <t>Number of Bolts =</t>
  </si>
  <si>
    <t>I- Block Shear Rupture</t>
  </si>
  <si>
    <t>Star Shape</t>
  </si>
  <si>
    <t>Section</t>
  </si>
  <si>
    <t>Tension Only</t>
  </si>
  <si>
    <t>Fy =</t>
  </si>
  <si>
    <t>Fu =</t>
  </si>
  <si>
    <t>s =</t>
  </si>
  <si>
    <t>e =</t>
  </si>
  <si>
    <t>Leff  =</t>
  </si>
  <si>
    <t>Shear Only</t>
  </si>
  <si>
    <t>f =</t>
  </si>
  <si>
    <t>F =</t>
  </si>
  <si>
    <t>F2 =</t>
  </si>
  <si>
    <t xml:space="preserve">Shear +Tension </t>
  </si>
  <si>
    <t>F1 =</t>
  </si>
  <si>
    <t>V =</t>
  </si>
  <si>
    <t>Leff 2 =</t>
  </si>
  <si>
    <t>Lact 2 =</t>
  </si>
  <si>
    <t>Leff 1 =</t>
  </si>
  <si>
    <t>Lact 1 =</t>
  </si>
  <si>
    <t>q =</t>
  </si>
  <si>
    <r>
      <t>t/cm</t>
    </r>
    <r>
      <rPr>
        <b/>
        <vertAlign val="superscript"/>
        <sz val="14"/>
        <color theme="1"/>
        <rFont val="Agency FB"/>
        <family val="2"/>
      </rPr>
      <t>2</t>
    </r>
  </si>
  <si>
    <r>
      <t>(cm</t>
    </r>
    <r>
      <rPr>
        <b/>
        <vertAlign val="superscript"/>
        <sz val="14"/>
        <color theme="1"/>
        <rFont val="Agency FB"/>
        <family val="2"/>
      </rPr>
      <t>2</t>
    </r>
    <r>
      <rPr>
        <b/>
        <sz val="14"/>
        <color theme="1"/>
        <rFont val="Agency FB"/>
        <family val="2"/>
      </rPr>
      <t>)</t>
    </r>
  </si>
  <si>
    <r>
      <t>u</t>
    </r>
    <r>
      <rPr>
        <b/>
        <vertAlign val="subscript"/>
        <sz val="14"/>
        <color theme="1"/>
        <rFont val="Agency FB"/>
        <family val="2"/>
      </rPr>
      <t>1</t>
    </r>
  </si>
  <si>
    <r>
      <t>u</t>
    </r>
    <r>
      <rPr>
        <b/>
        <vertAlign val="subscript"/>
        <sz val="14"/>
        <color theme="1"/>
        <rFont val="Agency FB"/>
        <family val="2"/>
      </rPr>
      <t>2</t>
    </r>
  </si>
  <si>
    <r>
      <t>I</t>
    </r>
    <r>
      <rPr>
        <b/>
        <vertAlign val="subscript"/>
        <sz val="14"/>
        <color theme="1"/>
        <rFont val="Agency FB"/>
        <family val="2"/>
      </rPr>
      <t>x</t>
    </r>
    <r>
      <rPr>
        <b/>
        <sz val="14"/>
        <color theme="1"/>
        <rFont val="Agency FB"/>
        <family val="2"/>
      </rPr>
      <t>(cm</t>
    </r>
    <r>
      <rPr>
        <b/>
        <vertAlign val="superscript"/>
        <sz val="14"/>
        <color theme="1"/>
        <rFont val="Agency FB"/>
        <family val="2"/>
      </rPr>
      <t>4</t>
    </r>
    <r>
      <rPr>
        <b/>
        <sz val="14"/>
        <color theme="1"/>
        <rFont val="Agency FB"/>
        <family val="2"/>
      </rPr>
      <t>)</t>
    </r>
  </si>
  <si>
    <r>
      <t>S</t>
    </r>
    <r>
      <rPr>
        <b/>
        <vertAlign val="subscript"/>
        <sz val="14"/>
        <color theme="1"/>
        <rFont val="Agency FB"/>
        <family val="2"/>
      </rPr>
      <t>x</t>
    </r>
    <r>
      <rPr>
        <b/>
        <sz val="14"/>
        <color theme="1"/>
        <rFont val="Agency FB"/>
        <family val="2"/>
      </rPr>
      <t>(cm</t>
    </r>
    <r>
      <rPr>
        <b/>
        <vertAlign val="superscript"/>
        <sz val="14"/>
        <color theme="1"/>
        <rFont val="Agency FB"/>
        <family val="2"/>
      </rPr>
      <t>3</t>
    </r>
    <r>
      <rPr>
        <b/>
        <sz val="14"/>
        <color theme="1"/>
        <rFont val="Agency FB"/>
        <family val="2"/>
      </rPr>
      <t>)</t>
    </r>
  </si>
  <si>
    <r>
      <t>r</t>
    </r>
    <r>
      <rPr>
        <b/>
        <vertAlign val="subscript"/>
        <sz val="14"/>
        <color theme="1"/>
        <rFont val="Agency FB"/>
        <family val="2"/>
      </rPr>
      <t>x</t>
    </r>
    <r>
      <rPr>
        <b/>
        <sz val="14"/>
        <color theme="1"/>
        <rFont val="Agency FB"/>
        <family val="2"/>
      </rPr>
      <t>(cm)</t>
    </r>
  </si>
  <si>
    <r>
      <t>r</t>
    </r>
    <r>
      <rPr>
        <b/>
        <vertAlign val="subscript"/>
        <sz val="14"/>
        <color theme="1"/>
        <rFont val="Agency FB"/>
        <family val="2"/>
      </rPr>
      <t>u</t>
    </r>
    <r>
      <rPr>
        <b/>
        <sz val="14"/>
        <color theme="1"/>
        <rFont val="Agency FB"/>
        <family val="2"/>
      </rPr>
      <t>(cm)</t>
    </r>
  </si>
  <si>
    <r>
      <t>r</t>
    </r>
    <r>
      <rPr>
        <b/>
        <vertAlign val="subscript"/>
        <sz val="14"/>
        <color theme="1"/>
        <rFont val="Agency FB"/>
        <family val="2"/>
      </rPr>
      <t>v</t>
    </r>
    <r>
      <rPr>
        <b/>
        <sz val="14"/>
        <color theme="1"/>
        <rFont val="Agency FB"/>
        <family val="2"/>
      </rPr>
      <t>(cm)</t>
    </r>
  </si>
  <si>
    <t>120x12</t>
  </si>
  <si>
    <t>130x12</t>
  </si>
  <si>
    <t>140x13</t>
  </si>
  <si>
    <t>150x14</t>
  </si>
  <si>
    <t>160x15</t>
  </si>
  <si>
    <t>180x16</t>
  </si>
  <si>
    <t>200x16</t>
  </si>
  <si>
    <r>
      <t>t</t>
    </r>
    <r>
      <rPr>
        <b/>
        <vertAlign val="subscript"/>
        <sz val="14"/>
        <color theme="1"/>
        <rFont val="Agency FB"/>
        <family val="2"/>
      </rPr>
      <t>G.PL</t>
    </r>
    <r>
      <rPr>
        <b/>
        <sz val="14"/>
        <color theme="1"/>
        <rFont val="Agency FB"/>
        <family val="2"/>
      </rPr>
      <t xml:space="preserve"> =</t>
    </r>
  </si>
  <si>
    <t>110x10</t>
  </si>
  <si>
    <r>
      <t>(cm</t>
    </r>
    <r>
      <rPr>
        <b/>
        <vertAlign val="superscript"/>
        <sz val="14"/>
        <color theme="1"/>
        <rFont val="Calibri"/>
        <family val="2"/>
      </rPr>
      <t>2</t>
    </r>
    <r>
      <rPr>
        <b/>
        <sz val="14"/>
        <color theme="1"/>
        <rFont val="Calibri"/>
        <family val="2"/>
      </rPr>
      <t>)</t>
    </r>
  </si>
  <si>
    <r>
      <t>u</t>
    </r>
    <r>
      <rPr>
        <b/>
        <vertAlign val="subscript"/>
        <sz val="14"/>
        <color theme="1"/>
        <rFont val="Calibri"/>
        <family val="2"/>
      </rPr>
      <t>1</t>
    </r>
  </si>
  <si>
    <r>
      <t>u</t>
    </r>
    <r>
      <rPr>
        <b/>
        <vertAlign val="subscript"/>
        <sz val="14"/>
        <color theme="1"/>
        <rFont val="Calibri"/>
        <family val="2"/>
      </rPr>
      <t>2</t>
    </r>
  </si>
  <si>
    <r>
      <t>I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4</t>
    </r>
    <r>
      <rPr>
        <b/>
        <sz val="14"/>
        <color theme="1"/>
        <rFont val="Calibri"/>
        <family val="2"/>
      </rPr>
      <t>)</t>
    </r>
  </si>
  <si>
    <r>
      <t>S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>(cm</t>
    </r>
    <r>
      <rPr>
        <b/>
        <vertAlign val="superscript"/>
        <sz val="14"/>
        <color theme="1"/>
        <rFont val="Calibri"/>
        <family val="2"/>
      </rPr>
      <t>3</t>
    </r>
    <r>
      <rPr>
        <b/>
        <sz val="14"/>
        <color theme="1"/>
        <rFont val="Calibri"/>
        <family val="2"/>
      </rPr>
      <t>)</t>
    </r>
  </si>
  <si>
    <r>
      <t>r</t>
    </r>
    <r>
      <rPr>
        <b/>
        <vertAlign val="subscript"/>
        <sz val="14"/>
        <color theme="1"/>
        <rFont val="Calibri"/>
        <family val="2"/>
      </rPr>
      <t>x</t>
    </r>
    <r>
      <rPr>
        <b/>
        <sz val="14"/>
        <color theme="1"/>
        <rFont val="Calibri"/>
        <family val="2"/>
      </rPr>
      <t>(cm)</t>
    </r>
  </si>
  <si>
    <r>
      <t>r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>(cm)</t>
    </r>
  </si>
  <si>
    <r>
      <t>r</t>
    </r>
    <r>
      <rPr>
        <b/>
        <vertAlign val="subscript"/>
        <sz val="14"/>
        <color theme="1"/>
        <rFont val="Calibri"/>
        <family val="2"/>
      </rPr>
      <t>v</t>
    </r>
    <r>
      <rPr>
        <b/>
        <sz val="14"/>
        <color theme="1"/>
        <rFont val="Calibri"/>
        <family val="2"/>
      </rPr>
      <t>(cm)</t>
    </r>
  </si>
  <si>
    <r>
      <t>F</t>
    </r>
    <r>
      <rPr>
        <b/>
        <vertAlign val="subscript"/>
        <sz val="14"/>
        <color theme="1"/>
        <rFont val="Calibri"/>
        <family val="2"/>
      </rPr>
      <t xml:space="preserve">y </t>
    </r>
    <r>
      <rPr>
        <b/>
        <sz val="14"/>
        <color theme="1"/>
        <rFont val="Calibri"/>
        <family val="2"/>
      </rPr>
      <t>=</t>
    </r>
  </si>
  <si>
    <r>
      <t>t/cm</t>
    </r>
    <r>
      <rPr>
        <b/>
        <vertAlign val="superscript"/>
        <sz val="14"/>
        <color theme="1"/>
        <rFont val="Calibri"/>
        <family val="2"/>
      </rPr>
      <t>2</t>
    </r>
  </si>
  <si>
    <r>
      <t>F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=</t>
    </r>
  </si>
  <si>
    <r>
      <t>A</t>
    </r>
    <r>
      <rPr>
        <b/>
        <vertAlign val="subscript"/>
        <sz val="14"/>
        <color theme="1"/>
        <rFont val="Calibri"/>
        <family val="2"/>
      </rPr>
      <t>net shear</t>
    </r>
    <r>
      <rPr>
        <b/>
        <sz val="14"/>
        <color theme="1"/>
        <rFont val="Calibri"/>
        <family val="2"/>
      </rPr>
      <t xml:space="preserve"> =</t>
    </r>
  </si>
  <si>
    <r>
      <t>cm</t>
    </r>
    <r>
      <rPr>
        <b/>
        <vertAlign val="superscript"/>
        <sz val="14"/>
        <color theme="1"/>
        <rFont val="Calibri"/>
        <family val="2"/>
      </rPr>
      <t>2</t>
    </r>
  </si>
  <si>
    <r>
      <t>t</t>
    </r>
    <r>
      <rPr>
        <b/>
        <vertAlign val="subscript"/>
        <sz val="14"/>
        <color theme="1"/>
        <rFont val="Calibri"/>
        <family val="2"/>
      </rPr>
      <t>G.P</t>
    </r>
    <r>
      <rPr>
        <b/>
        <sz val="14"/>
        <color theme="1"/>
        <rFont val="Calibri"/>
        <family val="2"/>
      </rPr>
      <t xml:space="preserve"> =</t>
    </r>
  </si>
  <si>
    <r>
      <t>q</t>
    </r>
    <r>
      <rPr>
        <b/>
        <vertAlign val="subscript"/>
        <sz val="14"/>
        <color theme="1"/>
        <rFont val="Calibri"/>
        <family val="2"/>
      </rPr>
      <t>b</t>
    </r>
    <r>
      <rPr>
        <b/>
        <sz val="14"/>
        <color theme="1"/>
        <rFont val="Calibri"/>
        <family val="2"/>
      </rPr>
      <t xml:space="preserve"> =</t>
    </r>
  </si>
  <si>
    <r>
      <t>A</t>
    </r>
    <r>
      <rPr>
        <b/>
        <vertAlign val="subscript"/>
        <sz val="14"/>
        <color theme="1"/>
        <rFont val="Calibri"/>
        <family val="2"/>
      </rPr>
      <t>net tension</t>
    </r>
    <r>
      <rPr>
        <b/>
        <sz val="14"/>
        <color theme="1"/>
        <rFont val="Calibri"/>
        <family val="2"/>
      </rPr>
      <t xml:space="preserve"> =</t>
    </r>
  </si>
  <si>
    <r>
      <t>0.6F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A</t>
    </r>
    <r>
      <rPr>
        <b/>
        <vertAlign val="subscript"/>
        <sz val="14"/>
        <color theme="1"/>
        <rFont val="Calibri"/>
        <family val="2"/>
      </rPr>
      <t>n.s</t>
    </r>
    <r>
      <rPr>
        <b/>
        <sz val="14"/>
        <color theme="1"/>
        <rFont val="Calibri"/>
        <family val="2"/>
      </rPr>
      <t xml:space="preserve"> =</t>
    </r>
  </si>
  <si>
    <r>
      <t>F</t>
    </r>
    <r>
      <rPr>
        <b/>
        <vertAlign val="subscript"/>
        <sz val="14"/>
        <color theme="1"/>
        <rFont val="Calibri"/>
        <family val="2"/>
      </rPr>
      <t>u</t>
    </r>
    <r>
      <rPr>
        <b/>
        <sz val="14"/>
        <color theme="1"/>
        <rFont val="Calibri"/>
        <family val="2"/>
      </rPr>
      <t xml:space="preserve"> A</t>
    </r>
    <r>
      <rPr>
        <b/>
        <vertAlign val="subscript"/>
        <sz val="14"/>
        <color theme="1"/>
        <rFont val="Calibri"/>
        <family val="2"/>
      </rPr>
      <t>n.t</t>
    </r>
    <r>
      <rPr>
        <b/>
        <sz val="14"/>
        <color theme="1"/>
        <rFont val="Calibri"/>
        <family val="2"/>
      </rPr>
      <t xml:space="preserve"> =</t>
    </r>
  </si>
  <si>
    <r>
      <t>A</t>
    </r>
    <r>
      <rPr>
        <b/>
        <vertAlign val="subscript"/>
        <sz val="14"/>
        <color theme="1"/>
        <rFont val="Calibri"/>
        <family val="2"/>
      </rPr>
      <t>gross shear</t>
    </r>
    <r>
      <rPr>
        <b/>
        <sz val="14"/>
        <color theme="1"/>
        <rFont val="Calibri"/>
        <family val="2"/>
      </rPr>
      <t xml:space="preserve"> =</t>
    </r>
  </si>
  <si>
    <r>
      <t>A</t>
    </r>
    <r>
      <rPr>
        <b/>
        <vertAlign val="subscript"/>
        <sz val="14"/>
        <color theme="1"/>
        <rFont val="Calibri"/>
        <family val="2"/>
      </rPr>
      <t>gross tension</t>
    </r>
    <r>
      <rPr>
        <b/>
        <sz val="14"/>
        <color theme="1"/>
        <rFont val="Calibri"/>
        <family val="2"/>
      </rPr>
      <t xml:space="preserve"> =</t>
    </r>
  </si>
  <si>
    <r>
      <t>F</t>
    </r>
    <r>
      <rPr>
        <b/>
        <vertAlign val="subscript"/>
        <sz val="14"/>
        <color theme="1"/>
        <rFont val="Calibri"/>
        <family val="2"/>
      </rPr>
      <t>b =</t>
    </r>
  </si>
  <si>
    <r>
      <t>F</t>
    </r>
    <r>
      <rPr>
        <b/>
        <vertAlign val="subscript"/>
        <sz val="14"/>
        <color theme="1"/>
        <rFont val="Calibri"/>
        <family val="2"/>
      </rPr>
      <t>y</t>
    </r>
    <r>
      <rPr>
        <b/>
        <sz val="14"/>
        <color theme="1"/>
        <rFont val="Calibri"/>
        <family val="2"/>
      </rPr>
      <t xml:space="preserve"> =</t>
    </r>
  </si>
  <si>
    <t>st</t>
  </si>
  <si>
    <r>
      <t>R</t>
    </r>
    <r>
      <rPr>
        <b/>
        <vertAlign val="subscript"/>
        <sz val="14"/>
        <color theme="1"/>
        <rFont val="Calibri"/>
        <family val="2"/>
      </rPr>
      <t>sh</t>
    </r>
    <r>
      <rPr>
        <b/>
        <sz val="14"/>
        <color theme="1"/>
        <rFont val="Calibri"/>
        <family val="2"/>
      </rPr>
      <t xml:space="preserve"> =</t>
    </r>
  </si>
  <si>
    <r>
      <t>R</t>
    </r>
    <r>
      <rPr>
        <b/>
        <vertAlign val="subscript"/>
        <sz val="14"/>
        <color theme="1"/>
        <rFont val="Calibri"/>
        <family val="2"/>
      </rPr>
      <t>br</t>
    </r>
    <r>
      <rPr>
        <b/>
        <sz val="14"/>
        <color theme="1"/>
        <rFont val="Calibri"/>
        <family val="2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</si>
</sst>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b/>
      <sz val="14"/>
      <color theme="0"/>
      <name val="Agency FB"/>
      <family val="2"/>
    </font>
    <font>
      <b/>
      <sz val="14"/>
      <color theme="1"/>
      <name val="Agency FB"/>
      <family val="2"/>
      <charset val="178"/>
    </font>
    <font>
      <b/>
      <vertAlign val="subscript"/>
      <sz val="14"/>
      <color theme="1"/>
      <name val="Agency FB"/>
      <family val="2"/>
    </font>
    <font>
      <b/>
      <sz val="14"/>
      <color theme="1"/>
      <name val="Agency FB"/>
      <family val="2"/>
    </font>
    <font>
      <b/>
      <vertAlign val="superscript"/>
      <sz val="14"/>
      <color theme="1"/>
      <name val="Agency FB"/>
      <family val="2"/>
    </font>
    <font>
      <b/>
      <sz val="14"/>
      <color rgb="FFFF0000"/>
      <name val="Agency FB"/>
      <family val="2"/>
    </font>
    <font>
      <b/>
      <sz val="14"/>
      <color rgb="FF000000"/>
      <name val="Agency FB"/>
      <family val="2"/>
    </font>
    <font>
      <b/>
      <u/>
      <sz val="16"/>
      <color theme="1"/>
      <name val="Agency FB"/>
      <family val="2"/>
    </font>
    <font>
      <b/>
      <u/>
      <sz val="14"/>
      <color theme="1"/>
      <name val="Agency FB"/>
      <family val="2"/>
    </font>
    <font>
      <b/>
      <sz val="14"/>
      <color theme="0"/>
      <name val="Calibri"/>
      <family val="2"/>
    </font>
    <font>
      <b/>
      <sz val="14"/>
      <color theme="1"/>
      <name val="Calibri"/>
      <family val="2"/>
    </font>
    <font>
      <b/>
      <vertAlign val="superscript"/>
      <sz val="14"/>
      <color theme="1"/>
      <name val="Calibri"/>
      <family val="2"/>
    </font>
    <font>
      <b/>
      <vertAlign val="subscript"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sz val="14"/>
      <color rgb="FFFF0000"/>
      <name val="Calibri"/>
      <family val="2"/>
    </font>
    <font>
      <b/>
      <u/>
      <sz val="16"/>
      <color theme="1"/>
      <name val="Calibri"/>
      <family val="2"/>
    </font>
    <font>
      <b/>
      <u val="double"/>
      <sz val="18"/>
      <color theme="1"/>
      <name val="Calibri"/>
      <family val="2"/>
    </font>
    <font>
      <b/>
      <u val="double"/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 shrinkToFit="1"/>
    </xf>
    <xf numFmtId="164" fontId="8" fillId="0" borderId="5" xfId="0" applyNumberFormat="1" applyFont="1" applyBorder="1" applyAlignment="1">
      <alignment horizontal="center" vertical="center" shrinkToFit="1"/>
    </xf>
    <xf numFmtId="2" fontId="8" fillId="0" borderId="5" xfId="0" applyNumberFormat="1" applyFont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1" fontId="5" fillId="2" borderId="12" xfId="0" applyNumberFormat="1" applyFont="1" applyFill="1" applyBorder="1" applyAlignment="1">
      <alignment horizontal="center" vertical="center" shrinkToFit="1"/>
    </xf>
    <xf numFmtId="164" fontId="5" fillId="2" borderId="12" xfId="0" applyNumberFormat="1" applyFont="1" applyFill="1" applyBorder="1" applyAlignment="1">
      <alignment horizontal="center" vertical="center" shrinkToFit="1"/>
    </xf>
    <xf numFmtId="2" fontId="5" fillId="2" borderId="12" xfId="0" applyNumberFormat="1" applyFont="1" applyFill="1" applyBorder="1" applyAlignment="1">
      <alignment horizontal="center" vertical="center" shrinkToFit="1"/>
    </xf>
    <xf numFmtId="1" fontId="8" fillId="0" borderId="7" xfId="0" applyNumberFormat="1" applyFont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 shrinkToFit="1"/>
    </xf>
    <xf numFmtId="1" fontId="8" fillId="0" borderId="14" xfId="0" applyNumberFormat="1" applyFont="1" applyBorder="1" applyAlignment="1">
      <alignment horizontal="center" vertical="center" shrinkToFit="1"/>
    </xf>
    <xf numFmtId="1" fontId="8" fillId="0" borderId="5" xfId="0" applyNumberFormat="1" applyFont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wrapText="1"/>
    </xf>
    <xf numFmtId="1" fontId="5" fillId="2" borderId="12" xfId="0" applyNumberFormat="1" applyFont="1" applyFill="1" applyBorder="1" applyAlignment="1">
      <alignment horizontal="center" vertical="center" shrinkToFit="1"/>
    </xf>
    <xf numFmtId="0" fontId="9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 shrinkToFi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top" wrapText="1" indent="2"/>
    </xf>
    <xf numFmtId="0" fontId="12" fillId="2" borderId="5" xfId="0" applyFont="1" applyFill="1" applyBorder="1" applyAlignment="1">
      <alignment horizontal="center" vertical="top" wrapText="1"/>
    </xf>
    <xf numFmtId="1" fontId="12" fillId="2" borderId="5" xfId="0" applyNumberFormat="1" applyFont="1" applyFill="1" applyBorder="1" applyAlignment="1">
      <alignment horizontal="center" vertical="center" shrinkToFit="1"/>
    </xf>
    <xf numFmtId="164" fontId="12" fillId="2" borderId="5" xfId="0" applyNumberFormat="1" applyFont="1" applyFill="1" applyBorder="1" applyAlignment="1">
      <alignment horizontal="center" vertical="center" shrinkToFit="1"/>
    </xf>
    <xf numFmtId="2" fontId="12" fillId="2" borderId="5" xfId="0" applyNumberFormat="1" applyFont="1" applyFill="1" applyBorder="1" applyAlignment="1">
      <alignment horizontal="center" vertical="center" shrinkToFit="1"/>
    </xf>
    <xf numFmtId="0" fontId="12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right" vertical="center"/>
    </xf>
    <xf numFmtId="0" fontId="19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horizontal="right" vertical="center"/>
    </xf>
    <xf numFmtId="1" fontId="16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1" fontId="21" fillId="0" borderId="5" xfId="0" applyNumberFormat="1" applyFont="1" applyBorder="1" applyAlignment="1">
      <alignment horizontal="center" vertical="center" shrinkToFit="1"/>
    </xf>
    <xf numFmtId="164" fontId="21" fillId="0" borderId="5" xfId="0" applyNumberFormat="1" applyFont="1" applyBorder="1" applyAlignment="1">
      <alignment horizontal="center" vertical="center" shrinkToFit="1"/>
    </xf>
    <xf numFmtId="2" fontId="21" fillId="0" borderId="5" xfId="0" applyNumberFormat="1" applyFont="1" applyBorder="1" applyAlignment="1">
      <alignment horizontal="center" vertical="center" shrinkToFit="1"/>
    </xf>
    <xf numFmtId="0" fontId="16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vertical="center"/>
    </xf>
  </cellXfs>
  <cellStyles count="1">
    <cellStyle name="Normal" xfId="0" builtinId="0"/>
  </cellStyles>
  <dxfs count="9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561975</xdr:colOff>
      <xdr:row>0</xdr:row>
      <xdr:rowOff>0</xdr:rowOff>
    </xdr:from>
    <xdr:to>
      <xdr:col>18</xdr:col>
      <xdr:colOff>314325</xdr:colOff>
      <xdr:row>4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1FD46-70B4-4634-AF56-E2CC803F6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2495550" cy="1181099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371476</xdr:colOff>
      <xdr:row>4</xdr:row>
      <xdr:rowOff>228599</xdr:rowOff>
    </xdr:from>
    <xdr:to>
      <xdr:col>19</xdr:col>
      <xdr:colOff>276226</xdr:colOff>
      <xdr:row>14</xdr:row>
      <xdr:rowOff>1810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0440EC-0BE2-4151-8A9C-385A6E74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1" y="1266824"/>
          <a:ext cx="3333750" cy="2383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NGINEERING\all%20about%20steel%20structure\Excel%20Sheets\my%20sheets\ASD\4=Truss%20Conn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ted"/>
      <sheetName val="Welded"/>
    </sheetNames>
    <sheetDataSet>
      <sheetData sheetId="0">
        <row r="1">
          <cell r="U1" t="str">
            <v xml:space="preserve">Angle </v>
          </cell>
          <cell r="V1" t="str">
            <v>Angle (mm)</v>
          </cell>
          <cell r="Y1" t="str">
            <v>Area</v>
          </cell>
          <cell r="Z1" t="str">
            <v>Weight</v>
          </cell>
          <cell r="AA1" t="str">
            <v>Distances (cm)</v>
          </cell>
          <cell r="AE1" t="str">
            <v>x-x &amp; y-y</v>
          </cell>
          <cell r="AH1" t="str">
            <v>u-u</v>
          </cell>
          <cell r="AI1" t="str">
            <v>v-v</v>
          </cell>
        </row>
        <row r="2">
          <cell r="V2" t="str">
            <v>a</v>
          </cell>
          <cell r="X2" t="str">
            <v>s</v>
          </cell>
          <cell r="Y2" t="str">
            <v>(cm2)</v>
          </cell>
          <cell r="Z2" t="str">
            <v>(kg/m`)</v>
          </cell>
          <cell r="AA2" t="str">
            <v>e</v>
          </cell>
          <cell r="AB2" t="str">
            <v>w</v>
          </cell>
          <cell r="AC2" t="str">
            <v>u1</v>
          </cell>
          <cell r="AD2" t="str">
            <v>u2</v>
          </cell>
          <cell r="AE2" t="str">
            <v>Ix(cm4)</v>
          </cell>
          <cell r="AF2" t="str">
            <v>Sx(cm3)</v>
          </cell>
          <cell r="AG2" t="str">
            <v>rx(cm)</v>
          </cell>
          <cell r="AH2" t="str">
            <v>ru(cm)</v>
          </cell>
          <cell r="AI2" t="str">
            <v>rv(cm)</v>
          </cell>
        </row>
        <row r="3">
          <cell r="U3" t="str">
            <v>45x5</v>
          </cell>
          <cell r="V3">
            <v>45</v>
          </cell>
          <cell r="X3">
            <v>5</v>
          </cell>
          <cell r="Y3">
            <v>4.3</v>
          </cell>
          <cell r="Z3">
            <v>3.38</v>
          </cell>
          <cell r="AA3">
            <v>1.28</v>
          </cell>
          <cell r="AB3">
            <v>3.18</v>
          </cell>
          <cell r="AC3">
            <v>1.81</v>
          </cell>
          <cell r="AD3">
            <v>1.58</v>
          </cell>
          <cell r="AE3">
            <v>7.83</v>
          </cell>
          <cell r="AF3">
            <v>2.4300000000000002</v>
          </cell>
          <cell r="AG3">
            <v>1.35</v>
          </cell>
          <cell r="AH3">
            <v>1.7</v>
          </cell>
          <cell r="AI3">
            <v>0.87</v>
          </cell>
        </row>
        <row r="4">
          <cell r="U4" t="str">
            <v>50x5</v>
          </cell>
          <cell r="V4">
            <v>50</v>
          </cell>
          <cell r="X4">
            <v>5</v>
          </cell>
          <cell r="Y4">
            <v>4.8</v>
          </cell>
          <cell r="Z4">
            <v>3.77</v>
          </cell>
          <cell r="AA4">
            <v>1.4</v>
          </cell>
          <cell r="AB4">
            <v>3.54</v>
          </cell>
          <cell r="AC4">
            <v>1.98</v>
          </cell>
          <cell r="AD4">
            <v>1.76</v>
          </cell>
          <cell r="AE4">
            <v>11</v>
          </cell>
          <cell r="AF4">
            <v>3.05</v>
          </cell>
          <cell r="AG4">
            <v>1.51</v>
          </cell>
          <cell r="AH4">
            <v>1.9</v>
          </cell>
          <cell r="AI4">
            <v>0.98</v>
          </cell>
        </row>
        <row r="5">
          <cell r="U5" t="str">
            <v>55x5</v>
          </cell>
          <cell r="V5">
            <v>55</v>
          </cell>
          <cell r="X5">
            <v>5</v>
          </cell>
          <cell r="Y5">
            <v>5.32</v>
          </cell>
          <cell r="Z5">
            <v>4.18</v>
          </cell>
          <cell r="AA5">
            <v>1.52</v>
          </cell>
          <cell r="AB5">
            <v>3.89</v>
          </cell>
          <cell r="AC5">
            <v>2.15</v>
          </cell>
          <cell r="AD5">
            <v>1.93</v>
          </cell>
          <cell r="AE5">
            <v>14.7</v>
          </cell>
          <cell r="AF5">
            <v>3.7</v>
          </cell>
          <cell r="AG5">
            <v>1.66</v>
          </cell>
          <cell r="AH5">
            <v>2.09</v>
          </cell>
          <cell r="AI5">
            <v>1.07</v>
          </cell>
        </row>
        <row r="6">
          <cell r="U6" t="str">
            <v>60x6</v>
          </cell>
          <cell r="V6">
            <v>60</v>
          </cell>
          <cell r="X6">
            <v>6</v>
          </cell>
          <cell r="Y6">
            <v>6.91</v>
          </cell>
          <cell r="Z6">
            <v>5.42</v>
          </cell>
          <cell r="AA6">
            <v>1.69</v>
          </cell>
          <cell r="AB6">
            <v>4.24</v>
          </cell>
          <cell r="AC6">
            <v>2.39</v>
          </cell>
          <cell r="AD6">
            <v>2.11</v>
          </cell>
          <cell r="AE6">
            <v>22.8</v>
          </cell>
          <cell r="AF6">
            <v>5.29</v>
          </cell>
          <cell r="AG6">
            <v>1.82</v>
          </cell>
          <cell r="AH6">
            <v>2.29</v>
          </cell>
          <cell r="AI6">
            <v>1.17</v>
          </cell>
        </row>
        <row r="7">
          <cell r="U7" t="str">
            <v>65x7</v>
          </cell>
          <cell r="V7">
            <v>65</v>
          </cell>
          <cell r="X7">
            <v>7</v>
          </cell>
          <cell r="Y7">
            <v>8.6999999999999993</v>
          </cell>
          <cell r="Z7">
            <v>6.83</v>
          </cell>
          <cell r="AA7">
            <v>1.85</v>
          </cell>
          <cell r="AB7">
            <v>4.5999999999999996</v>
          </cell>
          <cell r="AC7">
            <v>2.62</v>
          </cell>
          <cell r="AD7">
            <v>2.29</v>
          </cell>
          <cell r="AE7">
            <v>33.4</v>
          </cell>
          <cell r="AF7">
            <v>7.13</v>
          </cell>
          <cell r="AG7">
            <v>1.96</v>
          </cell>
          <cell r="AH7">
            <v>2.4700000000000002</v>
          </cell>
          <cell r="AI7">
            <v>1.26</v>
          </cell>
        </row>
        <row r="8">
          <cell r="U8" t="str">
            <v>70x7</v>
          </cell>
          <cell r="V8">
            <v>70</v>
          </cell>
          <cell r="X8">
            <v>7</v>
          </cell>
          <cell r="Y8">
            <v>9.4</v>
          </cell>
          <cell r="Z8">
            <v>7.38</v>
          </cell>
          <cell r="AA8">
            <v>1.97</v>
          </cell>
          <cell r="AB8">
            <v>4.95</v>
          </cell>
          <cell r="AC8">
            <v>2.79</v>
          </cell>
          <cell r="AD8">
            <v>2.4700000000000002</v>
          </cell>
          <cell r="AE8">
            <v>42.4</v>
          </cell>
          <cell r="AF8">
            <v>8.43</v>
          </cell>
          <cell r="AG8">
            <v>2.12</v>
          </cell>
          <cell r="AH8">
            <v>2.67</v>
          </cell>
          <cell r="AI8">
            <v>1.37</v>
          </cell>
        </row>
        <row r="9">
          <cell r="U9" t="str">
            <v>75x7</v>
          </cell>
          <cell r="V9">
            <v>75</v>
          </cell>
          <cell r="X9">
            <v>7</v>
          </cell>
          <cell r="Y9">
            <v>10.1</v>
          </cell>
          <cell r="Z9">
            <v>7.94</v>
          </cell>
          <cell r="AA9">
            <v>2.0299999999999998</v>
          </cell>
          <cell r="AB9">
            <v>5.3</v>
          </cell>
          <cell r="AC9">
            <v>2.87</v>
          </cell>
          <cell r="AD9">
            <v>2.63</v>
          </cell>
          <cell r="AE9">
            <v>52.4</v>
          </cell>
          <cell r="AF9">
            <v>8.67</v>
          </cell>
          <cell r="AG9">
            <v>2.2799999999999998</v>
          </cell>
          <cell r="AH9">
            <v>2.88</v>
          </cell>
          <cell r="AI9">
            <v>1.45</v>
          </cell>
        </row>
        <row r="10">
          <cell r="U10" t="str">
            <v>80x8</v>
          </cell>
          <cell r="V10">
            <v>80</v>
          </cell>
          <cell r="X10">
            <v>8</v>
          </cell>
          <cell r="Y10">
            <v>12.3</v>
          </cell>
          <cell r="Z10">
            <v>9.66</v>
          </cell>
          <cell r="AA10">
            <v>2.2599999999999998</v>
          </cell>
          <cell r="AB10">
            <v>5.66</v>
          </cell>
          <cell r="AC10">
            <v>3.2</v>
          </cell>
          <cell r="AD10">
            <v>2.82</v>
          </cell>
          <cell r="AE10">
            <v>72.3</v>
          </cell>
          <cell r="AF10">
            <v>12.6</v>
          </cell>
          <cell r="AG10">
            <v>2.42</v>
          </cell>
          <cell r="AH10">
            <v>3.06</v>
          </cell>
          <cell r="AI10">
            <v>1.55</v>
          </cell>
        </row>
        <row r="11">
          <cell r="U11" t="str">
            <v>90x9</v>
          </cell>
          <cell r="V11">
            <v>90</v>
          </cell>
          <cell r="X11">
            <v>9</v>
          </cell>
          <cell r="Y11">
            <v>15.5</v>
          </cell>
          <cell r="Z11">
            <v>12.2</v>
          </cell>
          <cell r="AA11">
            <v>2.54</v>
          </cell>
          <cell r="AB11">
            <v>6.36</v>
          </cell>
          <cell r="AC11">
            <v>3.59</v>
          </cell>
          <cell r="AD11">
            <v>3.18</v>
          </cell>
          <cell r="AE11">
            <v>116</v>
          </cell>
          <cell r="AF11">
            <v>18</v>
          </cell>
          <cell r="AG11">
            <v>2.74</v>
          </cell>
          <cell r="AH11">
            <v>3.45</v>
          </cell>
          <cell r="AI11">
            <v>1.76</v>
          </cell>
        </row>
        <row r="12">
          <cell r="U12" t="str">
            <v>100x10</v>
          </cell>
          <cell r="V12">
            <v>100</v>
          </cell>
          <cell r="X12">
            <v>10</v>
          </cell>
          <cell r="Y12">
            <v>19.2</v>
          </cell>
          <cell r="Z12">
            <v>15.1</v>
          </cell>
          <cell r="AA12">
            <v>2.82</v>
          </cell>
          <cell r="AB12">
            <v>7.07</v>
          </cell>
          <cell r="AC12">
            <v>3.99</v>
          </cell>
          <cell r="AD12">
            <v>3.54</v>
          </cell>
          <cell r="AE12">
            <v>177</v>
          </cell>
          <cell r="AF12">
            <v>24.7</v>
          </cell>
          <cell r="AG12">
            <v>3.04</v>
          </cell>
          <cell r="AH12">
            <v>3.82</v>
          </cell>
          <cell r="AI12">
            <v>1.95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2D20-7090-40BF-AB47-A18DDDBACF56}">
  <dimension ref="A1:AH61"/>
  <sheetViews>
    <sheetView tabSelected="1" view="pageBreakPreview" zoomScale="60" zoomScaleNormal="90" workbookViewId="0">
      <selection activeCell="H17" sqref="H17"/>
    </sheetView>
  </sheetViews>
  <sheetFormatPr defaultRowHeight="18.75"/>
  <cols>
    <col min="1" max="1" width="12.625" style="36" bestFit="1" customWidth="1"/>
    <col min="2" max="2" width="5" style="36" bestFit="1" customWidth="1"/>
    <col min="3" max="3" width="6.75" style="36" bestFit="1" customWidth="1"/>
    <col min="4" max="4" width="6.25" style="36" bestFit="1" customWidth="1"/>
    <col min="5" max="5" width="14.125" style="36" bestFit="1" customWidth="1"/>
    <col min="6" max="6" width="9" style="36" customWidth="1"/>
    <col min="7" max="7" width="10.375" style="36" customWidth="1"/>
    <col min="8" max="8" width="14.625" style="36" bestFit="1" customWidth="1"/>
    <col min="9" max="9" width="6.25" style="36" customWidth="1"/>
    <col min="10" max="10" width="6.375" style="36" customWidth="1"/>
    <col min="11" max="11" width="19.25" style="36" bestFit="1" customWidth="1"/>
    <col min="12" max="12" width="10" style="36" bestFit="1" customWidth="1"/>
    <col min="13" max="13" width="6.25" style="36" bestFit="1" customWidth="1"/>
    <col min="14" max="14" width="5.375" style="36" bestFit="1" customWidth="1"/>
    <col min="15" max="20" width="9" style="36"/>
    <col min="21" max="21" width="8.625" style="36" bestFit="1" customWidth="1"/>
    <col min="22" max="22" width="5" style="36" bestFit="1" customWidth="1"/>
    <col min="23" max="23" width="5.25" style="36" bestFit="1" customWidth="1"/>
    <col min="24" max="24" width="6.375" style="36" bestFit="1" customWidth="1"/>
    <col min="25" max="25" width="8.5" style="36" bestFit="1" customWidth="1"/>
    <col min="26" max="29" width="5.625" style="36" bestFit="1" customWidth="1"/>
    <col min="30" max="30" width="7.75" style="36" bestFit="1" customWidth="1"/>
    <col min="31" max="31" width="8.25" style="36" bestFit="1" customWidth="1"/>
    <col min="32" max="32" width="7.125" style="36" bestFit="1" customWidth="1"/>
    <col min="33" max="33" width="7.25" style="36" bestFit="1" customWidth="1"/>
    <col min="34" max="34" width="7.125" style="36" bestFit="1" customWidth="1"/>
    <col min="35" max="16384" width="9" style="36"/>
  </cols>
  <sheetData>
    <row r="1" spans="1:34" ht="19.5" customHeight="1">
      <c r="A1" s="34" t="s">
        <v>3</v>
      </c>
      <c r="B1" s="34">
        <v>37</v>
      </c>
      <c r="C1" s="34">
        <v>1</v>
      </c>
      <c r="D1" s="34">
        <v>4.5999999999999996</v>
      </c>
      <c r="E1" s="35" t="s">
        <v>25</v>
      </c>
      <c r="F1" s="35" t="s">
        <v>6</v>
      </c>
      <c r="G1" s="34" t="s">
        <v>55</v>
      </c>
      <c r="U1" s="37" t="s">
        <v>14</v>
      </c>
      <c r="V1" s="38" t="s">
        <v>27</v>
      </c>
      <c r="W1" s="39"/>
      <c r="X1" s="40" t="s">
        <v>28</v>
      </c>
      <c r="Y1" s="40" t="s">
        <v>29</v>
      </c>
      <c r="Z1" s="41" t="s">
        <v>30</v>
      </c>
      <c r="AA1" s="42"/>
      <c r="AB1" s="42"/>
      <c r="AC1" s="43"/>
      <c r="AD1" s="38" t="s">
        <v>31</v>
      </c>
      <c r="AE1" s="44"/>
      <c r="AF1" s="39"/>
      <c r="AG1" s="40" t="s">
        <v>32</v>
      </c>
      <c r="AH1" s="40" t="s">
        <v>33</v>
      </c>
    </row>
    <row r="2" spans="1:34" ht="21.75">
      <c r="A2" s="34" t="s">
        <v>5</v>
      </c>
      <c r="B2" s="34">
        <v>44</v>
      </c>
      <c r="C2" s="34">
        <v>2</v>
      </c>
      <c r="D2" s="34">
        <v>4.8</v>
      </c>
      <c r="E2" s="35" t="s">
        <v>26</v>
      </c>
      <c r="F2" s="35" t="s">
        <v>7</v>
      </c>
      <c r="G2" s="34" t="s">
        <v>56</v>
      </c>
      <c r="U2" s="37"/>
      <c r="V2" s="40" t="s">
        <v>11</v>
      </c>
      <c r="W2" s="45" t="s">
        <v>34</v>
      </c>
      <c r="X2" s="46" t="s">
        <v>104</v>
      </c>
      <c r="Y2" s="46" t="s">
        <v>35</v>
      </c>
      <c r="Z2" s="46" t="s">
        <v>12</v>
      </c>
      <c r="AA2" s="46" t="s">
        <v>36</v>
      </c>
      <c r="AB2" s="46" t="s">
        <v>105</v>
      </c>
      <c r="AC2" s="46" t="s">
        <v>106</v>
      </c>
      <c r="AD2" s="46" t="s">
        <v>107</v>
      </c>
      <c r="AE2" s="46" t="s">
        <v>108</v>
      </c>
      <c r="AF2" s="46" t="s">
        <v>109</v>
      </c>
      <c r="AG2" s="46" t="s">
        <v>110</v>
      </c>
      <c r="AH2" s="46" t="s">
        <v>111</v>
      </c>
    </row>
    <row r="3" spans="1:34">
      <c r="A3" s="34" t="s">
        <v>4</v>
      </c>
      <c r="B3" s="34">
        <v>52</v>
      </c>
      <c r="D3" s="34">
        <v>5.6</v>
      </c>
      <c r="F3" s="35" t="s">
        <v>8</v>
      </c>
      <c r="U3" s="37" t="s">
        <v>15</v>
      </c>
      <c r="V3" s="47">
        <v>45</v>
      </c>
      <c r="W3" s="47">
        <v>5</v>
      </c>
      <c r="X3" s="48">
        <v>4.3</v>
      </c>
      <c r="Y3" s="49">
        <v>3.38</v>
      </c>
      <c r="Z3" s="49">
        <v>1.28</v>
      </c>
      <c r="AA3" s="49">
        <v>3.18</v>
      </c>
      <c r="AB3" s="49">
        <v>1.81</v>
      </c>
      <c r="AC3" s="49">
        <v>1.58</v>
      </c>
      <c r="AD3" s="49">
        <v>7.83</v>
      </c>
      <c r="AE3" s="49">
        <v>2.4300000000000002</v>
      </c>
      <c r="AF3" s="49">
        <v>1.35</v>
      </c>
      <c r="AG3" s="48">
        <v>1.7</v>
      </c>
      <c r="AH3" s="49">
        <v>0.87</v>
      </c>
    </row>
    <row r="4" spans="1:34">
      <c r="A4" s="50"/>
      <c r="B4" s="50"/>
      <c r="C4" s="50"/>
      <c r="D4" s="51">
        <v>5.8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U4" s="37" t="s">
        <v>16</v>
      </c>
      <c r="V4" s="47">
        <v>50</v>
      </c>
      <c r="W4" s="47">
        <v>5</v>
      </c>
      <c r="X4" s="48">
        <v>4.8</v>
      </c>
      <c r="Y4" s="49">
        <v>3.77</v>
      </c>
      <c r="Z4" s="48">
        <v>1.4</v>
      </c>
      <c r="AA4" s="49">
        <v>3.54</v>
      </c>
      <c r="AB4" s="49">
        <v>1.98</v>
      </c>
      <c r="AC4" s="49">
        <v>1.76</v>
      </c>
      <c r="AD4" s="47">
        <v>11</v>
      </c>
      <c r="AE4" s="49">
        <v>3.05</v>
      </c>
      <c r="AF4" s="49">
        <v>1.51</v>
      </c>
      <c r="AG4" s="48">
        <v>1.9</v>
      </c>
      <c r="AH4" s="49">
        <v>0.98</v>
      </c>
    </row>
    <row r="5" spans="1:34" ht="23.25">
      <c r="A5" s="52" t="s">
        <v>126</v>
      </c>
      <c r="B5" s="53">
        <v>37</v>
      </c>
      <c r="C5" s="53"/>
      <c r="D5" s="51">
        <v>6.8</v>
      </c>
      <c r="E5" s="54" t="s">
        <v>43</v>
      </c>
      <c r="F5" s="53" t="s">
        <v>23</v>
      </c>
      <c r="G5" s="53"/>
      <c r="H5" s="55" t="s">
        <v>7</v>
      </c>
      <c r="I5" s="50"/>
      <c r="J5" s="50"/>
      <c r="K5" s="56" t="s">
        <v>13</v>
      </c>
      <c r="L5" s="50"/>
      <c r="M5" s="50"/>
      <c r="N5" s="50"/>
      <c r="O5" s="50"/>
      <c r="U5" s="37" t="s">
        <v>17</v>
      </c>
      <c r="V5" s="47">
        <v>55</v>
      </c>
      <c r="W5" s="47">
        <v>5</v>
      </c>
      <c r="X5" s="49">
        <v>5.32</v>
      </c>
      <c r="Y5" s="49">
        <v>4.18</v>
      </c>
      <c r="Z5" s="49">
        <v>1.52</v>
      </c>
      <c r="AA5" s="49">
        <v>3.89</v>
      </c>
      <c r="AB5" s="49">
        <v>2.15</v>
      </c>
      <c r="AC5" s="49">
        <v>1.93</v>
      </c>
      <c r="AD5" s="48">
        <v>14.7</v>
      </c>
      <c r="AE5" s="48">
        <v>3.7</v>
      </c>
      <c r="AF5" s="49">
        <v>1.66</v>
      </c>
      <c r="AG5" s="49">
        <v>2.09</v>
      </c>
      <c r="AH5" s="49">
        <v>1.07</v>
      </c>
    </row>
    <row r="6" spans="1:34" ht="21">
      <c r="A6" s="57" t="s">
        <v>112</v>
      </c>
      <c r="B6" s="50">
        <f>IF(B5=B1,2.4,IF(B5=B2,2.8,3.6))</f>
        <v>2.4</v>
      </c>
      <c r="C6" s="50" t="s">
        <v>113</v>
      </c>
      <c r="D6" s="51">
        <v>8.8000000000000007</v>
      </c>
      <c r="E6" s="57" t="s">
        <v>37</v>
      </c>
      <c r="F6" s="50">
        <f>VLOOKUP(F5,om8r,2,FALSE)</f>
        <v>90</v>
      </c>
      <c r="G6" s="50" t="s">
        <v>9</v>
      </c>
      <c r="H6" s="50"/>
      <c r="I6" s="50"/>
      <c r="J6" s="58" t="s">
        <v>65</v>
      </c>
      <c r="K6" s="58"/>
      <c r="L6" s="58"/>
      <c r="M6" s="50"/>
      <c r="N6" s="50"/>
      <c r="O6" s="50"/>
      <c r="U6" s="37" t="s">
        <v>18</v>
      </c>
      <c r="V6" s="47">
        <v>60</v>
      </c>
      <c r="W6" s="47">
        <v>6</v>
      </c>
      <c r="X6" s="49">
        <v>6.91</v>
      </c>
      <c r="Y6" s="49">
        <v>5.42</v>
      </c>
      <c r="Z6" s="49">
        <v>1.69</v>
      </c>
      <c r="AA6" s="49">
        <v>4.24</v>
      </c>
      <c r="AB6" s="49">
        <v>2.39</v>
      </c>
      <c r="AC6" s="49">
        <v>2.11</v>
      </c>
      <c r="AD6" s="48">
        <v>22.8</v>
      </c>
      <c r="AE6" s="49">
        <v>5.29</v>
      </c>
      <c r="AF6" s="49">
        <v>1.82</v>
      </c>
      <c r="AG6" s="49">
        <v>2.29</v>
      </c>
      <c r="AH6" s="49">
        <v>1.17</v>
      </c>
    </row>
    <row r="7" spans="1:34" ht="21">
      <c r="A7" s="57" t="s">
        <v>114</v>
      </c>
      <c r="B7" s="50">
        <f>IF(B5=B1,3.7,IF(B5=B2,4.4,5.2))</f>
        <v>3.7</v>
      </c>
      <c r="C7" s="50" t="s">
        <v>113</v>
      </c>
      <c r="D7" s="51">
        <v>10.9</v>
      </c>
      <c r="E7" s="57" t="s">
        <v>38</v>
      </c>
      <c r="F7" s="50">
        <f>VLOOKUP(F5,om8r,3,FALSE)</f>
        <v>9</v>
      </c>
      <c r="G7" s="50" t="s">
        <v>9</v>
      </c>
      <c r="H7" s="50"/>
      <c r="I7" s="50"/>
      <c r="J7" s="59" t="s">
        <v>54</v>
      </c>
      <c r="K7" s="59"/>
      <c r="L7" s="53" t="s">
        <v>26</v>
      </c>
      <c r="M7" s="53"/>
      <c r="N7" s="50"/>
      <c r="O7" s="50"/>
      <c r="U7" s="37" t="s">
        <v>19</v>
      </c>
      <c r="V7" s="47">
        <v>65</v>
      </c>
      <c r="W7" s="47">
        <v>7</v>
      </c>
      <c r="X7" s="48">
        <v>8.6999999999999993</v>
      </c>
      <c r="Y7" s="49">
        <v>6.83</v>
      </c>
      <c r="Z7" s="49">
        <v>1.85</v>
      </c>
      <c r="AA7" s="48">
        <v>4.5999999999999996</v>
      </c>
      <c r="AB7" s="49">
        <v>2.62</v>
      </c>
      <c r="AC7" s="49">
        <v>2.29</v>
      </c>
      <c r="AD7" s="48">
        <v>33.4</v>
      </c>
      <c r="AE7" s="49">
        <v>7.13</v>
      </c>
      <c r="AF7" s="49">
        <v>1.96</v>
      </c>
      <c r="AG7" s="49">
        <v>2.4700000000000002</v>
      </c>
      <c r="AH7" s="49">
        <v>1.26</v>
      </c>
    </row>
    <row r="8" spans="1:34">
      <c r="A8" s="57"/>
      <c r="B8" s="50"/>
      <c r="C8" s="50"/>
      <c r="D8" s="50"/>
      <c r="E8" s="50"/>
      <c r="F8" s="50"/>
      <c r="G8" s="50"/>
      <c r="H8" s="50"/>
      <c r="I8" s="50"/>
      <c r="J8" s="59" t="s">
        <v>53</v>
      </c>
      <c r="K8" s="59"/>
      <c r="L8" s="53" t="s">
        <v>55</v>
      </c>
      <c r="M8" s="53"/>
      <c r="N8" s="50"/>
      <c r="O8" s="50"/>
      <c r="U8" s="37" t="s">
        <v>20</v>
      </c>
      <c r="V8" s="47">
        <v>70</v>
      </c>
      <c r="W8" s="47">
        <v>7</v>
      </c>
      <c r="X8" s="48">
        <v>9.4</v>
      </c>
      <c r="Y8" s="49">
        <v>7.38</v>
      </c>
      <c r="Z8" s="49">
        <v>1.97</v>
      </c>
      <c r="AA8" s="49">
        <v>4.95</v>
      </c>
      <c r="AB8" s="49">
        <v>2.79</v>
      </c>
      <c r="AC8" s="49">
        <v>2.4700000000000002</v>
      </c>
      <c r="AD8" s="48">
        <v>42.4</v>
      </c>
      <c r="AE8" s="49">
        <v>8.43</v>
      </c>
      <c r="AF8" s="49">
        <v>2.12</v>
      </c>
      <c r="AG8" s="49">
        <v>2.67</v>
      </c>
      <c r="AH8" s="49">
        <v>1.37</v>
      </c>
    </row>
    <row r="9" spans="1:34" ht="21">
      <c r="A9" s="60" t="s">
        <v>44</v>
      </c>
      <c r="B9" s="61">
        <v>30</v>
      </c>
      <c r="C9" s="50" t="s">
        <v>45</v>
      </c>
      <c r="D9" s="50"/>
      <c r="E9" s="50"/>
      <c r="F9" s="50"/>
      <c r="G9" s="50"/>
      <c r="H9" s="50"/>
      <c r="I9" s="50"/>
      <c r="J9" s="50"/>
      <c r="K9" s="62" t="str">
        <f>IF(OR(L7=E1,L8=G2),"No Check Block Shear Rupture","")</f>
        <v/>
      </c>
      <c r="L9" s="62"/>
      <c r="M9" s="62"/>
      <c r="N9" s="62"/>
      <c r="O9" s="50"/>
      <c r="U9" s="37" t="s">
        <v>21</v>
      </c>
      <c r="V9" s="47">
        <v>75</v>
      </c>
      <c r="W9" s="47">
        <v>7</v>
      </c>
      <c r="X9" s="48">
        <v>10.1</v>
      </c>
      <c r="Y9" s="49">
        <v>7.94</v>
      </c>
      <c r="Z9" s="49">
        <v>2.0299999999999998</v>
      </c>
      <c r="AA9" s="48">
        <v>5.3</v>
      </c>
      <c r="AB9" s="49">
        <v>2.87</v>
      </c>
      <c r="AC9" s="49">
        <v>2.63</v>
      </c>
      <c r="AD9" s="48">
        <v>52.4</v>
      </c>
      <c r="AE9" s="49">
        <v>8.67</v>
      </c>
      <c r="AF9" s="49">
        <v>2.2799999999999998</v>
      </c>
      <c r="AG9" s="49">
        <v>2.88</v>
      </c>
      <c r="AH9" s="49">
        <v>1.45</v>
      </c>
    </row>
    <row r="10" spans="1:34" ht="21">
      <c r="A10" s="50"/>
      <c r="B10" s="50"/>
      <c r="C10" s="50"/>
      <c r="D10" s="50"/>
      <c r="E10" s="58" t="s">
        <v>49</v>
      </c>
      <c r="F10" s="58"/>
      <c r="G10" s="58"/>
      <c r="H10" s="50"/>
      <c r="I10" s="50"/>
      <c r="J10" s="50"/>
      <c r="K10" s="57" t="s">
        <v>115</v>
      </c>
      <c r="L10" s="50">
        <f>IF(H5=F1,0.1*F7*((B15+(F21-1)*B16)-(F21-0.5)*(0.1*B14+0.2)),2*0.1*F7*((B15+(F21-1)*B16)-(F21-0.5)*(0.1*B14+0.2)))</f>
        <v>23.940000000000005</v>
      </c>
      <c r="M10" s="50" t="s">
        <v>116</v>
      </c>
      <c r="N10" s="50"/>
      <c r="O10" s="50"/>
      <c r="U10" s="37" t="s">
        <v>22</v>
      </c>
      <c r="V10" s="47">
        <v>80</v>
      </c>
      <c r="W10" s="47">
        <v>8</v>
      </c>
      <c r="X10" s="48">
        <v>12.3</v>
      </c>
      <c r="Y10" s="49">
        <v>9.66</v>
      </c>
      <c r="Z10" s="49">
        <v>2.2599999999999998</v>
      </c>
      <c r="AA10" s="49">
        <v>5.66</v>
      </c>
      <c r="AB10" s="48">
        <v>3.2</v>
      </c>
      <c r="AC10" s="49">
        <v>2.82</v>
      </c>
      <c r="AD10" s="48">
        <v>72.3</v>
      </c>
      <c r="AE10" s="48">
        <v>12.6</v>
      </c>
      <c r="AF10" s="49">
        <v>2.42</v>
      </c>
      <c r="AG10" s="49">
        <v>3.06</v>
      </c>
      <c r="AH10" s="49">
        <v>1.55</v>
      </c>
    </row>
    <row r="11" spans="1:34" ht="21">
      <c r="A11" s="57" t="s">
        <v>117</v>
      </c>
      <c r="B11" s="55">
        <v>1</v>
      </c>
      <c r="C11" s="50" t="s">
        <v>2</v>
      </c>
      <c r="D11" s="50"/>
      <c r="E11" s="57" t="s">
        <v>118</v>
      </c>
      <c r="F11" s="50">
        <f>IF(OR(B18=D1,B18=D3,B18=D6),0.6*B20,IF(OR(B18=D2,B18=D4,B18=D5,B18=D7),0.5*B20))</f>
        <v>4.8</v>
      </c>
      <c r="G11" s="50" t="s">
        <v>113</v>
      </c>
      <c r="H11" s="50"/>
      <c r="I11" s="50"/>
      <c r="J11" s="50"/>
      <c r="K11" s="57" t="s">
        <v>119</v>
      </c>
      <c r="L11" s="50">
        <f>IF(H5=F1,0.1*F7*((0.5*0.1*(F6-F7))-0.5*(0.1*B14+0.2)),2*0.1*F7*((0.5*0.1*(F6-F7))-0.5*(0.1*B14+0.2)))</f>
        <v>5.31</v>
      </c>
      <c r="M11" s="50" t="s">
        <v>116</v>
      </c>
      <c r="N11" s="50"/>
      <c r="O11" s="50"/>
      <c r="U11" s="37" t="s">
        <v>23</v>
      </c>
      <c r="V11" s="47">
        <v>90</v>
      </c>
      <c r="W11" s="47">
        <v>9</v>
      </c>
      <c r="X11" s="48">
        <v>15.5</v>
      </c>
      <c r="Y11" s="48">
        <v>12.2</v>
      </c>
      <c r="Z11" s="49">
        <v>2.54</v>
      </c>
      <c r="AA11" s="49">
        <v>6.36</v>
      </c>
      <c r="AB11" s="49">
        <v>3.59</v>
      </c>
      <c r="AC11" s="49">
        <v>3.18</v>
      </c>
      <c r="AD11" s="47">
        <v>116</v>
      </c>
      <c r="AE11" s="47">
        <v>18</v>
      </c>
      <c r="AF11" s="49">
        <v>2.74</v>
      </c>
      <c r="AG11" s="49">
        <v>3.45</v>
      </c>
      <c r="AH11" s="49">
        <v>1.76</v>
      </c>
    </row>
    <row r="12" spans="1:34" ht="21">
      <c r="A12" s="50"/>
      <c r="B12" s="50"/>
      <c r="C12" s="50"/>
      <c r="D12" s="50"/>
      <c r="E12" s="57" t="s">
        <v>50</v>
      </c>
      <c r="F12" s="50">
        <f>(PI()/4)*(0.1*B14)^2</f>
        <v>3.1415926535897931</v>
      </c>
      <c r="G12" s="50" t="s">
        <v>116</v>
      </c>
      <c r="H12" s="50"/>
      <c r="I12" s="50"/>
      <c r="J12" s="50"/>
      <c r="K12" s="57" t="s">
        <v>120</v>
      </c>
      <c r="L12" s="50">
        <f>0.6*B7*L10</f>
        <v>53.146800000000013</v>
      </c>
      <c r="M12" s="50" t="s">
        <v>45</v>
      </c>
      <c r="N12" s="50"/>
      <c r="O12" s="50"/>
      <c r="U12" s="37" t="s">
        <v>24</v>
      </c>
      <c r="V12" s="47">
        <v>100</v>
      </c>
      <c r="W12" s="47">
        <v>10</v>
      </c>
      <c r="X12" s="48">
        <v>19.2</v>
      </c>
      <c r="Y12" s="48">
        <v>15.1</v>
      </c>
      <c r="Z12" s="49">
        <v>2.82</v>
      </c>
      <c r="AA12" s="49">
        <v>7.07</v>
      </c>
      <c r="AB12" s="49">
        <v>3.99</v>
      </c>
      <c r="AC12" s="49">
        <v>3.54</v>
      </c>
      <c r="AD12" s="47">
        <v>177</v>
      </c>
      <c r="AE12" s="48">
        <v>24.7</v>
      </c>
      <c r="AF12" s="49">
        <v>3.04</v>
      </c>
      <c r="AG12" s="49">
        <v>3.82</v>
      </c>
      <c r="AH12" s="49">
        <v>1.95</v>
      </c>
    </row>
    <row r="13" spans="1:34" ht="21">
      <c r="A13" s="64" t="s">
        <v>1</v>
      </c>
      <c r="B13" s="64"/>
      <c r="C13" s="64"/>
      <c r="D13" s="50"/>
      <c r="E13" s="57" t="s">
        <v>41</v>
      </c>
      <c r="F13" s="50">
        <f>IF(H5=F2,2,1)</f>
        <v>2</v>
      </c>
      <c r="G13" s="50" t="s">
        <v>10</v>
      </c>
      <c r="H13" s="50"/>
      <c r="I13" s="50"/>
      <c r="J13" s="50"/>
      <c r="K13" s="57" t="s">
        <v>121</v>
      </c>
      <c r="L13" s="50">
        <f>B7*L11</f>
        <v>19.646999999999998</v>
      </c>
      <c r="M13" s="50" t="s">
        <v>45</v>
      </c>
      <c r="N13" s="50"/>
      <c r="O13" s="50"/>
      <c r="U13" s="37" t="s">
        <v>103</v>
      </c>
      <c r="V13" s="65">
        <v>110</v>
      </c>
      <c r="W13" s="65">
        <v>10</v>
      </c>
      <c r="X13" s="66">
        <v>21.2</v>
      </c>
      <c r="Y13" s="66">
        <v>16.600000000000001</v>
      </c>
      <c r="Z13" s="67">
        <v>3.07</v>
      </c>
      <c r="AA13" s="67">
        <v>7.78</v>
      </c>
      <c r="AB13" s="67">
        <v>4.34</v>
      </c>
      <c r="AC13" s="67">
        <v>3.89</v>
      </c>
      <c r="AD13" s="65">
        <v>239</v>
      </c>
      <c r="AE13" s="66">
        <v>30.1</v>
      </c>
      <c r="AF13" s="67">
        <v>3.36</v>
      </c>
      <c r="AG13" s="67">
        <v>4.2300000000000004</v>
      </c>
      <c r="AH13" s="67">
        <v>2.16</v>
      </c>
    </row>
    <row r="14" spans="1:34" ht="21">
      <c r="A14" s="57" t="s">
        <v>46</v>
      </c>
      <c r="B14" s="55">
        <v>20</v>
      </c>
      <c r="C14" s="50" t="s">
        <v>9</v>
      </c>
      <c r="D14" s="50"/>
      <c r="E14" s="57" t="s">
        <v>127</v>
      </c>
      <c r="F14" s="50">
        <f>0.6*F13*F12*F11</f>
        <v>18.095573684677209</v>
      </c>
      <c r="G14" s="50" t="s">
        <v>45</v>
      </c>
      <c r="H14" s="50"/>
      <c r="I14" s="50"/>
      <c r="J14" s="50"/>
      <c r="K14" s="57" t="s">
        <v>122</v>
      </c>
      <c r="L14" s="50">
        <f>IF(H5=F2,2*0.1*F7*((B15+(F21-1)*B16)),0.1*F7*((B15+(F21-1)*B16)))</f>
        <v>37.800000000000004</v>
      </c>
      <c r="M14" s="50" t="s">
        <v>116</v>
      </c>
      <c r="N14" s="50"/>
      <c r="O14" s="50"/>
      <c r="U14" s="37" t="s">
        <v>95</v>
      </c>
      <c r="V14" s="65">
        <v>120</v>
      </c>
      <c r="W14" s="65">
        <v>12</v>
      </c>
      <c r="X14" s="66">
        <v>27.5</v>
      </c>
      <c r="Y14" s="66">
        <v>21.6</v>
      </c>
      <c r="Z14" s="66">
        <v>3.4</v>
      </c>
      <c r="AA14" s="67">
        <v>8.49</v>
      </c>
      <c r="AB14" s="66">
        <v>4.8</v>
      </c>
      <c r="AC14" s="67">
        <v>4.26</v>
      </c>
      <c r="AD14" s="65">
        <v>368</v>
      </c>
      <c r="AE14" s="66">
        <v>42.7</v>
      </c>
      <c r="AF14" s="67">
        <v>3.65</v>
      </c>
      <c r="AG14" s="66">
        <v>4.5999999999999996</v>
      </c>
      <c r="AH14" s="67">
        <v>2.35</v>
      </c>
    </row>
    <row r="15" spans="1:34" ht="21">
      <c r="A15" s="50" t="s">
        <v>48</v>
      </c>
      <c r="B15" s="50">
        <f>1.5*0.1*B14</f>
        <v>3.0000000000000004</v>
      </c>
      <c r="C15" s="50" t="s">
        <v>2</v>
      </c>
      <c r="D15" s="50"/>
      <c r="E15" s="50"/>
      <c r="F15" s="50"/>
      <c r="G15" s="50"/>
      <c r="H15" s="50"/>
      <c r="I15" s="50"/>
      <c r="J15" s="50"/>
      <c r="K15" s="57" t="s">
        <v>123</v>
      </c>
      <c r="L15" s="50">
        <f>IF(H5=F2,2*0.1*F7*((0.5*0.1*(F6-F7))),0.1*F7*((0.5*0.1*(F6-F7))))</f>
        <v>7.29</v>
      </c>
      <c r="M15" s="50" t="s">
        <v>116</v>
      </c>
      <c r="N15" s="50"/>
      <c r="O15" s="50"/>
      <c r="U15" s="37" t="s">
        <v>96</v>
      </c>
      <c r="V15" s="65">
        <v>130</v>
      </c>
      <c r="W15" s="65">
        <v>12</v>
      </c>
      <c r="X15" s="65">
        <v>30</v>
      </c>
      <c r="Y15" s="66">
        <v>23.6</v>
      </c>
      <c r="Z15" s="67">
        <v>3.64</v>
      </c>
      <c r="AA15" s="67">
        <v>9.19</v>
      </c>
      <c r="AB15" s="67">
        <v>5.15</v>
      </c>
      <c r="AC15" s="66">
        <v>4.5999999999999996</v>
      </c>
      <c r="AD15" s="65">
        <v>472</v>
      </c>
      <c r="AE15" s="66">
        <v>50.4</v>
      </c>
      <c r="AF15" s="67">
        <v>3.97</v>
      </c>
      <c r="AG15" s="65">
        <v>5</v>
      </c>
      <c r="AH15" s="67">
        <v>2.54</v>
      </c>
    </row>
    <row r="16" spans="1:34" ht="21">
      <c r="A16" s="50" t="s">
        <v>47</v>
      </c>
      <c r="B16" s="50">
        <f>3*0.1*B14</f>
        <v>6.0000000000000009</v>
      </c>
      <c r="C16" s="50" t="s">
        <v>2</v>
      </c>
      <c r="D16" s="50"/>
      <c r="E16" s="58" t="s">
        <v>51</v>
      </c>
      <c r="F16" s="58"/>
      <c r="G16" s="58"/>
      <c r="H16" s="50"/>
      <c r="I16" s="50"/>
      <c r="J16" s="50"/>
      <c r="K16" s="57" t="s">
        <v>57</v>
      </c>
      <c r="L16" s="50">
        <f>IF(L12&gt;L13,0.7*(L12+B6*L15),(0.6*B6*L14+L13))</f>
        <v>49.449960000000004</v>
      </c>
      <c r="M16" s="50" t="s">
        <v>45</v>
      </c>
      <c r="N16" s="51" t="str">
        <f>IF(L16&gt;=B9,"Safe","Unsafe")</f>
        <v>Safe</v>
      </c>
      <c r="O16" s="50"/>
      <c r="U16" s="37" t="s">
        <v>97</v>
      </c>
      <c r="V16" s="65">
        <v>140</v>
      </c>
      <c r="W16" s="65">
        <v>13</v>
      </c>
      <c r="X16" s="65">
        <v>35</v>
      </c>
      <c r="Y16" s="66">
        <v>27.5</v>
      </c>
      <c r="Z16" s="67">
        <v>3.92</v>
      </c>
      <c r="AA16" s="66">
        <v>9.9</v>
      </c>
      <c r="AB16" s="67">
        <v>5.54</v>
      </c>
      <c r="AC16" s="67">
        <v>4.96</v>
      </c>
      <c r="AD16" s="65">
        <v>638</v>
      </c>
      <c r="AE16" s="66">
        <v>63.3</v>
      </c>
      <c r="AF16" s="67">
        <v>4.2699999999999996</v>
      </c>
      <c r="AG16" s="67">
        <v>5.38</v>
      </c>
      <c r="AH16" s="67">
        <v>2.74</v>
      </c>
    </row>
    <row r="17" spans="1:34">
      <c r="A17" s="57" t="s">
        <v>39</v>
      </c>
      <c r="B17" s="68" t="s">
        <v>4</v>
      </c>
      <c r="C17" s="68"/>
      <c r="D17" s="50"/>
      <c r="E17" s="57" t="s">
        <v>37</v>
      </c>
      <c r="F17" s="50">
        <f>IF(B15&gt;=3*0.1*B14,2.4,IF(AND(B15&gt;=2*0.1*B14,B15&lt;=2.5*0.1*B14),2,IF(AND(B15&gt;=1.5*0.1*B14,B15&lt;=2*0.1*B14),1.6,IF(B15=1.5*0.1*B14,1.2))))</f>
        <v>1.6</v>
      </c>
      <c r="G17" s="50" t="s">
        <v>10</v>
      </c>
      <c r="H17" s="50"/>
      <c r="I17" s="50"/>
      <c r="J17" s="50"/>
      <c r="K17" s="50"/>
      <c r="L17" s="50"/>
      <c r="M17" s="50"/>
      <c r="N17" s="50"/>
      <c r="O17" s="50"/>
      <c r="U17" s="37" t="s">
        <v>98</v>
      </c>
      <c r="V17" s="65">
        <v>150</v>
      </c>
      <c r="W17" s="65">
        <v>14</v>
      </c>
      <c r="X17" s="66">
        <v>40.299999999999997</v>
      </c>
      <c r="Y17" s="66">
        <v>31.6</v>
      </c>
      <c r="Z17" s="67">
        <v>4.21</v>
      </c>
      <c r="AA17" s="66">
        <v>10.6</v>
      </c>
      <c r="AB17" s="67">
        <v>5.95</v>
      </c>
      <c r="AC17" s="67">
        <v>5.31</v>
      </c>
      <c r="AD17" s="65">
        <v>845</v>
      </c>
      <c r="AE17" s="66">
        <v>78.2</v>
      </c>
      <c r="AF17" s="67">
        <v>4.58</v>
      </c>
      <c r="AG17" s="67">
        <v>5.77</v>
      </c>
      <c r="AH17" s="67">
        <v>2.94</v>
      </c>
    </row>
    <row r="18" spans="1:34" ht="21">
      <c r="A18" s="57" t="s">
        <v>40</v>
      </c>
      <c r="B18" s="68">
        <v>8.8000000000000007</v>
      </c>
      <c r="C18" s="68"/>
      <c r="D18" s="50"/>
      <c r="E18" s="57" t="s">
        <v>124</v>
      </c>
      <c r="F18" s="50">
        <f>F17*B7</f>
        <v>5.9200000000000008</v>
      </c>
      <c r="G18" s="50" t="s">
        <v>113</v>
      </c>
      <c r="H18" s="50"/>
      <c r="I18" s="50"/>
      <c r="J18" s="50"/>
      <c r="K18" s="58" t="s">
        <v>58</v>
      </c>
      <c r="L18" s="58"/>
      <c r="M18" s="58"/>
      <c r="N18" s="50"/>
      <c r="O18" s="50"/>
      <c r="U18" s="37" t="s">
        <v>99</v>
      </c>
      <c r="V18" s="65">
        <v>160</v>
      </c>
      <c r="W18" s="65">
        <v>15</v>
      </c>
      <c r="X18" s="66">
        <v>46.1</v>
      </c>
      <c r="Y18" s="66">
        <v>36.200000000000003</v>
      </c>
      <c r="Z18" s="67">
        <v>4.49</v>
      </c>
      <c r="AA18" s="66">
        <v>11.3</v>
      </c>
      <c r="AB18" s="67">
        <v>6.35</v>
      </c>
      <c r="AC18" s="67">
        <v>5.67</v>
      </c>
      <c r="AD18" s="65">
        <v>1100</v>
      </c>
      <c r="AE18" s="66">
        <v>95.6</v>
      </c>
      <c r="AF18" s="67">
        <v>4.88</v>
      </c>
      <c r="AG18" s="67">
        <v>6.15</v>
      </c>
      <c r="AH18" s="67">
        <v>3.14</v>
      </c>
    </row>
    <row r="19" spans="1:34" ht="21">
      <c r="A19" s="57" t="s">
        <v>125</v>
      </c>
      <c r="B19" s="50">
        <f>IF(B18=D1,2.4,IF(B18=D2,3.2,IF(B18=D3,3,IF(B18=D4,4,IF(B18=D5,4.8,IF(B18=D6,6.4,9))))))</f>
        <v>6.4</v>
      </c>
      <c r="C19" s="50" t="s">
        <v>113</v>
      </c>
      <c r="D19" s="50"/>
      <c r="E19" s="57" t="s">
        <v>128</v>
      </c>
      <c r="F19" s="50">
        <f>0.7*F18*0.1*B14*IF(H5=F2,MIN(B11,2*0.1*F7),MIN(B11,0.1*F7))</f>
        <v>8.2880000000000003</v>
      </c>
      <c r="G19" s="50" t="s">
        <v>45</v>
      </c>
      <c r="H19" s="50"/>
      <c r="I19" s="50"/>
      <c r="J19" s="50"/>
      <c r="K19" s="57" t="s">
        <v>59</v>
      </c>
      <c r="L19" s="55">
        <v>0</v>
      </c>
      <c r="M19" s="50" t="s">
        <v>45</v>
      </c>
      <c r="N19" s="50"/>
      <c r="O19" s="50"/>
      <c r="P19" s="50"/>
      <c r="Q19" s="50"/>
      <c r="R19" s="50"/>
      <c r="S19" s="50"/>
      <c r="U19" s="37" t="s">
        <v>100</v>
      </c>
      <c r="V19" s="65">
        <v>180</v>
      </c>
      <c r="W19" s="65">
        <v>16</v>
      </c>
      <c r="X19" s="66">
        <v>55.4</v>
      </c>
      <c r="Y19" s="66">
        <v>43.5</v>
      </c>
      <c r="Z19" s="67">
        <v>5.0199999999999996</v>
      </c>
      <c r="AA19" s="66">
        <v>12.7</v>
      </c>
      <c r="AB19" s="67">
        <v>7.11</v>
      </c>
      <c r="AC19" s="67">
        <v>6.39</v>
      </c>
      <c r="AD19" s="65">
        <v>1680</v>
      </c>
      <c r="AE19" s="65">
        <v>130</v>
      </c>
      <c r="AF19" s="67">
        <v>5.51</v>
      </c>
      <c r="AG19" s="67">
        <v>6.96</v>
      </c>
      <c r="AH19" s="66">
        <v>3.5</v>
      </c>
    </row>
    <row r="20" spans="1:34" ht="21">
      <c r="A20" s="57" t="s">
        <v>114</v>
      </c>
      <c r="B20" s="50">
        <f>IF(B18=D1,4,IF(B18=D2,4,IF(B18=D3,5,IF(B18=D4,5,IF(B18=D5,6,IF(B18=D6,8,10))))))</f>
        <v>8</v>
      </c>
      <c r="C20" s="50" t="s">
        <v>113</v>
      </c>
      <c r="D20" s="50"/>
      <c r="E20" s="50"/>
      <c r="F20" s="50"/>
      <c r="G20" s="50"/>
      <c r="H20" s="50"/>
      <c r="I20" s="50"/>
      <c r="J20" s="50"/>
      <c r="K20" s="57" t="s">
        <v>60</v>
      </c>
      <c r="L20" s="61">
        <f>B9</f>
        <v>30</v>
      </c>
      <c r="M20" s="50" t="s">
        <v>45</v>
      </c>
      <c r="N20" s="50"/>
      <c r="O20" s="50"/>
      <c r="P20" s="50"/>
      <c r="Q20" s="50"/>
      <c r="R20" s="50"/>
      <c r="S20" s="50"/>
      <c r="U20" s="37" t="s">
        <v>101</v>
      </c>
      <c r="V20" s="65">
        <v>200</v>
      </c>
      <c r="W20" s="65">
        <v>16</v>
      </c>
      <c r="X20" s="66">
        <v>61.8</v>
      </c>
      <c r="Y20" s="66">
        <v>48.5</v>
      </c>
      <c r="Z20" s="67">
        <v>5.52</v>
      </c>
      <c r="AA20" s="66">
        <v>14.1</v>
      </c>
      <c r="AB20" s="66">
        <v>7.8</v>
      </c>
      <c r="AC20" s="67">
        <v>7.09</v>
      </c>
      <c r="AD20" s="65">
        <v>2340</v>
      </c>
      <c r="AE20" s="65">
        <v>168</v>
      </c>
      <c r="AF20" s="67">
        <v>6.15</v>
      </c>
      <c r="AG20" s="67">
        <v>7.78</v>
      </c>
      <c r="AH20" s="67">
        <v>3.91</v>
      </c>
    </row>
    <row r="21" spans="1:34">
      <c r="A21" s="50"/>
      <c r="B21" s="50"/>
      <c r="C21" s="50"/>
      <c r="D21" s="50"/>
      <c r="E21" s="57" t="s">
        <v>52</v>
      </c>
      <c r="F21" s="50">
        <f>MAX(IF(H5=F3,MAX(_xlfn.CEILING.MATH(B9/MIN(F14,F19)),4),_xlfn.CEILING.MATH(B9/MIN(F14,F19))),2)</f>
        <v>4</v>
      </c>
      <c r="G21" s="50" t="s">
        <v>1</v>
      </c>
      <c r="H21" s="50"/>
      <c r="I21" s="50"/>
      <c r="J21" s="50"/>
      <c r="K21" s="57" t="s">
        <v>61</v>
      </c>
      <c r="L21" s="50">
        <f>0.7*0.66*B20*0.78*((22/7)*0.25*(0.1*B14)^2)</f>
        <v>9.0604800000000001</v>
      </c>
      <c r="M21" s="50" t="s">
        <v>45</v>
      </c>
      <c r="N21" s="50"/>
      <c r="O21" s="50"/>
      <c r="P21" s="50"/>
      <c r="Q21" s="50"/>
      <c r="R21" s="50"/>
      <c r="S21" s="50"/>
    </row>
    <row r="22" spans="1:34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7" t="s">
        <v>62</v>
      </c>
      <c r="L22" s="50">
        <f>_xlfn.CEILING.MATH(SQRT((L19/L21)^2+(L20/F14)^2))</f>
        <v>2</v>
      </c>
      <c r="M22" s="50" t="s">
        <v>1</v>
      </c>
      <c r="N22" s="50"/>
      <c r="O22" s="50"/>
      <c r="P22" s="50"/>
      <c r="Q22" s="50"/>
      <c r="R22" s="50"/>
      <c r="S22" s="50"/>
    </row>
    <row r="23" spans="1:34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</row>
    <row r="24" spans="1:34" ht="2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63" t="s">
        <v>63</v>
      </c>
      <c r="L24" s="50"/>
      <c r="M24" s="50"/>
      <c r="N24" s="50"/>
      <c r="O24" s="50"/>
    </row>
    <row r="25" spans="1:34">
      <c r="A25" s="57"/>
      <c r="B25" s="50"/>
      <c r="C25" s="50"/>
      <c r="D25" s="50"/>
      <c r="E25" s="50"/>
      <c r="F25" s="50"/>
      <c r="G25" s="50"/>
      <c r="H25" s="50"/>
      <c r="I25" s="50"/>
      <c r="J25" s="50"/>
      <c r="K25" s="57" t="s">
        <v>64</v>
      </c>
      <c r="L25" s="50">
        <f>MAX(F21,L22)</f>
        <v>4</v>
      </c>
      <c r="M25" s="50" t="s">
        <v>1</v>
      </c>
      <c r="N25" s="50"/>
      <c r="O25" s="50"/>
      <c r="P25" s="50"/>
      <c r="Q25" s="50"/>
      <c r="R25" s="50"/>
      <c r="S25" s="50"/>
    </row>
    <row r="26" spans="1:34">
      <c r="A26" s="57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</row>
    <row r="27" spans="1:34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34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34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34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34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34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9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</row>
    <row r="34" spans="1:19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9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9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9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9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9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</row>
    <row r="41" spans="1:19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9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9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9">
      <c r="A44" s="50"/>
      <c r="B44" s="50"/>
      <c r="C44" s="50"/>
      <c r="D44" s="50"/>
      <c r="E44" s="69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9">
      <c r="D45" s="69"/>
      <c r="E45" s="69"/>
    </row>
    <row r="50" spans="8:11">
      <c r="H50" s="50"/>
      <c r="I50" s="50"/>
      <c r="J50" s="50"/>
      <c r="K50" s="50"/>
    </row>
    <row r="53" spans="8:11">
      <c r="H53" s="50"/>
      <c r="I53" s="50"/>
      <c r="J53" s="50"/>
      <c r="K53" s="50"/>
    </row>
    <row r="54" spans="8:11">
      <c r="H54" s="50"/>
      <c r="I54" s="50"/>
      <c r="J54" s="50"/>
      <c r="K54" s="50"/>
    </row>
    <row r="61" spans="8:11">
      <c r="H61" s="50"/>
      <c r="I61" s="50"/>
      <c r="J61" s="50"/>
      <c r="K61" s="50"/>
    </row>
  </sheetData>
  <mergeCells count="17">
    <mergeCell ref="B18:C18"/>
    <mergeCell ref="B17:C17"/>
    <mergeCell ref="J8:K8"/>
    <mergeCell ref="L8:M8"/>
    <mergeCell ref="V1:W1"/>
    <mergeCell ref="K18:M18"/>
    <mergeCell ref="F5:G5"/>
    <mergeCell ref="J7:K7"/>
    <mergeCell ref="L7:M7"/>
    <mergeCell ref="K9:N9"/>
    <mergeCell ref="E10:G10"/>
    <mergeCell ref="E16:G16"/>
    <mergeCell ref="AD1:AF1"/>
    <mergeCell ref="B5:C5"/>
    <mergeCell ref="A13:C13"/>
    <mergeCell ref="J6:L6"/>
    <mergeCell ref="Z1:AC1"/>
  </mergeCells>
  <phoneticPr fontId="1" type="noConversion"/>
  <conditionalFormatting sqref="P20:S22 H50:K50 P33:S33 H61:K61 N16">
    <cfRule type="cellIs" dxfId="8" priority="3" operator="equal">
      <formula>"Safe"</formula>
    </cfRule>
  </conditionalFormatting>
  <conditionalFormatting sqref="P20:S22 H50:K50 P33:S33 H61:K61 N16">
    <cfRule type="cellIs" dxfId="7" priority="2" operator="equal">
      <formula>"Unsafe"</formula>
    </cfRule>
  </conditionalFormatting>
  <conditionalFormatting sqref="P26:S26 H54:K54 K9:N9">
    <cfRule type="cellIs" dxfId="6" priority="1" operator="equal">
      <formula>"No Check Block Shear Rupture"</formula>
    </cfRule>
  </conditionalFormatting>
  <dataValidations count="7">
    <dataValidation type="list" allowBlank="1" showInputMessage="1" showErrorMessage="1" sqref="B5" xr:uid="{D43E600D-663D-4FCB-A473-4BC3915FA689}">
      <formula1>$B$1:$B$3</formula1>
    </dataValidation>
    <dataValidation type="list" allowBlank="1" showInputMessage="1" showErrorMessage="1" sqref="B17" xr:uid="{66B348CD-0532-491E-88FD-6924622637AF}">
      <formula1>$A$1:$A$3</formula1>
    </dataValidation>
    <dataValidation type="list" allowBlank="1" showInputMessage="1" showErrorMessage="1" sqref="B18" xr:uid="{1536D81B-098A-43BE-83A7-2E5D525298F6}">
      <formula1>$D$1:$D$7</formula1>
    </dataValidation>
    <dataValidation type="list" allowBlank="1" showInputMessage="1" showErrorMessage="1" sqref="P25:S25 L7:M7 H53:K53" xr:uid="{27D53742-17A7-4463-9AE7-09C19B39E7F9}">
      <formula1>$E$1:$E$2</formula1>
    </dataValidation>
    <dataValidation type="list" allowBlank="1" showInputMessage="1" showErrorMessage="1" sqref="H5" xr:uid="{68C5AD2F-20E6-4A5D-9896-5983BD5CA0B5}">
      <formula1>$F$1:$F$3</formula1>
    </dataValidation>
    <dataValidation type="list" allowBlank="1" showInputMessage="1" showErrorMessage="1" sqref="L8:M8" xr:uid="{4C10CA2E-65C1-42FB-B7AC-D67B6800EF64}">
      <formula1>$G$1:$G$2</formula1>
    </dataValidation>
    <dataValidation type="list" allowBlank="1" showInputMessage="1" showErrorMessage="1" sqref="F5:G5" xr:uid="{47361E12-F570-4EB6-ABDC-2755CDFC204C}">
      <formula1>$U$3:$U$20</formula1>
    </dataValidation>
  </dataValidations>
  <pageMargins left="0.7" right="0.7" top="0.75" bottom="0.75" header="0.3" footer="0.3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D5ED-F5F3-4C17-B06D-704EA87ED84F}">
  <dimension ref="A1:AI20"/>
  <sheetViews>
    <sheetView workbookViewId="0">
      <selection activeCell="C11" sqref="C11"/>
    </sheetView>
  </sheetViews>
  <sheetFormatPr defaultRowHeight="19.5"/>
  <cols>
    <col min="1" max="1" width="8.875" style="10" customWidth="1"/>
    <col min="2" max="2" width="7.625" style="10" customWidth="1"/>
    <col min="3" max="3" width="6.25" style="10" customWidth="1"/>
    <col min="4" max="4" width="6.625" style="10" customWidth="1"/>
    <col min="5" max="5" width="7.75" style="10" customWidth="1"/>
    <col min="6" max="6" width="6" style="10" customWidth="1"/>
    <col min="7" max="7" width="6.25" style="10" customWidth="1"/>
    <col min="8" max="8" width="10.875" style="10" customWidth="1"/>
    <col min="9" max="9" width="8.125" style="10" customWidth="1"/>
    <col min="10" max="10" width="7" style="10" customWidth="1"/>
    <col min="11" max="11" width="6.625" style="10" customWidth="1"/>
    <col min="12" max="12" width="7" style="10" customWidth="1"/>
    <col min="13" max="16384" width="9" style="10"/>
  </cols>
  <sheetData>
    <row r="1" spans="1:35">
      <c r="A1" s="1">
        <v>37</v>
      </c>
      <c r="B1" s="1" t="s">
        <v>6</v>
      </c>
      <c r="U1" s="12" t="s">
        <v>14</v>
      </c>
      <c r="V1" s="28" t="s">
        <v>27</v>
      </c>
      <c r="W1" s="28"/>
      <c r="X1" s="28"/>
      <c r="Y1" s="13" t="s">
        <v>28</v>
      </c>
      <c r="Z1" s="13" t="s">
        <v>29</v>
      </c>
      <c r="AA1" s="28" t="s">
        <v>30</v>
      </c>
      <c r="AB1" s="28"/>
      <c r="AC1" s="28"/>
      <c r="AD1" s="28"/>
      <c r="AE1" s="28" t="s">
        <v>31</v>
      </c>
      <c r="AF1" s="28"/>
      <c r="AG1" s="28"/>
      <c r="AH1" s="13" t="s">
        <v>32</v>
      </c>
      <c r="AI1" s="13" t="s">
        <v>33</v>
      </c>
    </row>
    <row r="2" spans="1:35" ht="22.5">
      <c r="A2" s="1">
        <v>44</v>
      </c>
      <c r="B2" s="1" t="s">
        <v>7</v>
      </c>
      <c r="U2" s="12"/>
      <c r="V2" s="28" t="s">
        <v>11</v>
      </c>
      <c r="W2" s="28"/>
      <c r="X2" s="13" t="s">
        <v>34</v>
      </c>
      <c r="Y2" s="13" t="s">
        <v>87</v>
      </c>
      <c r="Z2" s="13" t="s">
        <v>35</v>
      </c>
      <c r="AA2" s="13" t="s">
        <v>12</v>
      </c>
      <c r="AB2" s="13" t="s">
        <v>36</v>
      </c>
      <c r="AC2" s="13" t="s">
        <v>88</v>
      </c>
      <c r="AD2" s="13" t="s">
        <v>89</v>
      </c>
      <c r="AE2" s="13" t="s">
        <v>90</v>
      </c>
      <c r="AF2" s="13" t="s">
        <v>91</v>
      </c>
      <c r="AG2" s="13" t="s">
        <v>92</v>
      </c>
      <c r="AH2" s="13" t="s">
        <v>93</v>
      </c>
      <c r="AI2" s="13" t="s">
        <v>94</v>
      </c>
    </row>
    <row r="3" spans="1:35">
      <c r="A3" s="1">
        <v>52</v>
      </c>
      <c r="B3" s="1" t="s">
        <v>66</v>
      </c>
      <c r="U3" s="12" t="s">
        <v>15</v>
      </c>
      <c r="V3" s="29">
        <v>45</v>
      </c>
      <c r="W3" s="29"/>
      <c r="X3" s="14">
        <v>5</v>
      </c>
      <c r="Y3" s="15">
        <v>4.3</v>
      </c>
      <c r="Z3" s="16">
        <v>3.38</v>
      </c>
      <c r="AA3" s="16">
        <v>1.28</v>
      </c>
      <c r="AB3" s="16">
        <v>3.18</v>
      </c>
      <c r="AC3" s="16">
        <v>1.81</v>
      </c>
      <c r="AD3" s="16">
        <v>1.58</v>
      </c>
      <c r="AE3" s="16">
        <v>7.83</v>
      </c>
      <c r="AF3" s="16">
        <v>2.4300000000000002</v>
      </c>
      <c r="AG3" s="16">
        <v>1.35</v>
      </c>
      <c r="AH3" s="15">
        <v>1.7</v>
      </c>
      <c r="AI3" s="16">
        <v>0.87</v>
      </c>
    </row>
    <row r="4" spans="1:35">
      <c r="U4" s="12" t="s">
        <v>16</v>
      </c>
      <c r="V4" s="29">
        <v>50</v>
      </c>
      <c r="W4" s="29"/>
      <c r="X4" s="14">
        <v>5</v>
      </c>
      <c r="Y4" s="15">
        <v>4.8</v>
      </c>
      <c r="Z4" s="16">
        <v>3.77</v>
      </c>
      <c r="AA4" s="15">
        <v>1.4</v>
      </c>
      <c r="AB4" s="16">
        <v>3.54</v>
      </c>
      <c r="AC4" s="16">
        <v>1.98</v>
      </c>
      <c r="AD4" s="16">
        <v>1.76</v>
      </c>
      <c r="AE4" s="14">
        <v>11</v>
      </c>
      <c r="AF4" s="16">
        <v>3.05</v>
      </c>
      <c r="AG4" s="16">
        <v>1.51</v>
      </c>
      <c r="AH4" s="15">
        <v>1.9</v>
      </c>
      <c r="AI4" s="16">
        <v>0.98</v>
      </c>
    </row>
    <row r="5" spans="1:35">
      <c r="A5" s="23" t="s">
        <v>0</v>
      </c>
      <c r="B5" s="24">
        <v>37</v>
      </c>
      <c r="C5" s="24"/>
      <c r="E5" s="23" t="s">
        <v>67</v>
      </c>
      <c r="F5" s="24" t="s">
        <v>103</v>
      </c>
      <c r="G5" s="24"/>
      <c r="H5" s="22" t="s">
        <v>7</v>
      </c>
      <c r="J5" s="30" t="s">
        <v>68</v>
      </c>
      <c r="K5" s="30"/>
      <c r="L5" s="30"/>
      <c r="U5" s="12" t="s">
        <v>17</v>
      </c>
      <c r="V5" s="29">
        <v>55</v>
      </c>
      <c r="W5" s="29"/>
      <c r="X5" s="14">
        <v>5</v>
      </c>
      <c r="Y5" s="16">
        <v>5.32</v>
      </c>
      <c r="Z5" s="16">
        <v>4.18</v>
      </c>
      <c r="AA5" s="16">
        <v>1.52</v>
      </c>
      <c r="AB5" s="16">
        <v>3.89</v>
      </c>
      <c r="AC5" s="16">
        <v>2.15</v>
      </c>
      <c r="AD5" s="16">
        <v>1.93</v>
      </c>
      <c r="AE5" s="15">
        <v>14.7</v>
      </c>
      <c r="AF5" s="15">
        <v>3.7</v>
      </c>
      <c r="AG5" s="16">
        <v>1.66</v>
      </c>
      <c r="AH5" s="16">
        <v>2.09</v>
      </c>
      <c r="AI5" s="16">
        <v>1.07</v>
      </c>
    </row>
    <row r="6" spans="1:35" ht="21.75">
      <c r="A6" s="19" t="s">
        <v>69</v>
      </c>
      <c r="B6" s="9">
        <f>IF(B5=A1,2.4,IF(B5=A2,2.8,3.6))</f>
        <v>2.4</v>
      </c>
      <c r="C6" s="9" t="s">
        <v>86</v>
      </c>
      <c r="E6" s="19" t="s">
        <v>37</v>
      </c>
      <c r="F6" s="9">
        <f>VLOOKUP(F5,om6r,2,FALSE)</f>
        <v>110</v>
      </c>
      <c r="G6" s="9" t="s">
        <v>9</v>
      </c>
      <c r="H6" s="9"/>
      <c r="J6" s="19" t="s">
        <v>44</v>
      </c>
      <c r="K6" s="4">
        <v>5</v>
      </c>
      <c r="L6" s="9" t="s">
        <v>45</v>
      </c>
      <c r="U6" s="12" t="s">
        <v>18</v>
      </c>
      <c r="V6" s="29">
        <v>60</v>
      </c>
      <c r="W6" s="29"/>
      <c r="X6" s="14">
        <v>6</v>
      </c>
      <c r="Y6" s="16">
        <v>6.91</v>
      </c>
      <c r="Z6" s="16">
        <v>5.42</v>
      </c>
      <c r="AA6" s="16">
        <v>1.69</v>
      </c>
      <c r="AB6" s="16">
        <v>4.24</v>
      </c>
      <c r="AC6" s="16">
        <v>2.39</v>
      </c>
      <c r="AD6" s="16">
        <v>2.11</v>
      </c>
      <c r="AE6" s="15">
        <v>22.8</v>
      </c>
      <c r="AF6" s="16">
        <v>5.29</v>
      </c>
      <c r="AG6" s="16">
        <v>1.82</v>
      </c>
      <c r="AH6" s="16">
        <v>2.29</v>
      </c>
      <c r="AI6" s="16">
        <v>1.17</v>
      </c>
    </row>
    <row r="7" spans="1:35" ht="21.75">
      <c r="A7" s="19" t="s">
        <v>70</v>
      </c>
      <c r="B7" s="9">
        <f>IF(B5=A1,3.6,IF(B5=A2,4.4,5.2))</f>
        <v>3.6</v>
      </c>
      <c r="C7" s="9" t="s">
        <v>86</v>
      </c>
      <c r="E7" s="19" t="s">
        <v>38</v>
      </c>
      <c r="F7" s="9">
        <f>VLOOKUP(F5,om6r,4,FALSE)</f>
        <v>10</v>
      </c>
      <c r="G7" s="9" t="s">
        <v>9</v>
      </c>
      <c r="H7" s="9"/>
      <c r="J7" s="19" t="s">
        <v>71</v>
      </c>
      <c r="K7" s="4">
        <v>0.5</v>
      </c>
      <c r="L7" s="9" t="s">
        <v>2</v>
      </c>
      <c r="M7" s="10" t="str">
        <f>IF(K7&gt;MIN(0.1*F7,B9),"Unsafe","")</f>
        <v/>
      </c>
      <c r="U7" s="12" t="s">
        <v>19</v>
      </c>
      <c r="V7" s="29">
        <v>65</v>
      </c>
      <c r="W7" s="29"/>
      <c r="X7" s="14">
        <v>7</v>
      </c>
      <c r="Y7" s="15">
        <v>8.6999999999999993</v>
      </c>
      <c r="Z7" s="16">
        <v>6.83</v>
      </c>
      <c r="AA7" s="16">
        <v>1.85</v>
      </c>
      <c r="AB7" s="15">
        <v>4.5999999999999996</v>
      </c>
      <c r="AC7" s="16">
        <v>2.62</v>
      </c>
      <c r="AD7" s="16">
        <v>2.29</v>
      </c>
      <c r="AE7" s="15">
        <v>33.4</v>
      </c>
      <c r="AF7" s="16">
        <v>7.13</v>
      </c>
      <c r="AG7" s="16">
        <v>1.96</v>
      </c>
      <c r="AH7" s="16">
        <v>2.4700000000000002</v>
      </c>
      <c r="AI7" s="16">
        <v>1.26</v>
      </c>
    </row>
    <row r="8" spans="1:35" ht="20.25" thickBot="1">
      <c r="E8" s="19" t="s">
        <v>72</v>
      </c>
      <c r="F8" s="9">
        <f>VLOOKUP(F5,om6r,7,FALSE)</f>
        <v>3.07</v>
      </c>
      <c r="G8" s="9" t="s">
        <v>2</v>
      </c>
      <c r="H8" s="9"/>
      <c r="J8" s="19" t="s">
        <v>41</v>
      </c>
      <c r="K8" s="4">
        <v>2</v>
      </c>
      <c r="L8" s="9" t="s">
        <v>10</v>
      </c>
      <c r="U8" s="12" t="s">
        <v>20</v>
      </c>
      <c r="V8" s="29">
        <v>70</v>
      </c>
      <c r="W8" s="29"/>
      <c r="X8" s="14">
        <v>7</v>
      </c>
      <c r="Y8" s="15">
        <v>9.4</v>
      </c>
      <c r="Z8" s="16">
        <v>7.38</v>
      </c>
      <c r="AA8" s="16">
        <v>1.97</v>
      </c>
      <c r="AB8" s="16">
        <v>4.95</v>
      </c>
      <c r="AC8" s="16">
        <v>2.79</v>
      </c>
      <c r="AD8" s="16">
        <v>2.4700000000000002</v>
      </c>
      <c r="AE8" s="15">
        <v>42.4</v>
      </c>
      <c r="AF8" s="16">
        <v>8.43</v>
      </c>
      <c r="AG8" s="16">
        <v>2.12</v>
      </c>
      <c r="AH8" s="16">
        <v>2.67</v>
      </c>
      <c r="AI8" s="16">
        <v>1.37</v>
      </c>
    </row>
    <row r="9" spans="1:35" ht="21.75" thickBot="1">
      <c r="A9" s="20" t="s">
        <v>102</v>
      </c>
      <c r="B9" s="3">
        <v>1</v>
      </c>
      <c r="C9" s="11" t="s">
        <v>2</v>
      </c>
      <c r="J9" s="19" t="s">
        <v>73</v>
      </c>
      <c r="K9" s="4">
        <v>10</v>
      </c>
      <c r="L9" s="9" t="s">
        <v>2</v>
      </c>
      <c r="U9" s="12" t="s">
        <v>21</v>
      </c>
      <c r="V9" s="29">
        <v>75</v>
      </c>
      <c r="W9" s="29"/>
      <c r="X9" s="14">
        <v>7</v>
      </c>
      <c r="Y9" s="15">
        <v>10.1</v>
      </c>
      <c r="Z9" s="16">
        <v>7.94</v>
      </c>
      <c r="AA9" s="16">
        <v>2.0299999999999998</v>
      </c>
      <c r="AB9" s="15">
        <v>5.3</v>
      </c>
      <c r="AC9" s="16">
        <v>2.87</v>
      </c>
      <c r="AD9" s="16">
        <v>2.63</v>
      </c>
      <c r="AE9" s="15">
        <v>52.4</v>
      </c>
      <c r="AF9" s="16">
        <v>8.67</v>
      </c>
      <c r="AG9" s="16">
        <v>2.2799999999999998</v>
      </c>
      <c r="AH9" s="16">
        <v>2.88</v>
      </c>
      <c r="AI9" s="16">
        <v>1.45</v>
      </c>
    </row>
    <row r="10" spans="1:35" ht="22.5" thickBot="1">
      <c r="E10" s="30" t="s">
        <v>74</v>
      </c>
      <c r="F10" s="30"/>
      <c r="G10" s="30"/>
      <c r="J10" s="19" t="s">
        <v>75</v>
      </c>
      <c r="K10" s="9">
        <f>K6/(K7*K8*K9)</f>
        <v>0.5</v>
      </c>
      <c r="L10" s="9" t="s">
        <v>86</v>
      </c>
      <c r="M10" s="2" t="str">
        <f>IF(K10&lt;=0.7*0.4*B7,"Safe","Unsafe")</f>
        <v>Safe</v>
      </c>
      <c r="N10" s="31" t="str">
        <f>IF(M10="Unsafe","increase weld size or lenth","")</f>
        <v/>
      </c>
      <c r="O10" s="32"/>
      <c r="P10" s="32"/>
      <c r="U10" s="12" t="s">
        <v>22</v>
      </c>
      <c r="V10" s="29">
        <v>80</v>
      </c>
      <c r="W10" s="29"/>
      <c r="X10" s="14">
        <v>8</v>
      </c>
      <c r="Y10" s="15">
        <v>12.3</v>
      </c>
      <c r="Z10" s="16">
        <v>9.66</v>
      </c>
      <c r="AA10" s="16">
        <v>2.2599999999999998</v>
      </c>
      <c r="AB10" s="16">
        <v>5.66</v>
      </c>
      <c r="AC10" s="15">
        <v>3.2</v>
      </c>
      <c r="AD10" s="16">
        <v>2.82</v>
      </c>
      <c r="AE10" s="15">
        <v>72.3</v>
      </c>
      <c r="AF10" s="15">
        <v>12.6</v>
      </c>
      <c r="AG10" s="16">
        <v>2.42</v>
      </c>
      <c r="AH10" s="16">
        <v>3.06</v>
      </c>
      <c r="AI10" s="16">
        <v>1.55</v>
      </c>
    </row>
    <row r="11" spans="1:35">
      <c r="E11" s="18" t="s">
        <v>76</v>
      </c>
      <c r="F11" s="4">
        <v>32</v>
      </c>
      <c r="G11" s="9" t="s">
        <v>45</v>
      </c>
      <c r="U11" s="12" t="s">
        <v>23</v>
      </c>
      <c r="V11" s="29">
        <v>90</v>
      </c>
      <c r="W11" s="29"/>
      <c r="X11" s="14">
        <v>9</v>
      </c>
      <c r="Y11" s="15">
        <v>15.5</v>
      </c>
      <c r="Z11" s="15">
        <v>12.2</v>
      </c>
      <c r="AA11" s="16">
        <v>2.54</v>
      </c>
      <c r="AB11" s="16">
        <v>6.36</v>
      </c>
      <c r="AC11" s="16">
        <v>3.59</v>
      </c>
      <c r="AD11" s="16">
        <v>3.18</v>
      </c>
      <c r="AE11" s="14">
        <v>116</v>
      </c>
      <c r="AF11" s="14">
        <v>18</v>
      </c>
      <c r="AG11" s="16">
        <v>2.74</v>
      </c>
      <c r="AH11" s="16">
        <v>3.45</v>
      </c>
      <c r="AI11" s="16">
        <v>1.76</v>
      </c>
    </row>
    <row r="12" spans="1:35">
      <c r="E12" s="19" t="s">
        <v>77</v>
      </c>
      <c r="F12" s="9">
        <f>F11*((10*F8)/F6)</f>
        <v>8.9309090909090916</v>
      </c>
      <c r="G12" s="9" t="s">
        <v>45</v>
      </c>
      <c r="J12" s="30" t="s">
        <v>78</v>
      </c>
      <c r="K12" s="30"/>
      <c r="L12" s="30"/>
      <c r="U12" s="12" t="s">
        <v>24</v>
      </c>
      <c r="V12" s="29">
        <v>100</v>
      </c>
      <c r="W12" s="29"/>
      <c r="X12" s="14">
        <v>10</v>
      </c>
      <c r="Y12" s="15">
        <v>19.2</v>
      </c>
      <c r="Z12" s="15">
        <v>15.1</v>
      </c>
      <c r="AA12" s="16">
        <v>2.82</v>
      </c>
      <c r="AB12" s="16">
        <v>7.07</v>
      </c>
      <c r="AC12" s="16">
        <v>3.99</v>
      </c>
      <c r="AD12" s="16">
        <v>3.54</v>
      </c>
      <c r="AE12" s="14">
        <v>177</v>
      </c>
      <c r="AF12" s="15">
        <v>24.7</v>
      </c>
      <c r="AG12" s="16">
        <v>3.04</v>
      </c>
      <c r="AH12" s="16">
        <v>3.82</v>
      </c>
      <c r="AI12" s="16">
        <v>1.95</v>
      </c>
    </row>
    <row r="13" spans="1:35">
      <c r="E13" s="19" t="s">
        <v>79</v>
      </c>
      <c r="F13" s="9">
        <f>F11*((F6-10*F8)/F6)</f>
        <v>23.069090909090907</v>
      </c>
      <c r="G13" s="9" t="s">
        <v>45</v>
      </c>
      <c r="J13" s="19" t="s">
        <v>42</v>
      </c>
      <c r="K13" s="4">
        <v>5</v>
      </c>
      <c r="L13" s="9" t="s">
        <v>45</v>
      </c>
      <c r="U13" s="5" t="s">
        <v>103</v>
      </c>
      <c r="V13" s="27">
        <v>110</v>
      </c>
      <c r="W13" s="27"/>
      <c r="X13" s="6">
        <v>10</v>
      </c>
      <c r="Y13" s="7">
        <v>21.2</v>
      </c>
      <c r="Z13" s="7">
        <v>16.600000000000001</v>
      </c>
      <c r="AA13" s="8">
        <v>3.07</v>
      </c>
      <c r="AB13" s="8">
        <v>7.78</v>
      </c>
      <c r="AC13" s="8">
        <v>4.34</v>
      </c>
      <c r="AD13" s="8">
        <v>3.89</v>
      </c>
      <c r="AE13" s="6">
        <v>239</v>
      </c>
      <c r="AF13" s="7">
        <v>30.1</v>
      </c>
      <c r="AG13" s="8">
        <v>3.36</v>
      </c>
      <c r="AH13" s="8">
        <v>4.2300000000000004</v>
      </c>
      <c r="AI13" s="8">
        <v>2.16</v>
      </c>
    </row>
    <row r="14" spans="1:35">
      <c r="E14" s="19" t="s">
        <v>71</v>
      </c>
      <c r="F14" s="4">
        <v>0.5</v>
      </c>
      <c r="G14" s="9" t="s">
        <v>2</v>
      </c>
      <c r="H14" s="10" t="str">
        <f>IF(F14&gt;MIN(0.1*F7,B9),"Unsafe","")</f>
        <v/>
      </c>
      <c r="J14" s="19" t="s">
        <v>80</v>
      </c>
      <c r="K14" s="4">
        <v>2</v>
      </c>
      <c r="L14" s="9" t="s">
        <v>45</v>
      </c>
      <c r="U14" s="21" t="s">
        <v>95</v>
      </c>
      <c r="V14" s="33">
        <v>120</v>
      </c>
      <c r="W14" s="33"/>
      <c r="X14" s="17">
        <v>12</v>
      </c>
      <c r="Y14" s="7">
        <v>27.5</v>
      </c>
      <c r="Z14" s="7">
        <v>21.6</v>
      </c>
      <c r="AA14" s="7">
        <v>3.4</v>
      </c>
      <c r="AB14" s="8">
        <v>8.49</v>
      </c>
      <c r="AC14" s="7">
        <v>4.8</v>
      </c>
      <c r="AD14" s="8">
        <v>4.26</v>
      </c>
      <c r="AE14" s="6">
        <v>368</v>
      </c>
      <c r="AF14" s="7">
        <v>42.7</v>
      </c>
      <c r="AG14" s="8">
        <v>3.65</v>
      </c>
      <c r="AH14" s="7">
        <v>4.5999999999999996</v>
      </c>
      <c r="AI14" s="8">
        <v>2.35</v>
      </c>
    </row>
    <row r="15" spans="1:35">
      <c r="E15" s="19" t="s">
        <v>41</v>
      </c>
      <c r="F15" s="9">
        <f>IF(H5=B1,1,2)</f>
        <v>2</v>
      </c>
      <c r="G15" s="9" t="s">
        <v>10</v>
      </c>
      <c r="H15" s="10" t="str">
        <f>IF(F18&gt;70*F14,"Increase Size","")</f>
        <v/>
      </c>
      <c r="J15" s="19" t="s">
        <v>71</v>
      </c>
      <c r="K15" s="4">
        <v>0.5</v>
      </c>
      <c r="L15" s="9" t="s">
        <v>2</v>
      </c>
      <c r="M15" s="10" t="str">
        <f>IF(K15&gt;MIN(0.1*F7,B9),"Unsafe","")</f>
        <v/>
      </c>
      <c r="U15" s="21" t="s">
        <v>96</v>
      </c>
      <c r="V15" s="25">
        <v>130</v>
      </c>
      <c r="W15" s="26"/>
      <c r="X15" s="17">
        <v>12</v>
      </c>
      <c r="Y15" s="6">
        <v>30</v>
      </c>
      <c r="Z15" s="7">
        <v>23.6</v>
      </c>
      <c r="AA15" s="8">
        <v>3.64</v>
      </c>
      <c r="AB15" s="8">
        <v>9.19</v>
      </c>
      <c r="AC15" s="8">
        <v>5.15</v>
      </c>
      <c r="AD15" s="7">
        <v>4.5999999999999996</v>
      </c>
      <c r="AE15" s="6">
        <v>472</v>
      </c>
      <c r="AF15" s="7">
        <v>50.4</v>
      </c>
      <c r="AG15" s="8">
        <v>3.97</v>
      </c>
      <c r="AH15" s="6">
        <v>5</v>
      </c>
      <c r="AI15" s="8">
        <v>2.54</v>
      </c>
    </row>
    <row r="16" spans="1:35">
      <c r="E16" s="19" t="s">
        <v>83</v>
      </c>
      <c r="F16" s="9">
        <f>MAX(5,4*F14,_xlfn.CEILING.MATH(F13/(0.7*F14*F15*0.4*B7)))</f>
        <v>23</v>
      </c>
      <c r="G16" s="9" t="s">
        <v>2</v>
      </c>
      <c r="J16" s="19" t="s">
        <v>41</v>
      </c>
      <c r="K16" s="4">
        <v>2</v>
      </c>
      <c r="L16" s="9" t="s">
        <v>10</v>
      </c>
      <c r="U16" s="21" t="s">
        <v>97</v>
      </c>
      <c r="V16" s="25">
        <v>140</v>
      </c>
      <c r="W16" s="26"/>
      <c r="X16" s="17">
        <v>13</v>
      </c>
      <c r="Y16" s="6">
        <v>35</v>
      </c>
      <c r="Z16" s="7">
        <v>27.5</v>
      </c>
      <c r="AA16" s="8">
        <v>3.92</v>
      </c>
      <c r="AB16" s="7">
        <v>9.9</v>
      </c>
      <c r="AC16" s="8">
        <v>5.54</v>
      </c>
      <c r="AD16" s="8">
        <v>4.96</v>
      </c>
      <c r="AE16" s="6">
        <v>638</v>
      </c>
      <c r="AF16" s="7">
        <v>63.3</v>
      </c>
      <c r="AG16" s="8">
        <v>4.2699999999999996</v>
      </c>
      <c r="AH16" s="8">
        <v>5.38</v>
      </c>
      <c r="AI16" s="8">
        <v>2.74</v>
      </c>
    </row>
    <row r="17" spans="5:35">
      <c r="E17" s="19" t="s">
        <v>84</v>
      </c>
      <c r="F17" s="9">
        <f>F16+2*F14</f>
        <v>24</v>
      </c>
      <c r="G17" s="9" t="s">
        <v>2</v>
      </c>
      <c r="H17" s="10" t="str">
        <f>IF(F16&gt;70*F14,"Increase Size","")</f>
        <v/>
      </c>
      <c r="J17" s="19" t="s">
        <v>73</v>
      </c>
      <c r="K17" s="4">
        <v>10</v>
      </c>
      <c r="L17" s="9" t="s">
        <v>2</v>
      </c>
      <c r="U17" s="21" t="s">
        <v>98</v>
      </c>
      <c r="V17" s="25">
        <v>150</v>
      </c>
      <c r="W17" s="26"/>
      <c r="X17" s="17">
        <v>14</v>
      </c>
      <c r="Y17" s="7">
        <v>40.299999999999997</v>
      </c>
      <c r="Z17" s="7">
        <v>31.6</v>
      </c>
      <c r="AA17" s="8">
        <v>4.21</v>
      </c>
      <c r="AB17" s="7">
        <v>10.6</v>
      </c>
      <c r="AC17" s="8">
        <v>5.95</v>
      </c>
      <c r="AD17" s="8">
        <v>5.31</v>
      </c>
      <c r="AE17" s="6">
        <v>845</v>
      </c>
      <c r="AF17" s="7">
        <v>78.2</v>
      </c>
      <c r="AG17" s="8">
        <v>4.58</v>
      </c>
      <c r="AH17" s="8">
        <v>5.77</v>
      </c>
      <c r="AI17" s="8">
        <v>2.94</v>
      </c>
    </row>
    <row r="18" spans="5:35" ht="22.5" thickBot="1">
      <c r="E18" s="19" t="s">
        <v>81</v>
      </c>
      <c r="F18" s="9">
        <f>MAX(5,4*F14,_xlfn.CEILING.MATH(F12/(0.7*F14*F15*0.4*B7)))</f>
        <v>9</v>
      </c>
      <c r="G18" s="9" t="s">
        <v>2</v>
      </c>
      <c r="J18" s="19" t="s">
        <v>75</v>
      </c>
      <c r="K18" s="9">
        <f>K13/(K15*K16*K17)</f>
        <v>0.5</v>
      </c>
      <c r="L18" s="9" t="s">
        <v>86</v>
      </c>
      <c r="U18" s="21" t="s">
        <v>99</v>
      </c>
      <c r="V18" s="25">
        <v>160</v>
      </c>
      <c r="W18" s="26"/>
      <c r="X18" s="17">
        <v>15</v>
      </c>
      <c r="Y18" s="7">
        <v>46.1</v>
      </c>
      <c r="Z18" s="7">
        <v>36.200000000000003</v>
      </c>
      <c r="AA18" s="8">
        <v>4.49</v>
      </c>
      <c r="AB18" s="7">
        <v>11.3</v>
      </c>
      <c r="AC18" s="8">
        <v>6.35</v>
      </c>
      <c r="AD18" s="8">
        <v>5.67</v>
      </c>
      <c r="AE18" s="6">
        <v>1100</v>
      </c>
      <c r="AF18" s="7">
        <v>95.6</v>
      </c>
      <c r="AG18" s="8">
        <v>4.88</v>
      </c>
      <c r="AH18" s="8">
        <v>6.15</v>
      </c>
      <c r="AI18" s="8">
        <v>3.14</v>
      </c>
    </row>
    <row r="19" spans="5:35" ht="22.5" thickBot="1">
      <c r="E19" s="19" t="s">
        <v>82</v>
      </c>
      <c r="F19" s="9">
        <f>F18+2*F14</f>
        <v>10</v>
      </c>
      <c r="G19" s="9" t="s">
        <v>2</v>
      </c>
      <c r="J19" s="19" t="s">
        <v>85</v>
      </c>
      <c r="K19" s="9">
        <f>K14/(K15*K16*K17)</f>
        <v>0.2</v>
      </c>
      <c r="L19" s="9" t="s">
        <v>86</v>
      </c>
      <c r="M19" s="2" t="str">
        <f>IF(SQRT((K18)^2+3*(K19)^2)&lt;=0.7*1.1*0.4*B7,"Safe","Unsafe")</f>
        <v>Safe</v>
      </c>
      <c r="N19" s="31" t="str">
        <f>IF(M19="Unsafe","increase weld size or lenth","")</f>
        <v/>
      </c>
      <c r="O19" s="32"/>
      <c r="P19" s="32"/>
      <c r="U19" s="21" t="s">
        <v>100</v>
      </c>
      <c r="V19" s="25">
        <v>180</v>
      </c>
      <c r="W19" s="26"/>
      <c r="X19" s="17">
        <v>16</v>
      </c>
      <c r="Y19" s="7">
        <v>55.4</v>
      </c>
      <c r="Z19" s="7">
        <v>43.5</v>
      </c>
      <c r="AA19" s="8">
        <v>5.0199999999999996</v>
      </c>
      <c r="AB19" s="7">
        <v>12.7</v>
      </c>
      <c r="AC19" s="8">
        <v>7.11</v>
      </c>
      <c r="AD19" s="8">
        <v>6.39</v>
      </c>
      <c r="AE19" s="6">
        <v>1680</v>
      </c>
      <c r="AF19" s="6">
        <v>130</v>
      </c>
      <c r="AG19" s="8">
        <v>5.51</v>
      </c>
      <c r="AH19" s="8">
        <v>6.96</v>
      </c>
      <c r="AI19" s="7">
        <v>3.5</v>
      </c>
    </row>
    <row r="20" spans="5:35">
      <c r="U20" s="21" t="s">
        <v>101</v>
      </c>
      <c r="V20" s="25">
        <v>200</v>
      </c>
      <c r="W20" s="26"/>
      <c r="X20" s="17">
        <v>16</v>
      </c>
      <c r="Y20" s="7">
        <v>61.8</v>
      </c>
      <c r="Z20" s="7">
        <v>48.5</v>
      </c>
      <c r="AA20" s="8">
        <v>5.52</v>
      </c>
      <c r="AB20" s="7">
        <v>14.1</v>
      </c>
      <c r="AC20" s="7">
        <v>7.8</v>
      </c>
      <c r="AD20" s="8">
        <v>7.09</v>
      </c>
      <c r="AE20" s="6">
        <v>2340</v>
      </c>
      <c r="AF20" s="6">
        <v>168</v>
      </c>
      <c r="AG20" s="8">
        <v>6.15</v>
      </c>
      <c r="AH20" s="8">
        <v>7.78</v>
      </c>
      <c r="AI20" s="8">
        <v>3.91</v>
      </c>
    </row>
  </sheetData>
  <mergeCells count="29">
    <mergeCell ref="J12:L12"/>
    <mergeCell ref="V12:W12"/>
    <mergeCell ref="N19:P19"/>
    <mergeCell ref="V6:W6"/>
    <mergeCell ref="V7:W7"/>
    <mergeCell ref="V8:W8"/>
    <mergeCell ref="V9:W9"/>
    <mergeCell ref="V14:W14"/>
    <mergeCell ref="V19:W19"/>
    <mergeCell ref="V18:W18"/>
    <mergeCell ref="V17:W17"/>
    <mergeCell ref="V16:W16"/>
    <mergeCell ref="V15:W15"/>
    <mergeCell ref="E10:G10"/>
    <mergeCell ref="N10:P10"/>
    <mergeCell ref="V10:W10"/>
    <mergeCell ref="V4:W4"/>
    <mergeCell ref="B5:C5"/>
    <mergeCell ref="F5:G5"/>
    <mergeCell ref="J5:L5"/>
    <mergeCell ref="V5:W5"/>
    <mergeCell ref="V20:W20"/>
    <mergeCell ref="V13:W13"/>
    <mergeCell ref="V1:X1"/>
    <mergeCell ref="AA1:AD1"/>
    <mergeCell ref="AE1:AG1"/>
    <mergeCell ref="V2:W2"/>
    <mergeCell ref="V3:W3"/>
    <mergeCell ref="V11:W11"/>
  </mergeCells>
  <conditionalFormatting sqref="O12">
    <cfRule type="cellIs" dxfId="5" priority="5" operator="equal">
      <formula>"unsafe"</formula>
    </cfRule>
    <cfRule type="cellIs" dxfId="4" priority="6" operator="equal">
      <formula>"safe"</formula>
    </cfRule>
  </conditionalFormatting>
  <conditionalFormatting sqref="M10">
    <cfRule type="cellIs" dxfId="3" priority="3" operator="equal">
      <formula>"unsafe"</formula>
    </cfRule>
    <cfRule type="cellIs" dxfId="2" priority="4" operator="equal">
      <formula>"safe"</formula>
    </cfRule>
  </conditionalFormatting>
  <conditionalFormatting sqref="M19">
    <cfRule type="cellIs" dxfId="1" priority="1" operator="equal">
      <formula>"unsafe"</formula>
    </cfRule>
    <cfRule type="cellIs" dxfId="0" priority="2" operator="equal">
      <formula>"safe"</formula>
    </cfRule>
  </conditionalFormatting>
  <dataValidations count="3">
    <dataValidation type="list" allowBlank="1" showInputMessage="1" showErrorMessage="1" sqref="B5:D5" xr:uid="{7972B45D-190A-4D88-9CB8-82E590B49748}">
      <formula1>$A$1:$A$3</formula1>
    </dataValidation>
    <dataValidation type="list" allowBlank="1" showInputMessage="1" showErrorMessage="1" sqref="H5" xr:uid="{140544A3-5ACF-4F7C-A9ED-812A23CEAEC2}">
      <formula1>$B$1:$B$3</formula1>
    </dataValidation>
    <dataValidation type="list" allowBlank="1" showInputMessage="1" showErrorMessage="1" sqref="F5:G5" xr:uid="{1D36AB6B-3A1A-4471-9522-049D3624115D}">
      <formula1>$U$3:$U$20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Bolted</vt:lpstr>
      <vt:lpstr>Welded</vt:lpstr>
      <vt:lpstr>om6r</vt:lpstr>
      <vt:lpstr>om8r</vt:lpstr>
      <vt:lpstr>Bolted!Print_Area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Windows User</cp:lastModifiedBy>
  <cp:lastPrinted>2021-12-28T16:00:37Z</cp:lastPrinted>
  <dcterms:created xsi:type="dcterms:W3CDTF">2019-09-13T20:19:34Z</dcterms:created>
  <dcterms:modified xsi:type="dcterms:W3CDTF">2022-09-05T20:16:11Z</dcterms:modified>
</cp:coreProperties>
</file>