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Study\all about steel structure\Excel Sheets\my sheets\LRFD\"/>
    </mc:Choice>
  </mc:AlternateContent>
  <xr:revisionPtr revIDLastSave="0" documentId="13_ncr:1_{0FBE1B87-A053-4663-81E1-C11D57A46135}" xr6:coauthVersionLast="47" xr6:coauthVersionMax="47" xr10:uidLastSave="{00000000-0000-0000-0000-000000000000}"/>
  <bookViews>
    <workbookView xWindow="-120" yWindow="-120" windowWidth="20730" windowHeight="11310" activeTab="2" xr2:uid="{C64C55AB-7F71-40F6-8D51-5B8031649331}"/>
  </bookViews>
  <sheets>
    <sheet name="IPE" sheetId="2" r:id="rId1"/>
    <sheet name="IPE sheet answer" sheetId="7" r:id="rId2"/>
    <sheet name="Haunch" sheetId="6" r:id="rId3"/>
    <sheet name="BUS" sheetId="1" r:id="rId4"/>
    <sheet name="HEB" sheetId="3" r:id="rId5"/>
    <sheet name="HEA" sheetId="4" r:id="rId6"/>
    <sheet name="HEM" sheetId="5" r:id="rId7"/>
  </sheets>
  <definedNames>
    <definedName name="_xlnm.Print_Area" localSheetId="3">BUS!$A$4:$I$33</definedName>
    <definedName name="_xlnm.Print_Area" localSheetId="2">Haunch!$A$4:$Q$48</definedName>
    <definedName name="_xlnm.Print_Area" localSheetId="0">IPE!$A$4:$L$37</definedName>
    <definedName name="_xlnm.Print_Area" localSheetId="1">'IPE sheet answer'!$A$4:$Q$46</definedName>
    <definedName name="table" localSheetId="2">Haunch!$U$2:$AJ$21</definedName>
    <definedName name="table" localSheetId="1">'IPE sheet answer'!$U$2:$AJ$21</definedName>
    <definedName name="table">IPE!$U$2:$AJ$21</definedName>
    <definedName name="table2">HEB!$S$2:$AG$27</definedName>
    <definedName name="table3">HEA!$R$2:$AE$27</definedName>
    <definedName name="table4">HEM!$S$2:$AF$28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7" l="1"/>
  <c r="B31" i="7"/>
  <c r="B30" i="7"/>
  <c r="B28" i="7"/>
  <c r="B29" i="7" s="1"/>
  <c r="B27" i="7"/>
  <c r="B26" i="7"/>
  <c r="B25" i="7"/>
  <c r="B21" i="7"/>
  <c r="B20" i="7"/>
  <c r="B19" i="7"/>
  <c r="B18" i="7"/>
  <c r="B17" i="7"/>
  <c r="B16" i="7"/>
  <c r="B15" i="7"/>
  <c r="B10" i="7"/>
  <c r="B5" i="7"/>
  <c r="B31" i="6"/>
  <c r="J29" i="6" s="1"/>
  <c r="K28" i="6" s="1"/>
  <c r="B30" i="6"/>
  <c r="B28" i="6"/>
  <c r="B29" i="6" s="1"/>
  <c r="B27" i="6"/>
  <c r="B26" i="6"/>
  <c r="B25" i="6"/>
  <c r="B21" i="6"/>
  <c r="B20" i="6"/>
  <c r="B19" i="6"/>
  <c r="B18" i="6"/>
  <c r="B17" i="6"/>
  <c r="B16" i="6"/>
  <c r="B15" i="6"/>
  <c r="B10" i="6"/>
  <c r="B6" i="6"/>
  <c r="B5" i="6"/>
  <c r="B10" i="2"/>
  <c r="L46" i="7" l="1"/>
  <c r="N46" i="7" s="1"/>
  <c r="F22" i="6"/>
  <c r="F14" i="7"/>
  <c r="F18" i="7"/>
  <c r="F23" i="7" s="1"/>
  <c r="F22" i="7"/>
  <c r="F29" i="7"/>
  <c r="F30" i="7" s="1"/>
  <c r="F31" i="7" s="1"/>
  <c r="F32" i="7" s="1"/>
  <c r="F13" i="7"/>
  <c r="F15" i="7"/>
  <c r="G15" i="7" s="1"/>
  <c r="J29" i="7"/>
  <c r="F19" i="7"/>
  <c r="F20" i="7" s="1"/>
  <c r="F21" i="7" s="1"/>
  <c r="F29" i="6"/>
  <c r="F30" i="6" s="1"/>
  <c r="F31" i="6" s="1"/>
  <c r="F32" i="6" s="1"/>
  <c r="F18" i="6"/>
  <c r="F23" i="6" s="1"/>
  <c r="F13" i="6"/>
  <c r="F15" i="6"/>
  <c r="G15" i="6" s="1"/>
  <c r="F19" i="6"/>
  <c r="F20" i="6" s="1"/>
  <c r="F21" i="6" s="1"/>
  <c r="M48" i="6"/>
  <c r="O48" i="6" s="1"/>
  <c r="F14" i="6"/>
  <c r="J30" i="6"/>
  <c r="J31" i="6" s="1"/>
  <c r="J32" i="6" s="1"/>
  <c r="H49" i="6" l="1"/>
  <c r="H48" i="6"/>
  <c r="H47" i="7"/>
  <c r="H46" i="7"/>
  <c r="G14" i="7"/>
  <c r="I14" i="7" s="1"/>
  <c r="F24" i="7"/>
  <c r="E23" i="6"/>
  <c r="G23" i="6"/>
  <c r="G14" i="6"/>
  <c r="I14" i="6" s="1"/>
  <c r="E23" i="7"/>
  <c r="G23" i="7"/>
  <c r="G29" i="7"/>
  <c r="G29" i="6"/>
  <c r="E25" i="7"/>
  <c r="F25" i="7"/>
  <c r="G25" i="7"/>
  <c r="G24" i="7"/>
  <c r="G47" i="7" s="1"/>
  <c r="E24" i="7"/>
  <c r="K29" i="7"/>
  <c r="J30" i="7"/>
  <c r="J31" i="7" s="1"/>
  <c r="J32" i="7" s="1"/>
  <c r="E46" i="7"/>
  <c r="E47" i="7"/>
  <c r="E25" i="6"/>
  <c r="G25" i="6"/>
  <c r="F25" i="6"/>
  <c r="E24" i="6"/>
  <c r="E49" i="6"/>
  <c r="E48" i="6"/>
  <c r="G24" i="6"/>
  <c r="G49" i="6" s="1"/>
  <c r="I49" i="6" s="1"/>
  <c r="F24" i="6"/>
  <c r="L44" i="6" l="1"/>
  <c r="N44" i="6" s="1"/>
  <c r="I47" i="7"/>
  <c r="G48" i="6"/>
  <c r="I48" i="6" s="1"/>
  <c r="G46" i="7"/>
  <c r="I46" i="7" s="1"/>
  <c r="K43" i="7"/>
  <c r="M43" i="7" s="1"/>
  <c r="C13" i="5"/>
  <c r="C12" i="5"/>
  <c r="C30" i="4"/>
  <c r="C29" i="4"/>
  <c r="C27" i="4"/>
  <c r="C26" i="4"/>
  <c r="C25" i="4"/>
  <c r="C24" i="4"/>
  <c r="C23" i="4"/>
  <c r="C22" i="4"/>
  <c r="C21" i="4"/>
  <c r="C20" i="4"/>
  <c r="C19" i="4"/>
  <c r="C13" i="4"/>
  <c r="C12" i="4"/>
  <c r="C28" i="3"/>
  <c r="C29" i="3" s="1"/>
  <c r="C27" i="3"/>
  <c r="C25" i="3"/>
  <c r="C24" i="3"/>
  <c r="C23" i="3"/>
  <c r="C22" i="3"/>
  <c r="C21" i="3"/>
  <c r="C20" i="3"/>
  <c r="G19" i="3"/>
  <c r="H19" i="3" s="1"/>
  <c r="C19" i="3"/>
  <c r="C18" i="3"/>
  <c r="C17" i="3"/>
  <c r="C16" i="3"/>
  <c r="C13" i="3"/>
  <c r="C12" i="3"/>
  <c r="B31" i="2"/>
  <c r="J24" i="2" s="1"/>
  <c r="B30" i="2"/>
  <c r="F24" i="2" s="1"/>
  <c r="B28" i="2"/>
  <c r="B27" i="2"/>
  <c r="B26" i="2"/>
  <c r="B25" i="2"/>
  <c r="B21" i="2"/>
  <c r="B20" i="2"/>
  <c r="B19" i="2"/>
  <c r="B18" i="2"/>
  <c r="B17" i="2"/>
  <c r="F13" i="2" s="1"/>
  <c r="B16" i="2"/>
  <c r="B15" i="2"/>
  <c r="B6" i="2"/>
  <c r="B5" i="2"/>
  <c r="G20" i="3" l="1"/>
  <c r="H20" i="3" s="1"/>
  <c r="F12" i="2"/>
  <c r="G13" i="2" s="1"/>
  <c r="C28" i="4"/>
  <c r="N17" i="4" s="1"/>
  <c r="K29" i="3"/>
  <c r="L29" i="3" s="1"/>
  <c r="G14" i="4"/>
  <c r="H14" i="4" s="1"/>
  <c r="C30" i="3"/>
  <c r="C31" i="3" s="1"/>
  <c r="C32" i="3" s="1"/>
  <c r="F25" i="2"/>
  <c r="J25" i="2"/>
  <c r="B29" i="2"/>
  <c r="F14" i="2"/>
  <c r="G14" i="2" s="1"/>
  <c r="F37" i="2"/>
  <c r="G37" i="2" s="1"/>
  <c r="B33" i="2"/>
  <c r="B34" i="2" s="1"/>
  <c r="B35" i="2" s="1"/>
  <c r="B32" i="2"/>
  <c r="I26" i="3"/>
  <c r="J26" i="3" s="1"/>
  <c r="M19" i="3"/>
  <c r="C26" i="3"/>
  <c r="N24" i="3" s="1"/>
  <c r="G13" i="4"/>
  <c r="H13" i="4" s="1"/>
  <c r="M13" i="4" s="1"/>
  <c r="I25" i="3" l="1"/>
  <c r="J25" i="3" s="1"/>
  <c r="F19" i="2"/>
  <c r="E18" i="2"/>
  <c r="E19" i="2"/>
  <c r="G19" i="2"/>
  <c r="F18" i="2"/>
  <c r="G18" i="2"/>
  <c r="G20" i="2"/>
  <c r="H20" i="2"/>
  <c r="F20" i="2"/>
  <c r="E20" i="2"/>
  <c r="F17" i="2"/>
  <c r="H19" i="2" s="1"/>
  <c r="K24" i="2"/>
  <c r="J26" i="2"/>
  <c r="J27" i="2" s="1"/>
  <c r="G24" i="2"/>
  <c r="F26" i="2"/>
  <c r="F27" i="2" s="1"/>
  <c r="I13" i="2"/>
  <c r="I24" i="3"/>
  <c r="J24" i="3" s="1"/>
  <c r="N25" i="3" s="1"/>
  <c r="G29" i="3" s="1"/>
  <c r="H29" i="3" s="1"/>
  <c r="H18" i="2" l="1"/>
  <c r="K19" i="2" s="1"/>
  <c r="E31" i="2"/>
  <c r="G31" i="2"/>
  <c r="E32" i="2"/>
  <c r="I32" i="2"/>
  <c r="G32" i="2"/>
  <c r="H32" i="2"/>
  <c r="B31" i="1"/>
  <c r="B27" i="1"/>
  <c r="E34" i="2" l="1"/>
  <c r="G34" i="2" s="1"/>
  <c r="H31" i="2"/>
  <c r="I31" i="2" s="1"/>
  <c r="F7" i="1"/>
  <c r="F6" i="1" l="1"/>
  <c r="B32" i="1"/>
  <c r="B25" i="1"/>
  <c r="B23" i="1"/>
  <c r="B22" i="1" s="1"/>
  <c r="B29" i="1" l="1"/>
  <c r="B24" i="1"/>
  <c r="B6" i="1"/>
  <c r="B5" i="1"/>
  <c r="F11" i="1" s="1"/>
  <c r="B30" i="1" l="1"/>
  <c r="F19" i="1"/>
  <c r="G19" i="1" s="1"/>
  <c r="G7" i="1"/>
  <c r="B33" i="1"/>
  <c r="G6" i="1"/>
  <c r="H6" i="1" l="1"/>
  <c r="B26" i="1"/>
  <c r="B28" i="1"/>
  <c r="F12" i="1" l="1"/>
  <c r="F16" i="1" s="1"/>
  <c r="G16" i="1" s="1"/>
</calcChain>
</file>

<file path=xl/sharedStrings.xml><?xml version="1.0" encoding="utf-8"?>
<sst xmlns="http://schemas.openxmlformats.org/spreadsheetml/2006/main" count="716" uniqueCount="165">
  <si>
    <t>Cm.t</t>
  </si>
  <si>
    <t>Ton</t>
  </si>
  <si>
    <t>cm</t>
  </si>
  <si>
    <t>Compact</t>
  </si>
  <si>
    <t>Non-compact</t>
  </si>
  <si>
    <t>Slender</t>
  </si>
  <si>
    <t>unitless</t>
  </si>
  <si>
    <t>Checks :</t>
  </si>
  <si>
    <t>i- Compactness</t>
  </si>
  <si>
    <t>ii- L.T.B</t>
  </si>
  <si>
    <t>iii- Bending</t>
  </si>
  <si>
    <t>iv- Shear</t>
  </si>
  <si>
    <t>Straining Actions :</t>
  </si>
  <si>
    <t>Mux =</t>
  </si>
  <si>
    <t>Nu =</t>
  </si>
  <si>
    <t>Section:</t>
  </si>
  <si>
    <t>Area =</t>
  </si>
  <si>
    <t>X =</t>
  </si>
  <si>
    <t>Properties of section:</t>
  </si>
  <si>
    <t>IPE</t>
  </si>
  <si>
    <t>Sec.</t>
  </si>
  <si>
    <t>Area</t>
  </si>
  <si>
    <t>Weight</t>
  </si>
  <si>
    <t>Dimensions (mm)</t>
  </si>
  <si>
    <t>x-x</t>
  </si>
  <si>
    <t>y-y</t>
  </si>
  <si>
    <t>No.</t>
  </si>
  <si>
    <r>
      <t>(cm</t>
    </r>
    <r>
      <rPr>
        <b/>
        <vertAlign val="superscript"/>
        <sz val="14"/>
        <rFont val="Arial"/>
        <family val="2"/>
        <scheme val="minor"/>
      </rPr>
      <t>2</t>
    </r>
    <r>
      <rPr>
        <b/>
        <sz val="14"/>
        <rFont val="Arial"/>
        <family val="2"/>
        <scheme val="minor"/>
      </rPr>
      <t>)</t>
    </r>
  </si>
  <si>
    <t>(kg/m`)</t>
  </si>
  <si>
    <t>h</t>
  </si>
  <si>
    <t>b</t>
  </si>
  <si>
    <t>s</t>
  </si>
  <si>
    <t>r</t>
  </si>
  <si>
    <t>t</t>
  </si>
  <si>
    <t>c</t>
  </si>
  <si>
    <t>h-2c</t>
  </si>
  <si>
    <r>
      <t>I</t>
    </r>
    <r>
      <rPr>
        <b/>
        <vertAlign val="subscript"/>
        <sz val="14"/>
        <rFont val="Arial"/>
        <family val="2"/>
        <scheme val="minor"/>
      </rPr>
      <t>x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4</t>
    </r>
    <r>
      <rPr>
        <b/>
        <sz val="14"/>
        <rFont val="Arial"/>
        <family val="2"/>
        <scheme val="minor"/>
      </rPr>
      <t>)</t>
    </r>
  </si>
  <si>
    <r>
      <t>S</t>
    </r>
    <r>
      <rPr>
        <b/>
        <vertAlign val="subscript"/>
        <sz val="14"/>
        <rFont val="Arial"/>
        <family val="2"/>
        <scheme val="minor"/>
      </rPr>
      <t>x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3</t>
    </r>
    <r>
      <rPr>
        <b/>
        <sz val="14"/>
        <rFont val="Arial"/>
        <family val="2"/>
        <scheme val="minor"/>
      </rPr>
      <t>)</t>
    </r>
  </si>
  <si>
    <r>
      <t>r</t>
    </r>
    <r>
      <rPr>
        <b/>
        <vertAlign val="subscript"/>
        <sz val="14"/>
        <rFont val="Arial"/>
        <family val="2"/>
        <scheme val="minor"/>
      </rPr>
      <t>x</t>
    </r>
    <r>
      <rPr>
        <b/>
        <sz val="14"/>
        <rFont val="Arial"/>
        <family val="2"/>
        <scheme val="minor"/>
      </rPr>
      <t xml:space="preserve"> (cm)</t>
    </r>
  </si>
  <si>
    <r>
      <t>I</t>
    </r>
    <r>
      <rPr>
        <b/>
        <vertAlign val="subscript"/>
        <sz val="14"/>
        <rFont val="Arial"/>
        <family val="2"/>
        <scheme val="minor"/>
      </rPr>
      <t>y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4</t>
    </r>
    <r>
      <rPr>
        <b/>
        <sz val="14"/>
        <rFont val="Arial"/>
        <family val="2"/>
        <scheme val="minor"/>
      </rPr>
      <t>)</t>
    </r>
  </si>
  <si>
    <r>
      <t>S</t>
    </r>
    <r>
      <rPr>
        <b/>
        <vertAlign val="subscript"/>
        <sz val="14"/>
        <rFont val="Arial"/>
        <family val="2"/>
        <scheme val="minor"/>
      </rPr>
      <t>y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3</t>
    </r>
    <r>
      <rPr>
        <b/>
        <sz val="14"/>
        <rFont val="Arial"/>
        <family val="2"/>
        <scheme val="minor"/>
      </rPr>
      <t>)</t>
    </r>
  </si>
  <si>
    <r>
      <t>r</t>
    </r>
    <r>
      <rPr>
        <b/>
        <vertAlign val="subscript"/>
        <sz val="14"/>
        <rFont val="Arial"/>
        <family val="2"/>
        <scheme val="minor"/>
      </rPr>
      <t>y</t>
    </r>
    <r>
      <rPr>
        <b/>
        <sz val="14"/>
        <rFont val="Arial"/>
        <family val="2"/>
        <scheme val="minor"/>
      </rPr>
      <t xml:space="preserve"> (cm)</t>
    </r>
  </si>
  <si>
    <t>Input Data :</t>
  </si>
  <si>
    <t>Value</t>
  </si>
  <si>
    <t>Unit</t>
  </si>
  <si>
    <t>Steel Type</t>
  </si>
  <si>
    <t xml:space="preserve">Normal </t>
  </si>
  <si>
    <r>
      <t>F</t>
    </r>
    <r>
      <rPr>
        <vertAlign val="subscript"/>
        <sz val="14"/>
        <color theme="1"/>
        <rFont val="Arial"/>
        <family val="2"/>
        <scheme val="minor"/>
      </rPr>
      <t>y</t>
    </r>
  </si>
  <si>
    <r>
      <t>t/cm</t>
    </r>
    <r>
      <rPr>
        <vertAlign val="superscript"/>
        <sz val="14"/>
        <color theme="1"/>
        <rFont val="Arial"/>
        <family val="2"/>
        <scheme val="minor"/>
      </rPr>
      <t>2</t>
    </r>
  </si>
  <si>
    <r>
      <t>F</t>
    </r>
    <r>
      <rPr>
        <vertAlign val="subscript"/>
        <sz val="14"/>
        <color theme="1"/>
        <rFont val="Arial"/>
        <family val="2"/>
        <scheme val="minor"/>
      </rPr>
      <t>u</t>
    </r>
  </si>
  <si>
    <r>
      <t>a= L</t>
    </r>
    <r>
      <rPr>
        <vertAlign val="subscript"/>
        <sz val="14"/>
        <color theme="1"/>
        <rFont val="Arial"/>
        <family val="2"/>
        <scheme val="minor"/>
      </rPr>
      <t>b</t>
    </r>
  </si>
  <si>
    <t xml:space="preserve">Section </t>
  </si>
  <si>
    <t>Checks:</t>
  </si>
  <si>
    <t>mm</t>
  </si>
  <si>
    <r>
      <t>h</t>
    </r>
    <r>
      <rPr>
        <vertAlign val="subscript"/>
        <sz val="14"/>
        <color theme="1"/>
        <rFont val="Arial"/>
        <family val="2"/>
        <scheme val="minor"/>
      </rPr>
      <t>w</t>
    </r>
    <r>
      <rPr>
        <sz val="14"/>
        <color theme="1"/>
        <rFont val="Arial"/>
        <family val="2"/>
        <charset val="178"/>
        <scheme val="minor"/>
      </rPr>
      <t>/t</t>
    </r>
    <r>
      <rPr>
        <vertAlign val="subscript"/>
        <sz val="14"/>
        <color theme="1"/>
        <rFont val="Arial"/>
        <family val="2"/>
        <scheme val="minor"/>
      </rPr>
      <t>w</t>
    </r>
    <r>
      <rPr>
        <sz val="14"/>
        <color theme="1"/>
        <rFont val="Arial"/>
        <family val="2"/>
        <charset val="178"/>
        <scheme val="minor"/>
      </rPr>
      <t xml:space="preserve"> =</t>
    </r>
  </si>
  <si>
    <t>&gt;&gt;&gt;</t>
  </si>
  <si>
    <t xml:space="preserve">The Section is : </t>
  </si>
  <si>
    <r>
      <t>C/t</t>
    </r>
    <r>
      <rPr>
        <vertAlign val="subscript"/>
        <sz val="14"/>
        <color theme="1"/>
        <rFont val="Arial"/>
        <family val="2"/>
        <scheme val="minor"/>
      </rPr>
      <t>f</t>
    </r>
    <r>
      <rPr>
        <sz val="14"/>
        <color theme="1"/>
        <rFont val="Arial"/>
        <family val="2"/>
        <charset val="178"/>
        <scheme val="minor"/>
      </rPr>
      <t xml:space="preserve"> =</t>
    </r>
  </si>
  <si>
    <t>Final</t>
  </si>
  <si>
    <r>
      <t>cm</t>
    </r>
    <r>
      <rPr>
        <vertAlign val="superscript"/>
        <sz val="14"/>
        <color theme="1"/>
        <rFont val="Arial"/>
        <family val="2"/>
        <scheme val="minor"/>
      </rPr>
      <t>2</t>
    </r>
  </si>
  <si>
    <r>
      <t>L</t>
    </r>
    <r>
      <rPr>
        <vertAlign val="subscript"/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2"/>
        <charset val="178"/>
        <scheme val="minor"/>
      </rPr>
      <t xml:space="preserve"> &lt;= L</t>
    </r>
    <r>
      <rPr>
        <vertAlign val="subscript"/>
        <sz val="14"/>
        <color theme="1"/>
        <rFont val="Arial"/>
        <family val="2"/>
        <scheme val="minor"/>
      </rPr>
      <t>p</t>
    </r>
  </si>
  <si>
    <r>
      <t>M</t>
    </r>
    <r>
      <rPr>
        <vertAlign val="subscript"/>
        <sz val="14"/>
        <color theme="1"/>
        <rFont val="Arial"/>
        <family val="2"/>
        <scheme val="minor"/>
      </rPr>
      <t>nx</t>
    </r>
  </si>
  <si>
    <r>
      <t>M</t>
    </r>
    <r>
      <rPr>
        <vertAlign val="subscript"/>
        <sz val="14"/>
        <color theme="1"/>
        <rFont val="Arial"/>
        <family val="2"/>
        <scheme val="minor"/>
      </rPr>
      <t>p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</si>
  <si>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I</t>
    </r>
    <r>
      <rPr>
        <vertAlign val="subscript"/>
        <sz val="14"/>
        <color theme="1"/>
        <rFont val="Arial"/>
        <family val="2"/>
        <scheme val="minor"/>
      </rPr>
      <t>x</t>
    </r>
  </si>
  <si>
    <r>
      <t>cm</t>
    </r>
    <r>
      <rPr>
        <vertAlign val="superscript"/>
        <sz val="14"/>
        <color theme="1"/>
        <rFont val="Arial"/>
        <family val="2"/>
        <scheme val="minor"/>
      </rPr>
      <t>4</t>
    </r>
    <r>
      <rPr>
        <sz val="11"/>
        <color theme="1"/>
        <rFont val="Arial"/>
        <family val="2"/>
        <charset val="178"/>
        <scheme val="minor"/>
      </rPr>
      <t/>
    </r>
  </si>
  <si>
    <r>
      <t>L</t>
    </r>
    <r>
      <rPr>
        <vertAlign val="subscript"/>
        <sz val="14"/>
        <color theme="1"/>
        <rFont val="Arial"/>
        <family val="2"/>
        <scheme val="minor"/>
      </rPr>
      <t>p</t>
    </r>
    <r>
      <rPr>
        <sz val="14"/>
        <color theme="1"/>
        <rFont val="Arial"/>
        <family val="2"/>
        <charset val="178"/>
        <scheme val="minor"/>
      </rPr>
      <t xml:space="preserve"> &lt; L</t>
    </r>
    <r>
      <rPr>
        <vertAlign val="subscript"/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2"/>
        <charset val="178"/>
        <scheme val="minor"/>
      </rPr>
      <t xml:space="preserve"> &lt;= L</t>
    </r>
    <r>
      <rPr>
        <vertAlign val="subscript"/>
        <sz val="14"/>
        <color theme="1"/>
        <rFont val="Arial"/>
        <family val="2"/>
        <scheme val="minor"/>
      </rPr>
      <t>r</t>
    </r>
  </si>
  <si>
    <r>
      <t>M</t>
    </r>
    <r>
      <rPr>
        <vertAlign val="subscript"/>
        <sz val="14"/>
        <color theme="1"/>
        <rFont val="Arial"/>
        <family val="2"/>
        <scheme val="minor"/>
      </rPr>
      <t>nx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</si>
  <si>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I</t>
    </r>
    <r>
      <rPr>
        <vertAlign val="subscript"/>
        <sz val="14"/>
        <color theme="1"/>
        <rFont val="Arial"/>
        <family val="2"/>
        <scheme val="minor"/>
      </rPr>
      <t>y</t>
    </r>
  </si>
  <si>
    <r>
      <t>L</t>
    </r>
    <r>
      <rPr>
        <vertAlign val="subscript"/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2"/>
        <charset val="178"/>
        <scheme val="minor"/>
      </rPr>
      <t xml:space="preserve"> &gt; L</t>
    </r>
    <r>
      <rPr>
        <vertAlign val="subscript"/>
        <sz val="14"/>
        <color theme="1"/>
        <rFont val="Arial"/>
        <family val="2"/>
        <scheme val="minor"/>
      </rPr>
      <t>r</t>
    </r>
  </si>
  <si>
    <r>
      <t>S</t>
    </r>
    <r>
      <rPr>
        <vertAlign val="subscript"/>
        <sz val="14"/>
        <color theme="1"/>
        <rFont val="Arial"/>
        <family val="2"/>
        <scheme val="minor"/>
      </rPr>
      <t>x</t>
    </r>
  </si>
  <si>
    <r>
      <t>cm</t>
    </r>
    <r>
      <rPr>
        <vertAlign val="superscript"/>
        <sz val="14"/>
        <color theme="1"/>
        <rFont val="Arial"/>
        <family val="2"/>
        <scheme val="minor"/>
      </rPr>
      <t>3</t>
    </r>
    <r>
      <rPr>
        <sz val="11"/>
        <color theme="1"/>
        <rFont val="Arial"/>
        <family val="2"/>
        <charset val="178"/>
        <scheme val="minor"/>
      </rPr>
      <t/>
    </r>
  </si>
  <si>
    <r>
      <t>Z</t>
    </r>
    <r>
      <rPr>
        <vertAlign val="subscript"/>
        <sz val="14"/>
        <color theme="1"/>
        <rFont val="Arial"/>
        <family val="2"/>
        <scheme val="minor"/>
      </rPr>
      <t>x</t>
    </r>
  </si>
  <si>
    <r>
      <t>r</t>
    </r>
    <r>
      <rPr>
        <vertAlign val="subscript"/>
        <sz val="14"/>
        <color theme="1"/>
        <rFont val="Arial"/>
        <family val="2"/>
        <scheme val="minor"/>
      </rPr>
      <t>x</t>
    </r>
  </si>
  <si>
    <r>
      <t>M</t>
    </r>
    <r>
      <rPr>
        <vertAlign val="subscript"/>
        <sz val="14"/>
        <color theme="1"/>
        <rFont val="Arial"/>
        <family val="2"/>
        <scheme val="minor"/>
      </rPr>
      <t>x</t>
    </r>
    <r>
      <rPr>
        <sz val="14"/>
        <color theme="1"/>
        <rFont val="Arial"/>
        <family val="2"/>
        <charset val="178"/>
        <scheme val="minor"/>
      </rPr>
      <t xml:space="preserve"> / </t>
    </r>
    <r>
      <rPr>
        <sz val="14"/>
        <color theme="1"/>
        <rFont val="Arial"/>
        <family val="2"/>
      </rPr>
      <t>ᶲM</t>
    </r>
    <r>
      <rPr>
        <vertAlign val="subscript"/>
        <sz val="14"/>
        <color theme="1"/>
        <rFont val="Arial"/>
        <family val="2"/>
      </rPr>
      <t>nx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</si>
  <si>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Q</t>
    </r>
    <r>
      <rPr>
        <vertAlign val="subscript"/>
        <sz val="14"/>
        <color theme="1"/>
        <rFont val="Arial"/>
        <family val="2"/>
        <scheme val="minor"/>
      </rPr>
      <t>u</t>
    </r>
    <r>
      <rPr>
        <sz val="14"/>
        <color theme="1"/>
        <rFont val="Arial"/>
        <family val="2"/>
        <charset val="178"/>
        <scheme val="minor"/>
      </rPr>
      <t xml:space="preserve"> / V</t>
    </r>
    <r>
      <rPr>
        <vertAlign val="subscript"/>
        <sz val="14"/>
        <color theme="1"/>
        <rFont val="Arial"/>
        <family val="2"/>
        <scheme val="minor"/>
      </rPr>
      <t>r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</si>
  <si>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r</t>
    </r>
    <r>
      <rPr>
        <vertAlign val="subscript"/>
        <sz val="14"/>
        <color theme="1"/>
        <rFont val="Arial"/>
        <family val="2"/>
        <scheme val="minor"/>
      </rPr>
      <t>y</t>
    </r>
  </si>
  <si>
    <r>
      <t>L</t>
    </r>
    <r>
      <rPr>
        <vertAlign val="subscript"/>
        <sz val="14"/>
        <color theme="1"/>
        <rFont val="Arial"/>
        <family val="2"/>
        <scheme val="minor"/>
      </rPr>
      <t>p</t>
    </r>
  </si>
  <si>
    <r>
      <t>r</t>
    </r>
    <r>
      <rPr>
        <vertAlign val="subscript"/>
        <sz val="14"/>
        <color theme="1"/>
        <rFont val="Arial"/>
        <family val="2"/>
        <scheme val="minor"/>
      </rPr>
      <t>t</t>
    </r>
  </si>
  <si>
    <t>X</t>
  </si>
  <si>
    <r>
      <t>L</t>
    </r>
    <r>
      <rPr>
        <vertAlign val="subscript"/>
        <sz val="14"/>
        <color theme="1"/>
        <rFont val="Arial"/>
        <family val="2"/>
        <scheme val="minor"/>
      </rPr>
      <t>r</t>
    </r>
  </si>
  <si>
    <t>HEB</t>
  </si>
  <si>
    <r>
      <t>Moment ( M</t>
    </r>
    <r>
      <rPr>
        <vertAlign val="subscript"/>
        <sz val="14"/>
        <color theme="1"/>
        <rFont val="Arial"/>
        <family val="2"/>
        <scheme val="minor"/>
      </rPr>
      <t>x</t>
    </r>
    <r>
      <rPr>
        <sz val="14"/>
        <color theme="1"/>
        <rFont val="Arial"/>
        <family val="2"/>
        <scheme val="minor"/>
      </rPr>
      <t xml:space="preserve"> )</t>
    </r>
  </si>
  <si>
    <r>
      <t>Shear ( Q</t>
    </r>
    <r>
      <rPr>
        <vertAlign val="subscript"/>
        <sz val="14"/>
        <color theme="1"/>
        <rFont val="Arial"/>
        <family val="2"/>
        <scheme val="minor"/>
      </rPr>
      <t>u</t>
    </r>
    <r>
      <rPr>
        <sz val="14"/>
        <color theme="1"/>
        <rFont val="Arial"/>
        <family val="2"/>
        <scheme val="minor"/>
      </rPr>
      <t xml:space="preserve"> )</t>
    </r>
  </si>
  <si>
    <t>t=r</t>
  </si>
  <si>
    <t>HEA</t>
  </si>
  <si>
    <t>HEM</t>
  </si>
  <si>
    <t>320/305</t>
  </si>
  <si>
    <t xml:space="preserve">cm </t>
  </si>
  <si>
    <r>
      <t>F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</si>
  <si>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</si>
  <si>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>h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 xml:space="preserve"> =</t>
    </r>
  </si>
  <si>
    <r>
      <t>Y</t>
    </r>
    <r>
      <rPr>
        <b/>
        <vertAlign val="superscript"/>
        <sz val="14"/>
        <color theme="1"/>
        <rFont val="Calibri"/>
        <family val="2"/>
      </rPr>
      <t>¯</t>
    </r>
    <r>
      <rPr>
        <b/>
        <sz val="14"/>
        <color theme="1"/>
        <rFont val="Calibri"/>
        <family val="2"/>
      </rPr>
      <t xml:space="preserve"> =</t>
    </r>
  </si>
  <si>
    <r>
      <t>F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</si>
  <si>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</si>
  <si>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2</t>
    </r>
  </si>
  <si>
    <r>
      <t>h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>/t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 xml:space="preserve"> =</t>
    </r>
  </si>
  <si>
    <r>
      <t>b</t>
    </r>
    <r>
      <rPr>
        <b/>
        <vertAlign val="subscript"/>
        <sz val="14"/>
        <color theme="1"/>
        <rFont val="Calibri"/>
        <family val="2"/>
      </rPr>
      <t>f</t>
    </r>
    <r>
      <rPr>
        <b/>
        <sz val="14"/>
        <color theme="1"/>
        <rFont val="Calibri"/>
        <family val="2"/>
      </rPr>
      <t xml:space="preserve"> =</t>
    </r>
  </si>
  <si>
    <r>
      <t>I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</si>
  <si>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4</t>
    </r>
    <r>
      <rPr>
        <sz val="11"/>
        <color theme="1"/>
        <rFont val="Arial"/>
        <family val="2"/>
        <charset val="178"/>
        <scheme val="minor"/>
      </rPr>
      <t/>
    </r>
  </si>
  <si>
    <r>
      <t>C/t</t>
    </r>
    <r>
      <rPr>
        <b/>
        <vertAlign val="subscript"/>
        <sz val="14"/>
        <color theme="1"/>
        <rFont val="Calibri"/>
        <family val="2"/>
      </rPr>
      <t>f</t>
    </r>
    <r>
      <rPr>
        <b/>
        <sz val="14"/>
        <color theme="1"/>
        <rFont val="Calibri"/>
        <family val="2"/>
      </rPr>
      <t xml:space="preserve"> =</t>
    </r>
  </si>
  <si>
    <r>
      <t>a = L</t>
    </r>
    <r>
      <rPr>
        <b/>
        <vertAlign val="subscript"/>
        <sz val="14"/>
        <color theme="1"/>
        <rFont val="Calibri"/>
        <family val="2"/>
      </rPr>
      <t>b</t>
    </r>
  </si>
  <si>
    <r>
      <t>t</t>
    </r>
    <r>
      <rPr>
        <b/>
        <vertAlign val="subscript"/>
        <sz val="14"/>
        <color theme="1"/>
        <rFont val="Calibri"/>
        <family val="2"/>
      </rPr>
      <t>f</t>
    </r>
    <r>
      <rPr>
        <b/>
        <sz val="14"/>
        <color theme="1"/>
        <rFont val="Calibri"/>
        <family val="2"/>
      </rPr>
      <t xml:space="preserve"> =</t>
    </r>
  </si>
  <si>
    <r>
      <t>I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</si>
  <si>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S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</si>
  <si>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3</t>
    </r>
    <r>
      <rPr>
        <sz val="11"/>
        <color theme="1"/>
        <rFont val="Arial"/>
        <family val="2"/>
        <charset val="178"/>
        <scheme val="minor"/>
      </rPr>
      <t/>
    </r>
  </si>
  <si>
    <r>
      <t>Z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</si>
  <si>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</si>
  <si>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p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</si>
  <si>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</si>
  <si>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nx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</si>
  <si>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</si>
  <si>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L</t>
    </r>
    <r>
      <rPr>
        <b/>
        <vertAlign val="subscript"/>
        <sz val="14"/>
        <color theme="1"/>
        <rFont val="Calibri"/>
        <family val="2"/>
      </rPr>
      <t>p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</si>
  <si>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t</t>
    </r>
    <r>
      <rPr>
        <b/>
        <sz val="14"/>
        <color theme="1"/>
        <rFont val="Calibri"/>
        <family val="2"/>
      </rPr>
      <t xml:space="preserve"> =</t>
    </r>
  </si>
  <si>
    <r>
      <t>L</t>
    </r>
    <r>
      <rPr>
        <b/>
        <vertAlign val="subscript"/>
        <sz val="14"/>
        <color theme="1"/>
        <rFont val="Calibri"/>
        <family val="2"/>
      </rPr>
      <t>r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</si>
  <si>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/ ᶲM</t>
    </r>
    <r>
      <rPr>
        <b/>
        <vertAlign val="subscript"/>
        <sz val="14"/>
        <color theme="1"/>
        <rFont val="Calibri"/>
        <family val="2"/>
      </rPr>
      <t>nx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</si>
  <si>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/ V</t>
    </r>
    <r>
      <rPr>
        <b/>
        <vertAlign val="subscript"/>
        <sz val="14"/>
        <color theme="1"/>
        <rFont val="Calibri"/>
        <family val="2"/>
      </rPr>
      <t>r</t>
    </r>
    <r>
      <rPr>
        <b/>
        <sz val="14"/>
        <color theme="1"/>
        <rFont val="Calibri"/>
        <family val="2"/>
      </rPr>
      <t xml:space="preserve"> =</t>
    </r>
  </si>
  <si>
    <t>Section</t>
  </si>
  <si>
    <t>st</t>
  </si>
  <si>
    <t>Choice of section</t>
  </si>
  <si>
    <r>
      <t>(cm</t>
    </r>
    <r>
      <rPr>
        <b/>
        <vertAlign val="superscript"/>
        <sz val="14"/>
        <rFont val="Calibri"/>
        <family val="2"/>
      </rPr>
      <t>2</t>
    </r>
    <r>
      <rPr>
        <b/>
        <sz val="14"/>
        <rFont val="Calibri"/>
        <family val="2"/>
      </rPr>
      <t>)</t>
    </r>
  </si>
  <si>
    <r>
      <t>I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</si>
  <si>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</si>
  <si>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(cm)</t>
    </r>
  </si>
  <si>
    <r>
      <t>I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</si>
  <si>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</si>
  <si>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(cm)</t>
    </r>
  </si>
  <si>
    <t>Properties of section</t>
  </si>
  <si>
    <r>
      <t>F</t>
    </r>
    <r>
      <rPr>
        <b/>
        <vertAlign val="subscript"/>
        <sz val="14"/>
        <color theme="1"/>
        <rFont val="Calibri"/>
        <family val="2"/>
      </rPr>
      <t>y</t>
    </r>
  </si>
  <si>
    <r>
      <t>Moment (M</t>
    </r>
    <r>
      <rPr>
        <b/>
        <vertAlign val="subscript"/>
        <sz val="14"/>
        <color theme="1"/>
        <rFont val="Calibri"/>
        <family val="2"/>
      </rPr>
      <t>ux</t>
    </r>
    <r>
      <rPr>
        <b/>
        <sz val="14"/>
        <color theme="1"/>
        <rFont val="Calibri"/>
        <family val="2"/>
      </rPr>
      <t>)</t>
    </r>
  </si>
  <si>
    <r>
      <t>F</t>
    </r>
    <r>
      <rPr>
        <b/>
        <vertAlign val="subscript"/>
        <sz val="14"/>
        <color theme="1"/>
        <rFont val="Calibri"/>
        <family val="2"/>
      </rPr>
      <t>u</t>
    </r>
  </si>
  <si>
    <r>
      <t>Shear (Q</t>
    </r>
    <r>
      <rPr>
        <b/>
        <vertAlign val="subscript"/>
        <sz val="14"/>
        <color theme="1"/>
        <rFont val="Calibri"/>
        <family val="2"/>
      </rPr>
      <t>uy</t>
    </r>
    <r>
      <rPr>
        <b/>
        <sz val="14"/>
        <color theme="1"/>
        <rFont val="Calibri"/>
        <family val="2"/>
      </rPr>
      <t>)</t>
    </r>
  </si>
  <si>
    <r>
      <t>a= L</t>
    </r>
    <r>
      <rPr>
        <b/>
        <vertAlign val="subscript"/>
        <sz val="14"/>
        <color theme="1"/>
        <rFont val="Calibri"/>
        <family val="2"/>
      </rPr>
      <t>b</t>
    </r>
  </si>
  <si>
    <r>
      <t>Q</t>
    </r>
    <r>
      <rPr>
        <b/>
        <vertAlign val="subscript"/>
        <sz val="14"/>
        <color theme="1"/>
        <rFont val="Calibri"/>
        <family val="2"/>
      </rPr>
      <t>uy</t>
    </r>
    <r>
      <rPr>
        <b/>
        <sz val="14"/>
        <color theme="1"/>
        <rFont val="Calibri"/>
        <family val="2"/>
      </rPr>
      <t xml:space="preserve"> / V</t>
    </r>
    <r>
      <rPr>
        <b/>
        <vertAlign val="subscript"/>
        <sz val="14"/>
        <color theme="1"/>
        <rFont val="Calibri"/>
        <family val="2"/>
      </rPr>
      <t>r</t>
    </r>
    <r>
      <rPr>
        <b/>
        <sz val="14"/>
        <color theme="1"/>
        <rFont val="Calibri"/>
        <family val="2"/>
      </rPr>
      <t xml:space="preserve"> =</t>
    </r>
  </si>
  <si>
    <r>
      <t>I</t>
    </r>
    <r>
      <rPr>
        <b/>
        <vertAlign val="subscript"/>
        <sz val="14"/>
        <color theme="1"/>
        <rFont val="Calibri"/>
        <family val="2"/>
      </rPr>
      <t>x</t>
    </r>
  </si>
  <si>
    <r>
      <t>I</t>
    </r>
    <r>
      <rPr>
        <b/>
        <vertAlign val="subscript"/>
        <sz val="14"/>
        <color theme="1"/>
        <rFont val="Calibri"/>
        <family val="2"/>
      </rPr>
      <t>y</t>
    </r>
  </si>
  <si>
    <r>
      <t>S</t>
    </r>
    <r>
      <rPr>
        <b/>
        <vertAlign val="subscript"/>
        <sz val="14"/>
        <color theme="1"/>
        <rFont val="Calibri"/>
        <family val="2"/>
      </rPr>
      <t>x</t>
    </r>
  </si>
  <si>
    <r>
      <t>Z</t>
    </r>
    <r>
      <rPr>
        <b/>
        <vertAlign val="subscript"/>
        <sz val="14"/>
        <color theme="1"/>
        <rFont val="Calibri"/>
        <family val="2"/>
      </rPr>
      <t>x</t>
    </r>
  </si>
  <si>
    <r>
      <t>r</t>
    </r>
    <r>
      <rPr>
        <b/>
        <vertAlign val="subscript"/>
        <sz val="14"/>
        <color theme="1"/>
        <rFont val="Calibri"/>
        <family val="2"/>
      </rPr>
      <t>x</t>
    </r>
  </si>
  <si>
    <r>
      <t>r</t>
    </r>
    <r>
      <rPr>
        <b/>
        <vertAlign val="subscript"/>
        <sz val="14"/>
        <color theme="1"/>
        <rFont val="Calibri"/>
        <family val="2"/>
      </rPr>
      <t>y</t>
    </r>
  </si>
  <si>
    <r>
      <t>L</t>
    </r>
    <r>
      <rPr>
        <b/>
        <vertAlign val="subscript"/>
        <sz val="14"/>
        <color theme="1"/>
        <rFont val="Calibri"/>
        <family val="2"/>
      </rPr>
      <t>p</t>
    </r>
  </si>
  <si>
    <r>
      <t>r</t>
    </r>
    <r>
      <rPr>
        <b/>
        <vertAlign val="subscript"/>
        <sz val="14"/>
        <color theme="1"/>
        <rFont val="Calibri"/>
        <family val="2"/>
      </rPr>
      <t>t</t>
    </r>
  </si>
  <si>
    <r>
      <t>L</t>
    </r>
    <r>
      <rPr>
        <b/>
        <vertAlign val="subscript"/>
        <sz val="14"/>
        <color theme="1"/>
        <rFont val="Calibri"/>
        <family val="2"/>
      </rPr>
      <t>r</t>
    </r>
  </si>
  <si>
    <t>ii- As a Beam :</t>
  </si>
  <si>
    <t>iii- As a Comp. Member :</t>
  </si>
  <si>
    <t xml:space="preserve">In Plane : </t>
  </si>
  <si>
    <t>Out of Plane :</t>
  </si>
  <si>
    <r>
      <t>λ</t>
    </r>
    <r>
      <rPr>
        <b/>
        <vertAlign val="subscript"/>
        <sz val="14"/>
        <color theme="1"/>
        <rFont val="Calibri"/>
        <family val="2"/>
      </rPr>
      <t>in</t>
    </r>
    <r>
      <rPr>
        <b/>
        <sz val="14"/>
        <color theme="1"/>
        <rFont val="Calibri"/>
        <family val="2"/>
      </rPr>
      <t xml:space="preserve"> =</t>
    </r>
  </si>
  <si>
    <r>
      <t>λ</t>
    </r>
    <r>
      <rPr>
        <b/>
        <vertAlign val="subscript"/>
        <sz val="14"/>
        <color theme="1"/>
        <rFont val="Calibri"/>
        <family val="2"/>
      </rPr>
      <t>out</t>
    </r>
    <r>
      <rPr>
        <b/>
        <sz val="14"/>
        <color theme="1"/>
        <rFont val="Calibri"/>
        <family val="2"/>
      </rPr>
      <t xml:space="preserve"> =</t>
    </r>
  </si>
  <si>
    <r>
      <t>λ</t>
    </r>
    <r>
      <rPr>
        <b/>
        <vertAlign val="subscript"/>
        <sz val="14"/>
        <color theme="1"/>
        <rFont val="Calibri"/>
        <family val="2"/>
      </rPr>
      <t>c</t>
    </r>
    <r>
      <rPr>
        <b/>
        <sz val="14"/>
        <color theme="1"/>
        <rFont val="Calibri"/>
        <family val="2"/>
      </rPr>
      <t xml:space="preserve"> =</t>
    </r>
  </si>
  <si>
    <r>
      <t>λ</t>
    </r>
    <r>
      <rPr>
        <b/>
        <vertAlign val="subscript"/>
        <sz val="14"/>
        <color theme="1"/>
        <rFont val="Calibri"/>
        <family val="2"/>
      </rPr>
      <t>c =</t>
    </r>
  </si>
  <si>
    <r>
      <t>F</t>
    </r>
    <r>
      <rPr>
        <b/>
        <vertAlign val="subscript"/>
        <sz val="14"/>
        <color theme="1"/>
        <rFont val="Calibri"/>
        <family val="2"/>
      </rPr>
      <t>cr</t>
    </r>
    <r>
      <rPr>
        <b/>
        <sz val="14"/>
        <color theme="1"/>
        <rFont val="Calibri"/>
        <family val="2"/>
      </rPr>
      <t xml:space="preserve"> =</t>
    </r>
  </si>
  <si>
    <r>
      <t>P</t>
    </r>
    <r>
      <rPr>
        <b/>
        <vertAlign val="subscript"/>
        <sz val="14"/>
        <color theme="1"/>
        <rFont val="Calibri"/>
        <family val="2"/>
      </rPr>
      <t>nx</t>
    </r>
    <r>
      <rPr>
        <b/>
        <sz val="14"/>
        <color theme="1"/>
        <rFont val="Calibri"/>
        <family val="2"/>
      </rPr>
      <t xml:space="preserve"> =</t>
    </r>
  </si>
  <si>
    <t>ton</t>
  </si>
  <si>
    <r>
      <t>P</t>
    </r>
    <r>
      <rPr>
        <b/>
        <vertAlign val="subscript"/>
        <sz val="14"/>
        <color theme="1"/>
        <rFont val="Calibri"/>
        <family val="2"/>
      </rPr>
      <t>ny</t>
    </r>
    <r>
      <rPr>
        <b/>
        <sz val="14"/>
        <color theme="1"/>
        <rFont val="Calibri"/>
        <family val="2"/>
      </rPr>
      <t xml:space="preserve"> =</t>
    </r>
  </si>
  <si>
    <t xml:space="preserve">iv- Interaction Equation </t>
  </si>
  <si>
    <t>Inplane Stability</t>
  </si>
  <si>
    <t>Out of Plane Stability</t>
  </si>
  <si>
    <r>
      <t>L</t>
    </r>
    <r>
      <rPr>
        <b/>
        <vertAlign val="subscript"/>
        <sz val="14"/>
        <color theme="1"/>
        <rFont val="Calibri"/>
        <family val="2"/>
      </rPr>
      <t>bin</t>
    </r>
  </si>
  <si>
    <r>
      <t>L</t>
    </r>
    <r>
      <rPr>
        <b/>
        <vertAlign val="subscript"/>
        <sz val="14"/>
        <color theme="1"/>
        <rFont val="Calibri"/>
        <family val="2"/>
      </rPr>
      <t>bout</t>
    </r>
  </si>
  <si>
    <t>Data</t>
  </si>
  <si>
    <t>α =</t>
  </si>
  <si>
    <r>
      <t>M</t>
    </r>
    <r>
      <rPr>
        <b/>
        <vertAlign val="subscript"/>
        <sz val="14"/>
        <color theme="1"/>
        <rFont val="Calibri"/>
        <family val="2"/>
      </rPr>
      <t>p</t>
    </r>
    <r>
      <rPr>
        <b/>
        <sz val="14"/>
        <color theme="1"/>
        <rFont val="Calibri"/>
        <family val="2"/>
      </rPr>
      <t xml:space="preserve"> = Zx Fy = </t>
    </r>
  </si>
  <si>
    <r>
      <t>λ</t>
    </r>
    <r>
      <rPr>
        <b/>
        <vertAlign val="subscript"/>
        <sz val="14"/>
        <color theme="1"/>
        <rFont val="Calibri"/>
        <family val="2"/>
      </rPr>
      <t>in</t>
    </r>
    <r>
      <rPr>
        <b/>
        <sz val="14"/>
        <color theme="1"/>
        <rFont val="Calibri"/>
        <family val="2"/>
      </rPr>
      <t xml:space="preserve"> = Lin / rx =</t>
    </r>
  </si>
  <si>
    <t>≤ 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</si>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</sst>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vertAlign val="superscript"/>
      <sz val="14"/>
      <name val="Arial"/>
      <family val="2"/>
      <scheme val="minor"/>
    </font>
    <font>
      <b/>
      <vertAlign val="subscript"/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vertAlign val="subscript"/>
      <sz val="14"/>
      <color theme="1"/>
      <name val="Arial"/>
      <family val="2"/>
      <scheme val="minor"/>
    </font>
    <font>
      <vertAlign val="superscript"/>
      <sz val="14"/>
      <color theme="1"/>
      <name val="Arial"/>
      <family val="2"/>
      <scheme val="minor"/>
    </font>
    <font>
      <sz val="14"/>
      <color rgb="FFFF0000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charset val="178"/>
      <scheme val="minor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sz val="14"/>
      <name val="Arial"/>
      <family val="2"/>
      <scheme val="minor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b/>
      <u val="double"/>
      <sz val="14"/>
      <color theme="1"/>
      <name val="Calibri"/>
      <family val="2"/>
    </font>
    <font>
      <b/>
      <sz val="14"/>
      <color rgb="FFFF0000"/>
      <name val="Calibri"/>
      <family val="2"/>
    </font>
    <font>
      <b/>
      <u val="double"/>
      <sz val="16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b/>
      <vertAlign val="subscript"/>
      <sz val="14"/>
      <name val="Calibri"/>
      <family val="2"/>
    </font>
    <font>
      <b/>
      <sz val="14"/>
      <color rgb="FF000000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shrinkToFit="1"/>
    </xf>
    <xf numFmtId="2" fontId="6" fillId="0" borderId="6" xfId="0" applyNumberFormat="1" applyFont="1" applyBorder="1" applyAlignment="1">
      <alignment horizontal="center" vertical="center" shrinkToFit="1"/>
    </xf>
    <xf numFmtId="164" fontId="6" fillId="0" borderId="6" xfId="0" applyNumberFormat="1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9" fillId="9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" fontId="29" fillId="0" borderId="6" xfId="0" applyNumberFormat="1" applyFont="1" applyFill="1" applyBorder="1" applyAlignment="1">
      <alignment horizontal="center" vertical="center" shrinkToFit="1"/>
    </xf>
    <xf numFmtId="2" fontId="29" fillId="0" borderId="6" xfId="0" applyNumberFormat="1" applyFont="1" applyFill="1" applyBorder="1" applyAlignment="1">
      <alignment horizontal="center" vertical="center" shrinkToFit="1"/>
    </xf>
    <xf numFmtId="164" fontId="29" fillId="0" borderId="6" xfId="0" applyNumberFormat="1" applyFont="1" applyFill="1" applyBorder="1" applyAlignment="1">
      <alignment horizontal="center" vertical="center" shrinkToFit="1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</cellXfs>
  <cellStyles count="1">
    <cellStyle name="Normal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9F090DE5-5342-47D4-9D7A-0C60EC4A6635}"/>
            </a:ext>
          </a:extLst>
        </xdr:cNvPr>
        <xdr:cNvSpPr/>
      </xdr:nvSpPr>
      <xdr:spPr>
        <a:xfrm>
          <a:off x="15973425" y="533396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06FC90D3-E629-4C81-B583-5EF4A693F530}"/>
            </a:ext>
          </a:extLst>
        </xdr:cNvPr>
        <xdr:cNvSpPr/>
      </xdr:nvSpPr>
      <xdr:spPr>
        <a:xfrm>
          <a:off x="15392400" y="552446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5</xdr:col>
      <xdr:colOff>511309</xdr:colOff>
      <xdr:row>10</xdr:row>
      <xdr:rowOff>47945</xdr:rowOff>
    </xdr:from>
    <xdr:ext cx="1964769" cy="4415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72386B-096E-E886-5314-CF224C5510AD}"/>
                </a:ext>
              </a:extLst>
            </xdr:cNvPr>
            <xdr:cNvSpPr txBox="1"/>
          </xdr:nvSpPr>
          <xdr:spPr>
            <a:xfrm>
              <a:off x="4164427" y="2815798"/>
              <a:ext cx="1964769" cy="441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1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ar-EG" sz="1400" b="1" i="0">
                        <a:latin typeface="Cambria Math" panose="02040503050406030204" pitchFamily="18" charset="0"/>
                      </a:rPr>
                      <m:t>𝛂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𝟎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.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𝟓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[</m:t>
                    </m:r>
                    <m:f>
                      <m:fPr>
                        <m:ctrlP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𝐏</m:t>
                        </m:r>
                        <m:r>
                          <a:rPr lang="ar-EG" sz="1400" b="1" i="0" baseline="-25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𝐮</m:t>
                        </m:r>
                      </m:num>
                      <m:den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𝐡𝐰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𝐭𝐰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𝐅𝐲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ar-EG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𝟏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ar-EG" sz="1400" b="1" i="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72386B-096E-E886-5314-CF224C5510AD}"/>
                </a:ext>
              </a:extLst>
            </xdr:cNvPr>
            <xdr:cNvSpPr txBox="1"/>
          </xdr:nvSpPr>
          <xdr:spPr>
            <a:xfrm>
              <a:off x="4164427" y="2815798"/>
              <a:ext cx="1964769" cy="441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1" anchor="t">
              <a:spAutoFit/>
            </a:bodyPr>
            <a:lstStyle/>
            <a:p>
              <a:r>
                <a:rPr lang="ar-EG" sz="1400" b="1" i="0">
                  <a:latin typeface="Cambria Math" panose="02040503050406030204" pitchFamily="18" charset="0"/>
                </a:rPr>
                <a:t>𝛂=𝟎.𝟓[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𝐏</a:t>
              </a:r>
              <a:r>
                <a:rPr lang="ar-EG" sz="1400" b="1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𝐮/(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(𝐡</a:t>
              </a:r>
              <a:r>
                <a:rPr lang="ar-EG" sz="1400" b="1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𝐰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𝐭</a:t>
              </a:r>
              <a:r>
                <a:rPr lang="ar-EG" sz="1400" b="1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𝐰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𝐅</a:t>
              </a:r>
              <a:r>
                <a:rPr lang="ar-EG" sz="1400" b="1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𝐲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ar-EG" sz="1400" b="1" i="0">
                  <a:latin typeface="Cambria Math" panose="02040503050406030204" pitchFamily="18" charset="0"/>
                </a:rPr>
                <a:t>+𝟏]</a:t>
              </a:r>
              <a:endParaRPr lang="ar-EG" sz="1400" b="1" i="0"/>
            </a:p>
          </xdr:txBody>
        </xdr:sp>
      </mc:Fallback>
    </mc:AlternateContent>
    <xdr:clientData/>
  </xdr:oneCellAnchor>
  <xdr:twoCellAnchor>
    <xdr:from>
      <xdr:col>11</xdr:col>
      <xdr:colOff>435428</xdr:colOff>
      <xdr:row>26</xdr:row>
      <xdr:rowOff>190499</xdr:rowOff>
    </xdr:from>
    <xdr:to>
      <xdr:col>16</xdr:col>
      <xdr:colOff>340179</xdr:colOff>
      <xdr:row>35</xdr:row>
      <xdr:rowOff>40822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C362F9C-F72A-CAB8-EACD-A81D029A0675}"/>
                </a:ext>
              </a:extLst>
            </xdr:cNvPr>
            <xdr:cNvSpPr txBox="1"/>
          </xdr:nvSpPr>
          <xdr:spPr>
            <a:xfrm>
              <a:off x="9266464" y="6830785"/>
              <a:ext cx="3306536" cy="2190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𝝓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𝟎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.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𝟖𝟎</m:t>
                  </m:r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                    </m:t>
                      </m:r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𝑷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𝒏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𝑨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𝒈</m:t>
                      </m:r>
                    </m:sub>
                  </m:sSub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𝒄𝒓</m:t>
                      </m:r>
                    </m:sub>
                  </m:sSub>
                </m:oMath>
              </a14:m>
              <a:b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</a:b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For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𝝀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≤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𝟏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.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𝟏</m:t>
                  </m:r>
                </m:oMath>
              </a14:m>
              <a:endParaRPr lang="en-US" sz="1400" b="1">
                <a:solidFill>
                  <a:schemeClr val="dk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rtl="0"/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𝒄𝒓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𝒚</m:t>
                      </m:r>
                    </m:sub>
                  </m:sSub>
                  <m:d>
                    <m:d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𝟏</m:t>
                      </m:r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𝟎</m:t>
                      </m:r>
                      <m:r>
                        <a:rPr lang="en-US" sz="1400" b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𝟑𝟖𝟒</m:t>
                      </m:r>
                      <m:sSubSup>
                        <m:sSubSupPr>
                          <m:ctrlP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  <m:t>𝝀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  <m:t>𝒄</m:t>
                          </m:r>
                        </m:sub>
                        <m:sup>
                          <m: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bSup>
                    </m:e>
                  </m:d>
                </m:oMath>
              </a14:m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For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𝝀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&gt;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𝟏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.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𝟏</m:t>
                  </m:r>
                </m:oMath>
              </a14:m>
              <a:endParaRPr lang="en-US" sz="1400" b="1">
                <a:solidFill>
                  <a:schemeClr val="dk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rtl="0"/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𝒄𝒓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𝟎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.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𝟔𝟒𝟖</m:t>
                  </m:r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𝒚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/</m:t>
                  </m:r>
                  <m:sSubSup>
                    <m:sSubSup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𝝀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  <m:sup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𝟐</m:t>
                      </m:r>
                    </m:sup>
                  </m:sSubSup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𝝀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  <m:t>𝑭</m:t>
                              </m:r>
                            </m:e>
                            <m:sub>
                              <m: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  <m:t>𝒚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  <m:t>𝑭</m:t>
                              </m:r>
                            </m:e>
                            <m:sub>
                              <m: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  <m:t>𝒆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Where:</a:t>
              </a:r>
            </a:p>
            <a:p>
              <a:pPr rtl="0"/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𝒆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𝝅</m:t>
                      </m:r>
                    </m:e>
                    <m:sup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𝑬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/(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𝑲𝑳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/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𝒓</m:t>
                  </m:r>
                  <m:sSup>
                    <m:sSup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b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endParaRPr lang="ar-EG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C362F9C-F72A-CAB8-EACD-A81D029A0675}"/>
                </a:ext>
              </a:extLst>
            </xdr:cNvPr>
            <xdr:cNvSpPr txBox="1"/>
          </xdr:nvSpPr>
          <xdr:spPr>
            <a:xfrm>
              <a:off x="9266464" y="6830785"/>
              <a:ext cx="3306536" cy="2190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Where </a:t>
              </a:r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𝝓_𝒄=𝟎.𝟖𝟎〖                    𝑷〗_𝒏=𝑨_𝒈 𝑭_𝒄𝒓</a:t>
              </a:r>
              <a:b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</a:b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For </a:t>
              </a:r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𝝀_𝒄≤𝟏.𝟏</a:t>
              </a:r>
              <a:endParaRPr lang="en-US" sz="1400" b="1">
                <a:solidFill>
                  <a:schemeClr val="dk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rtl="0"/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𝑭_𝒄𝒓=𝑭_𝒚 (𝟏−𝟎.𝟑𝟖𝟒𝝀_𝒄^𝟐 )</a:t>
              </a: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For </a:t>
              </a:r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𝝀_𝒄&gt;𝟏.𝟏</a:t>
              </a:r>
              <a:endParaRPr lang="en-US" sz="1400" b="1">
                <a:solidFill>
                  <a:schemeClr val="dk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rtl="0"/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𝑭_𝒄𝒓=𝟎.𝟔𝟒𝟖𝑭_𝒚/𝝀_𝒄^𝟐⋅</a:t>
              </a: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𝝀_𝒄=√(𝑭_𝒚/𝑭_𝒆 )</a:t>
              </a: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Where:</a:t>
              </a:r>
            </a:p>
            <a:p>
              <a:pPr rtl="0"/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𝑭_𝒆=𝝅^𝟐 𝑬/(𝑲𝑳/𝒓)^𝟐</a:t>
              </a: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endParaRPr lang="ar-EG" sz="1100"/>
            </a:p>
          </xdr:txBody>
        </xdr:sp>
      </mc:Fallback>
    </mc:AlternateContent>
    <xdr:clientData/>
  </xdr:twoCellAnchor>
  <xdr:twoCellAnchor editAs="oneCell">
    <xdr:from>
      <xdr:col>8</xdr:col>
      <xdr:colOff>122465</xdr:colOff>
      <xdr:row>14</xdr:row>
      <xdr:rowOff>204106</xdr:rowOff>
    </xdr:from>
    <xdr:to>
      <xdr:col>12</xdr:col>
      <xdr:colOff>427115</xdr:colOff>
      <xdr:row>24</xdr:row>
      <xdr:rowOff>39671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10B869A-A01C-AC9F-1D01-3EDBB1EC76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565"/>
        <a:stretch/>
      </xdr:blipFill>
      <xdr:spPr>
        <a:xfrm>
          <a:off x="6354536" y="3796392"/>
          <a:ext cx="3298222" cy="2339279"/>
        </a:xfrm>
        <a:prstGeom prst="rect">
          <a:avLst/>
        </a:prstGeom>
      </xdr:spPr>
    </xdr:pic>
    <xdr:clientData/>
  </xdr:twoCellAnchor>
  <xdr:twoCellAnchor editAs="oneCell">
    <xdr:from>
      <xdr:col>13</xdr:col>
      <xdr:colOff>81642</xdr:colOff>
      <xdr:row>16</xdr:row>
      <xdr:rowOff>40821</xdr:rowOff>
    </xdr:from>
    <xdr:to>
      <xdr:col>16</xdr:col>
      <xdr:colOff>674271</xdr:colOff>
      <xdr:row>21</xdr:row>
      <xdr:rowOff>90793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2B37606-5EEE-85F6-DF3D-395F35D54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3392" y="4109357"/>
          <a:ext cx="2633700" cy="1329043"/>
        </a:xfrm>
        <a:prstGeom prst="rect">
          <a:avLst/>
        </a:prstGeom>
      </xdr:spPr>
    </xdr:pic>
    <xdr:clientData/>
  </xdr:twoCellAnchor>
  <xdr:twoCellAnchor>
    <xdr:from>
      <xdr:col>3</xdr:col>
      <xdr:colOff>489857</xdr:colOff>
      <xdr:row>36</xdr:row>
      <xdr:rowOff>204108</xdr:rowOff>
    </xdr:from>
    <xdr:to>
      <xdr:col>6</xdr:col>
      <xdr:colOff>789215</xdr:colOff>
      <xdr:row>44</xdr:row>
      <xdr:rowOff>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5E40CD9-FC87-8D07-CFE9-2193A2E4C52F}"/>
                </a:ext>
              </a:extLst>
            </xdr:cNvPr>
            <xdr:cNvSpPr txBox="1"/>
          </xdr:nvSpPr>
          <xdr:spPr>
            <a:xfrm>
              <a:off x="2490107" y="9429751"/>
              <a:ext cx="2993572" cy="17553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a- For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</m:sub>
                      </m:sSub>
                    </m:num>
                    <m:den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𝜙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20</m:t>
                  </m:r>
                </m:oMath>
              </a14:m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</m:sub>
                      </m:sSub>
                    </m:num>
                    <m:den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𝜙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</m:t>
                      </m:r>
                    </m:num>
                    <m:den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</m:t>
                      </m:r>
                    </m:den>
                  </m:f>
                  <m:d>
                    <m:dPr>
                      <m:begChr m:val="["/>
                      <m:endChr m:val="]"/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𝑢𝑥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𝑛𝑥</m:t>
                              </m:r>
                            </m:sub>
                          </m:sSub>
                        </m:den>
                      </m:f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𝑢𝑦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𝑛𝑦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rtl="0"/>
              <a14:m>
                <m:oMath xmlns:m="http://schemas.openxmlformats.org/officeDocument/2006/math">
                  <m:r>
                    <a:rPr lang="en-US" sz="16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𝑏</m:t>
                  </m:r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For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</m:sub>
                      </m:sSub>
                    </m:num>
                    <m:den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𝜙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&lt;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20</m:t>
                  </m:r>
                </m:oMath>
              </a14:m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</m:sub>
                      </m:sSub>
                    </m:num>
                    <m:den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𝜙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d>
                    <m:dPr>
                      <m:begChr m:val="["/>
                      <m:endChr m:val="]"/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𝑢𝑥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𝑛𝑥</m:t>
                              </m:r>
                            </m:sub>
                          </m:sSub>
                        </m:den>
                      </m:f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𝑢𝑦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𝑛𝑦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5E40CD9-FC87-8D07-CFE9-2193A2E4C52F}"/>
                </a:ext>
              </a:extLst>
            </xdr:cNvPr>
            <xdr:cNvSpPr txBox="1"/>
          </xdr:nvSpPr>
          <xdr:spPr>
            <a:xfrm>
              <a:off x="2490107" y="9429751"/>
              <a:ext cx="2993572" cy="17553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a- For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𝑃_𝑢/(𝜙𝑃_𝑛 )≥0.20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𝑃_𝑢/(𝜙𝑃_𝑛 )+8/9 [𝑀_𝑢𝑥/(𝜙_𝑏 𝑀_𝑛𝑥 )+𝑀_𝑢𝑦/(𝜙_𝑏 𝑀_𝑛𝑦 )]≤1.0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For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𝑃_𝑢/(𝜙𝑃_𝑛 )&lt;0.20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𝑃_𝑢/(2𝜙𝑃_𝑛 )+[𝑀_𝑢𝑥/(𝜙_𝑏 𝑀_𝑛𝑥 )+𝑀_𝑢𝑦/(𝜙_𝑏 𝑀_𝑛𝑦 )]≤1.0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twoCellAnchor>
  <xdr:twoCellAnchor>
    <xdr:from>
      <xdr:col>9</xdr:col>
      <xdr:colOff>108857</xdr:colOff>
      <xdr:row>37</xdr:row>
      <xdr:rowOff>68036</xdr:rowOff>
    </xdr:from>
    <xdr:to>
      <xdr:col>15</xdr:col>
      <xdr:colOff>0</xdr:colOff>
      <xdr:row>40</xdr:row>
      <xdr:rowOff>176893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D5112FD-61BF-9227-9811-BBE2A843066B}"/>
                </a:ext>
              </a:extLst>
            </xdr:cNvPr>
            <xdr:cNvSpPr txBox="1"/>
          </xdr:nvSpPr>
          <xdr:spPr>
            <a:xfrm>
              <a:off x="7102928" y="9293679"/>
              <a:ext cx="4163786" cy="843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(b) For the limit state of out-of-plane buckling</a:t>
              </a:r>
            </a:p>
            <a:p>
              <a:pPr rtl="0"/>
              <a14:m>
                <m:oMath xmlns:m="http://schemas.openxmlformats.org/officeDocument/2006/math">
                  <m:f>
                    <m:fPr>
                      <m:ctrlPr>
                        <a:rPr lang="en-US" sz="16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𝑷</m:t>
                          </m:r>
                        </m:e>
                        <m:sub>
                          <m: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𝒖</m:t>
                          </m:r>
                        </m:sub>
                      </m:sSub>
                    </m:num>
                    <m:den>
                      <m:r>
                        <a:rPr lang="en-US" sz="16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𝝓</m:t>
                      </m:r>
                      <m:sSub>
                        <m:sSubPr>
                          <m:ctrlP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𝑷</m:t>
                          </m:r>
                        </m:e>
                        <m:sub>
                          <m: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𝒏𝒚</m:t>
                          </m:r>
                        </m:sub>
                      </m:sSub>
                    </m:den>
                  </m:f>
                  <m:r>
                    <a:rPr lang="en-US" sz="16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en-US" sz="16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600" b="1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𝑴</m:t>
                                  </m:r>
                                </m:e>
                                <m:sub>
                                  <m: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𝒖𝒙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sz="1600" b="1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𝝓</m:t>
                              </m:r>
                              <m:sSub>
                                <m:sSubPr>
                                  <m:ctrlP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𝑴</m:t>
                                  </m:r>
                                </m:e>
                                <m:sub>
                                  <m: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𝒏𝒙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n-US" sz="16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n-US" sz="16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600" b="1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𝟏</m:t>
                  </m:r>
                  <m:r>
                    <a:rPr lang="en-US" sz="16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 b="1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𝟎</m:t>
                  </m:r>
                </m:oMath>
              </a14:m>
              <a:r>
                <a:rPr lang="en-US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D5112FD-61BF-9227-9811-BBE2A843066B}"/>
                </a:ext>
              </a:extLst>
            </xdr:cNvPr>
            <xdr:cNvSpPr txBox="1"/>
          </xdr:nvSpPr>
          <xdr:spPr>
            <a:xfrm>
              <a:off x="7102928" y="9293679"/>
              <a:ext cx="4163786" cy="843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(b) For the limit state of out-of-plane buckling</a:t>
              </a:r>
            </a:p>
            <a:p>
              <a:pPr rtl="0"/>
              <a:r>
                <a:rPr lang="en-US" sz="16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𝑷_𝒖/(𝝓𝑷_𝒏𝒚 )+(𝑴_𝒖𝒙/(𝝓𝑴_𝒏𝒙 ))^𝟐≤𝟏.𝟎</a:t>
              </a:r>
              <a:r>
                <a:rPr lang="en-US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7AEACC8C-F435-4007-BC9F-D164DC6CCFA1}"/>
            </a:ext>
          </a:extLst>
        </xdr:cNvPr>
        <xdr:cNvSpPr/>
      </xdr:nvSpPr>
      <xdr:spPr>
        <a:xfrm>
          <a:off x="15392400" y="52768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5</xdr:col>
      <xdr:colOff>561975</xdr:colOff>
      <xdr:row>9</xdr:row>
      <xdr:rowOff>219075</xdr:rowOff>
    </xdr:from>
    <xdr:ext cx="1964769" cy="4415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481CFAD-B804-4159-96DF-9F05DF22E0D6}"/>
                </a:ext>
              </a:extLst>
            </xdr:cNvPr>
            <xdr:cNvSpPr txBox="1"/>
          </xdr:nvSpPr>
          <xdr:spPr>
            <a:xfrm>
              <a:off x="4219575" y="2733675"/>
              <a:ext cx="1964769" cy="441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1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ar-EG" sz="1400" b="1" i="0">
                        <a:latin typeface="Cambria Math" panose="02040503050406030204" pitchFamily="18" charset="0"/>
                      </a:rPr>
                      <m:t>𝛂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𝟎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.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𝟓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[</m:t>
                    </m:r>
                    <m:f>
                      <m:fPr>
                        <m:ctrlP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𝐏</m:t>
                        </m:r>
                        <m:r>
                          <a:rPr lang="ar-EG" sz="1400" b="1" i="0" baseline="-25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𝐮</m:t>
                        </m:r>
                      </m:num>
                      <m:den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𝐡𝐰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𝐭𝐰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𝐅𝐲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ar-EG" sz="14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ar-EG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𝟏</m:t>
                    </m:r>
                    <m:r>
                      <a:rPr lang="ar-EG" sz="1400" b="1" i="0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ar-EG" sz="1400" b="1" i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481CFAD-B804-4159-96DF-9F05DF22E0D6}"/>
                </a:ext>
              </a:extLst>
            </xdr:cNvPr>
            <xdr:cNvSpPr txBox="1"/>
          </xdr:nvSpPr>
          <xdr:spPr>
            <a:xfrm>
              <a:off x="4219575" y="2733675"/>
              <a:ext cx="1964769" cy="441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1" anchor="t">
              <a:spAutoFit/>
            </a:bodyPr>
            <a:lstStyle/>
            <a:p>
              <a:r>
                <a:rPr lang="ar-EG" sz="1400" b="1" i="0">
                  <a:latin typeface="Cambria Math" panose="02040503050406030204" pitchFamily="18" charset="0"/>
                </a:rPr>
                <a:t>𝛂=𝟎.𝟓[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𝐏</a:t>
              </a:r>
              <a:r>
                <a:rPr lang="ar-EG" sz="1400" b="1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𝐮/(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(𝐡</a:t>
              </a:r>
              <a:r>
                <a:rPr lang="ar-EG" sz="1400" b="1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𝐰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𝐭</a:t>
              </a:r>
              <a:r>
                <a:rPr lang="ar-EG" sz="1400" b="1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𝐰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𝐅</a:t>
              </a:r>
              <a:r>
                <a:rPr lang="ar-EG" sz="1400" b="1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𝐲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ar-EG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ar-EG" sz="1400" b="1" i="0">
                  <a:latin typeface="Cambria Math" panose="02040503050406030204" pitchFamily="18" charset="0"/>
                </a:rPr>
                <a:t>+𝟏]</a:t>
              </a:r>
              <a:endParaRPr lang="ar-EG" sz="1400" b="1" i="0"/>
            </a:p>
          </xdr:txBody>
        </xdr:sp>
      </mc:Fallback>
    </mc:AlternateContent>
    <xdr:clientData/>
  </xdr:oneCellAnchor>
  <xdr:twoCellAnchor editAs="oneCell">
    <xdr:from>
      <xdr:col>7</xdr:col>
      <xdr:colOff>180975</xdr:colOff>
      <xdr:row>16</xdr:row>
      <xdr:rowOff>19050</xdr:rowOff>
    </xdr:from>
    <xdr:to>
      <xdr:col>11</xdr:col>
      <xdr:colOff>126397</xdr:colOff>
      <xdr:row>25</xdr:row>
      <xdr:rowOff>91379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6068C0-0463-4646-8718-CAADB60E49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565"/>
        <a:stretch/>
      </xdr:blipFill>
      <xdr:spPr>
        <a:xfrm>
          <a:off x="5629275" y="4276725"/>
          <a:ext cx="3298222" cy="2339279"/>
        </a:xfrm>
        <a:prstGeom prst="rect">
          <a:avLst/>
        </a:prstGeom>
      </xdr:spPr>
    </xdr:pic>
    <xdr:clientData/>
  </xdr:twoCellAnchor>
  <xdr:twoCellAnchor editAs="oneCell">
    <xdr:from>
      <xdr:col>11</xdr:col>
      <xdr:colOff>461281</xdr:colOff>
      <xdr:row>17</xdr:row>
      <xdr:rowOff>74840</xdr:rowOff>
    </xdr:from>
    <xdr:to>
      <xdr:col>15</xdr:col>
      <xdr:colOff>351781</xdr:colOff>
      <xdr:row>22</xdr:row>
      <xdr:rowOff>137058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3F1CB6-541C-40F2-9FC5-FB357A489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2381" y="4589690"/>
          <a:ext cx="2633700" cy="1329043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563336</xdr:colOff>
      <xdr:row>35</xdr:row>
      <xdr:rowOff>138546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EB13EF-3918-4A13-8A4E-C1D90C9C7464}"/>
                </a:ext>
              </a:extLst>
            </xdr:cNvPr>
            <xdr:cNvSpPr txBox="1"/>
          </xdr:nvSpPr>
          <xdr:spPr>
            <a:xfrm>
              <a:off x="9525000" y="7065818"/>
              <a:ext cx="3334245" cy="21647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𝝓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𝟎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.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𝟖𝟎</m:t>
                  </m:r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                    </m:t>
                      </m:r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𝑷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𝒏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𝑨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𝒈</m:t>
                      </m:r>
                    </m:sub>
                  </m:sSub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𝒄𝒓</m:t>
                      </m:r>
                    </m:sub>
                  </m:sSub>
                </m:oMath>
              </a14:m>
              <a:b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</a:b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For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𝝀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≤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𝟏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.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𝟏</m:t>
                  </m:r>
                </m:oMath>
              </a14:m>
              <a:endParaRPr lang="en-US" sz="1400" b="1">
                <a:solidFill>
                  <a:schemeClr val="dk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rtl="0"/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𝒄𝒓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𝒚</m:t>
                      </m:r>
                    </m:sub>
                  </m:sSub>
                  <m:d>
                    <m:d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𝟏</m:t>
                      </m:r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𝟎</m:t>
                      </m:r>
                      <m:r>
                        <a:rPr lang="en-US" sz="1400" b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𝟑𝟖𝟒</m:t>
                      </m:r>
                      <m:sSubSup>
                        <m:sSubSupPr>
                          <m:ctrlP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  <m:t>𝝀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  <m:t>𝒄</m:t>
                          </m:r>
                        </m:sub>
                        <m:sup>
                          <m: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bSup>
                    </m:e>
                  </m:d>
                </m:oMath>
              </a14:m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For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𝝀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&gt;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𝟏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.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𝟏</m:t>
                  </m:r>
                </m:oMath>
              </a14:m>
              <a:endParaRPr lang="en-US" sz="1400" b="1">
                <a:solidFill>
                  <a:schemeClr val="dk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rtl="0"/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𝒄𝒓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𝟎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.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𝟔𝟒𝟖</m:t>
                  </m:r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𝒚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/</m:t>
                  </m:r>
                  <m:sSubSup>
                    <m:sSubSup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𝝀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  <m:sup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𝟐</m:t>
                      </m:r>
                    </m:sup>
                  </m:sSubSup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𝝀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𝒄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400" b="1" i="1">
                              <a:solidFill>
                                <a:schemeClr val="dk1"/>
                              </a:solidFill>
                              <a:effectLst/>
                              <a:latin typeface="+mj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  <m:t>𝑭</m:t>
                              </m:r>
                            </m:e>
                            <m:sub>
                              <m: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  <m:t>𝒚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  <m:t>𝑭</m:t>
                              </m:r>
                            </m:e>
                            <m:sub>
                              <m:r>
                                <a:rPr lang="en-US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+mj-lt"/>
                                  <a:ea typeface="+mn-ea"/>
                                  <a:cs typeface="+mn-cs"/>
                                </a:rPr>
                                <m:t>𝒆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Where:</a:t>
              </a:r>
            </a:p>
            <a:p>
              <a:pPr rtl="0"/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𝒆</m:t>
                      </m:r>
                    </m:sub>
                  </m:sSub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𝝅</m:t>
                      </m:r>
                    </m:e>
                    <m:sup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𝑬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/(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𝑲𝑳</m:t>
                  </m:r>
                  <m:r>
                    <a:rPr lang="en-US" sz="1400" b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/</m:t>
                  </m:r>
                  <m:r>
                    <a:rPr lang="en-US" sz="1400" b="1" i="1">
                      <a:solidFill>
                        <a:schemeClr val="dk1"/>
                      </a:solidFill>
                      <a:effectLst/>
                      <a:latin typeface="+mj-lt"/>
                      <a:ea typeface="+mn-ea"/>
                      <a:cs typeface="+mn-cs"/>
                    </a:rPr>
                    <m:t>𝒓</m:t>
                  </m:r>
                  <m:sSup>
                    <m:sSupPr>
                      <m:ctrlP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b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400" b="1" i="1">
                          <a:solidFill>
                            <a:schemeClr val="dk1"/>
                          </a:solidFill>
                          <a:effectLst/>
                          <a:latin typeface="+mj-lt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endParaRPr lang="ar-EG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EB13EF-3918-4A13-8A4E-C1D90C9C7464}"/>
                </a:ext>
              </a:extLst>
            </xdr:cNvPr>
            <xdr:cNvSpPr txBox="1"/>
          </xdr:nvSpPr>
          <xdr:spPr>
            <a:xfrm>
              <a:off x="9525000" y="7065818"/>
              <a:ext cx="3334245" cy="21647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Where </a:t>
              </a:r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𝝓_𝒄=𝟎.𝟖𝟎〖                    𝑷〗_𝒏=𝑨_𝒈 𝑭_𝒄𝒓</a:t>
              </a:r>
              <a:b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</a:b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For </a:t>
              </a:r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𝝀_𝒄≤𝟏.𝟏</a:t>
              </a:r>
              <a:endParaRPr lang="en-US" sz="1400" b="1">
                <a:solidFill>
                  <a:schemeClr val="dk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rtl="0"/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𝑭_𝒄𝒓=𝑭_𝒚 (𝟏−𝟎.𝟑𝟖𝟒𝝀_𝒄^𝟐 )</a:t>
              </a: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For </a:t>
              </a:r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𝝀_𝒄&gt;𝟏.𝟏</a:t>
              </a:r>
              <a:endParaRPr lang="en-US" sz="1400" b="1">
                <a:solidFill>
                  <a:schemeClr val="dk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rtl="0"/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𝑭_𝒄𝒓=𝟎.𝟔𝟒𝟖𝑭_𝒚/𝝀_𝒄^𝟐⋅</a:t>
              </a: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𝝀_𝒄=√(𝑭_𝒚/𝑭_𝒆 )</a:t>
              </a: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Where:</a:t>
              </a:r>
            </a:p>
            <a:p>
              <a:pPr rtl="0"/>
              <a:r>
                <a:rPr lang="en-US" sz="1400" b="1" i="0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𝑭_𝒆=𝝅^𝟐 𝑬/(𝑲𝑳/𝒓)^𝟐</a:t>
              </a:r>
              <a:r>
                <a:rPr lang="en-US" sz="1400" b="1">
                  <a:solidFill>
                    <a:schemeClr val="dk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</a:p>
            <a:p>
              <a:endParaRPr lang="ar-EG" sz="1100"/>
            </a:p>
          </xdr:txBody>
        </xdr:sp>
      </mc:Fallback>
    </mc:AlternateContent>
    <xdr:clientData/>
  </xdr:twoCellAnchor>
  <xdr:twoCellAnchor>
    <xdr:from>
      <xdr:col>3</xdr:col>
      <xdr:colOff>582706</xdr:colOff>
      <xdr:row>38</xdr:row>
      <xdr:rowOff>219025</xdr:rowOff>
    </xdr:from>
    <xdr:to>
      <xdr:col>7</xdr:col>
      <xdr:colOff>112642</xdr:colOff>
      <xdr:row>46</xdr:row>
      <xdr:rowOff>201706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4D63AED-E7F2-4A84-A173-CEE90885E06F}"/>
                </a:ext>
              </a:extLst>
            </xdr:cNvPr>
            <xdr:cNvSpPr txBox="1"/>
          </xdr:nvSpPr>
          <xdr:spPr>
            <a:xfrm>
              <a:off x="2577353" y="10012966"/>
              <a:ext cx="2981348" cy="18652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a- For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</m:sub>
                      </m:sSub>
                    </m:num>
                    <m:den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𝜙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20</m:t>
                  </m:r>
                </m:oMath>
              </a14:m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</m:sub>
                      </m:sSub>
                    </m:num>
                    <m:den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𝜙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</m:t>
                      </m:r>
                    </m:num>
                    <m:den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</m:t>
                      </m:r>
                    </m:den>
                  </m:f>
                  <m:d>
                    <m:dPr>
                      <m:begChr m:val="["/>
                      <m:endChr m:val="]"/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𝑢𝑥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𝑛𝑥</m:t>
                              </m:r>
                            </m:sub>
                          </m:sSub>
                        </m:den>
                      </m:f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𝑢𝑦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𝑛𝑦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rtl="0"/>
              <a14:m>
                <m:oMath xmlns:m="http://schemas.openxmlformats.org/officeDocument/2006/math">
                  <m:r>
                    <a:rPr lang="en-US" sz="16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𝑏</m:t>
                  </m:r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For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</m:sub>
                      </m:sSub>
                    </m:num>
                    <m:den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𝜙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&lt;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20</m:t>
                  </m:r>
                </m:oMath>
              </a14:m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</m:sub>
                      </m:sSub>
                    </m:num>
                    <m:den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𝜙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d>
                    <m:dPr>
                      <m:begChr m:val="["/>
                      <m:endChr m:val="]"/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𝑢𝑥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𝑛𝑥</m:t>
                              </m:r>
                            </m:sub>
                          </m:sSub>
                        </m:den>
                      </m:f>
                      <m:r>
                        <a:rPr lang="en-US" sz="16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𝑢𝑦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𝑛𝑦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4D63AED-E7F2-4A84-A173-CEE90885E06F}"/>
                </a:ext>
              </a:extLst>
            </xdr:cNvPr>
            <xdr:cNvSpPr txBox="1"/>
          </xdr:nvSpPr>
          <xdr:spPr>
            <a:xfrm>
              <a:off x="2577353" y="10012966"/>
              <a:ext cx="2981348" cy="18652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a- For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𝑃_𝑢/(𝜙𝑃_𝑛 )≥0.20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𝑃_𝑢/(𝜙𝑃_𝑛 )+8/9 [𝑀_𝑢𝑥/(𝜙_𝑏 𝑀_𝑛𝑥 )+𝑀_𝑢𝑦/(𝜙_𝑏 𝑀_𝑛𝑦 )]≤1.0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rtl="0"/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For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𝑃_𝑢/(𝜙𝑃_𝑛 )&lt;0.20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𝑃_𝑢/(2𝜙𝑃_𝑛 )+[𝑀_𝑢𝑥/(𝜙_𝑏 𝑀_𝑛𝑥 )+𝑀_𝑢𝑦/(𝜙_𝑏 𝑀_𝑛𝑦 )]≤1.0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twoCellAnchor>
  <xdr:twoCellAnchor>
    <xdr:from>
      <xdr:col>10</xdr:col>
      <xdr:colOff>675410</xdr:colOff>
      <xdr:row>39</xdr:row>
      <xdr:rowOff>34636</xdr:rowOff>
    </xdr:from>
    <xdr:to>
      <xdr:col>16</xdr:col>
      <xdr:colOff>682832</xdr:colOff>
      <xdr:row>42</xdr:row>
      <xdr:rowOff>150916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C8D2B26-BA3F-42B6-B34D-685F235C9407}"/>
                </a:ext>
              </a:extLst>
            </xdr:cNvPr>
            <xdr:cNvSpPr txBox="1"/>
          </xdr:nvSpPr>
          <xdr:spPr>
            <a:xfrm>
              <a:off x="8814955" y="10096500"/>
              <a:ext cx="4163786" cy="843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(b) For the limit state of out-of-plane buckling</a:t>
              </a:r>
            </a:p>
            <a:p>
              <a:pPr rtl="0"/>
              <a14:m>
                <m:oMath xmlns:m="http://schemas.openxmlformats.org/officeDocument/2006/math">
                  <m:f>
                    <m:fPr>
                      <m:ctrlPr>
                        <a:rPr lang="en-US" sz="16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𝑷</m:t>
                          </m:r>
                        </m:e>
                        <m:sub>
                          <m: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𝒖</m:t>
                          </m:r>
                        </m:sub>
                      </m:sSub>
                    </m:num>
                    <m:den>
                      <m:r>
                        <a:rPr lang="en-US" sz="16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𝝓</m:t>
                      </m:r>
                      <m:sSub>
                        <m:sSubPr>
                          <m:ctrlP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𝑷</m:t>
                          </m:r>
                        </m:e>
                        <m:sub>
                          <m: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𝒏𝒚</m:t>
                          </m:r>
                        </m:sub>
                      </m:sSub>
                    </m:den>
                  </m:f>
                  <m:r>
                    <a:rPr lang="en-US" sz="16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en-US" sz="16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1600" b="1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600" b="1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𝑴</m:t>
                                  </m:r>
                                </m:e>
                                <m:sub>
                                  <m: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𝒖𝒙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sz="1600" b="1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𝝓</m:t>
                              </m:r>
                              <m:sSub>
                                <m:sSubPr>
                                  <m:ctrlP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𝑴</m:t>
                                  </m:r>
                                </m:e>
                                <m:sub>
                                  <m:r>
                                    <a:rPr lang="en-US" sz="16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𝒏𝒙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n-US" sz="16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n-US" sz="16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600" b="1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𝟏</m:t>
                  </m:r>
                  <m:r>
                    <a:rPr lang="en-US" sz="16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US" sz="1600" b="1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𝟎</m:t>
                  </m:r>
                </m:oMath>
              </a14:m>
              <a:r>
                <a:rPr lang="en-US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C8D2B26-BA3F-42B6-B34D-685F235C9407}"/>
                </a:ext>
              </a:extLst>
            </xdr:cNvPr>
            <xdr:cNvSpPr txBox="1"/>
          </xdr:nvSpPr>
          <xdr:spPr>
            <a:xfrm>
              <a:off x="8814955" y="10096500"/>
              <a:ext cx="4163786" cy="843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pPr rtl="0"/>
              <a:r>
                <a:rPr lang="en-US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(b) For the limit state of out-of-plane buckling</a:t>
              </a:r>
            </a:p>
            <a:p>
              <a:pPr rtl="0"/>
              <a:r>
                <a:rPr lang="en-US" sz="16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𝑷_𝒖/(𝝓𝑷_𝒏𝒚 )+(𝑴_𝒖𝒙/(𝝓𝑴_𝒏𝒙 ))^𝟐≤𝟏.𝟎</a:t>
              </a:r>
              <a:r>
                <a:rPr lang="en-US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253093</xdr:colOff>
      <xdr:row>2</xdr:row>
      <xdr:rowOff>478972</xdr:rowOff>
    </xdr:from>
    <xdr:to>
      <xdr:col>12</xdr:col>
      <xdr:colOff>323851</xdr:colOff>
      <xdr:row>13</xdr:row>
      <xdr:rowOff>145769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AF429A-2927-DE8B-2C67-4AEF4577C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62950" y="955222"/>
          <a:ext cx="1431472" cy="27828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277939</xdr:colOff>
      <xdr:row>26</xdr:row>
      <xdr:rowOff>101376</xdr:rowOff>
    </xdr:from>
    <xdr:ext cx="0" cy="0"/>
    <xdr:sp macro="" textlink="">
      <xdr:nvSpPr>
        <xdr:cNvPr id="2" name="Shape 1172">
          <a:extLst>
            <a:ext uri="{FF2B5EF4-FFF2-40B4-BE49-F238E27FC236}">
              <a16:creationId xmlns:a16="http://schemas.microsoft.com/office/drawing/2014/main" id="{80D20733-4C8A-4E96-8B2A-115A1CD213F4}"/>
            </a:ext>
          </a:extLst>
        </xdr:cNvPr>
        <xdr:cNvSpPr/>
      </xdr:nvSpPr>
      <xdr:spPr>
        <a:xfrm>
          <a:off x="14232064" y="676887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20</xdr:col>
      <xdr:colOff>765619</xdr:colOff>
      <xdr:row>24</xdr:row>
      <xdr:rowOff>363124</xdr:rowOff>
    </xdr:from>
    <xdr:ext cx="7620" cy="0"/>
    <xdr:sp macro="" textlink="">
      <xdr:nvSpPr>
        <xdr:cNvPr id="3" name="Shape 1179">
          <a:extLst>
            <a:ext uri="{FF2B5EF4-FFF2-40B4-BE49-F238E27FC236}">
              <a16:creationId xmlns:a16="http://schemas.microsoft.com/office/drawing/2014/main" id="{AA6716F6-DB47-443F-89A7-2032927EF7E5}"/>
            </a:ext>
          </a:extLst>
        </xdr:cNvPr>
        <xdr:cNvSpPr/>
      </xdr:nvSpPr>
      <xdr:spPr>
        <a:xfrm>
          <a:off x="15329344" y="640197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493522</xdr:colOff>
      <xdr:row>26</xdr:row>
      <xdr:rowOff>122285</xdr:rowOff>
    </xdr:from>
    <xdr:ext cx="635" cy="7620"/>
    <xdr:sp macro="" textlink="">
      <xdr:nvSpPr>
        <xdr:cNvPr id="2" name="Shape 1198">
          <a:extLst>
            <a:ext uri="{FF2B5EF4-FFF2-40B4-BE49-F238E27FC236}">
              <a16:creationId xmlns:a16="http://schemas.microsoft.com/office/drawing/2014/main" id="{2235D602-EAD7-48AD-BC65-9D7346405CDB}"/>
            </a:ext>
          </a:extLst>
        </xdr:cNvPr>
        <xdr:cNvSpPr/>
      </xdr:nvSpPr>
      <xdr:spPr>
        <a:xfrm>
          <a:off x="12971272" y="6827885"/>
          <a:ext cx="635" cy="7620"/>
        </a:xfrm>
        <a:custGeom>
          <a:avLst/>
          <a:gdLst/>
          <a:ahLst/>
          <a:cxnLst/>
          <a:rect l="0" t="0" r="0" b="0"/>
          <a:pathLst>
            <a:path w="635" h="7620">
              <a:moveTo>
                <a:pt x="4376808" y="-11383156"/>
              </a:moveTo>
              <a:lnTo>
                <a:pt x="4376897" y="-11383156"/>
              </a:lnTo>
            </a:path>
            <a:path w="635" h="7620">
              <a:moveTo>
                <a:pt x="4376808" y="-11380838"/>
              </a:moveTo>
              <a:lnTo>
                <a:pt x="4376808" y="-11385474"/>
              </a:lnTo>
              <a:lnTo>
                <a:pt x="4376897" y="-11385474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22</xdr:col>
      <xdr:colOff>33274</xdr:colOff>
      <xdr:row>26</xdr:row>
      <xdr:rowOff>122285</xdr:rowOff>
    </xdr:from>
    <xdr:ext cx="635" cy="7620"/>
    <xdr:sp macro="" textlink="">
      <xdr:nvSpPr>
        <xdr:cNvPr id="3" name="Shape 1384">
          <a:extLst>
            <a:ext uri="{FF2B5EF4-FFF2-40B4-BE49-F238E27FC236}">
              <a16:creationId xmlns:a16="http://schemas.microsoft.com/office/drawing/2014/main" id="{4235BAD6-8F81-4D5C-B117-72842CC34FD2}"/>
            </a:ext>
          </a:extLst>
        </xdr:cNvPr>
        <xdr:cNvSpPr/>
      </xdr:nvSpPr>
      <xdr:spPr>
        <a:xfrm>
          <a:off x="15940024" y="6827885"/>
          <a:ext cx="635" cy="7620"/>
        </a:xfrm>
        <a:custGeom>
          <a:avLst/>
          <a:gdLst/>
          <a:ahLst/>
          <a:cxnLst/>
          <a:rect l="0" t="0" r="0" b="0"/>
          <a:pathLst>
            <a:path w="635" h="7620">
              <a:moveTo>
                <a:pt x="3734506" y="-11383156"/>
              </a:moveTo>
              <a:lnTo>
                <a:pt x="3734595" y="-11383156"/>
              </a:lnTo>
            </a:path>
            <a:path w="635" h="7620">
              <a:moveTo>
                <a:pt x="3734506" y="-11380838"/>
              </a:moveTo>
              <a:lnTo>
                <a:pt x="3734506" y="-11385474"/>
              </a:lnTo>
              <a:lnTo>
                <a:pt x="3734595" y="-11385474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23</xdr:col>
      <xdr:colOff>255524</xdr:colOff>
      <xdr:row>25</xdr:row>
      <xdr:rowOff>345678</xdr:rowOff>
    </xdr:from>
    <xdr:ext cx="103505" cy="145669"/>
    <xdr:sp macro="" textlink="">
      <xdr:nvSpPr>
        <xdr:cNvPr id="4" name="Shape 1385">
          <a:extLst>
            <a:ext uri="{FF2B5EF4-FFF2-40B4-BE49-F238E27FC236}">
              <a16:creationId xmlns:a16="http://schemas.microsoft.com/office/drawing/2014/main" id="{5CB925C6-8EEE-43AE-A0AF-85A29D784811}"/>
            </a:ext>
          </a:extLst>
        </xdr:cNvPr>
        <xdr:cNvSpPr/>
      </xdr:nvSpPr>
      <xdr:spPr>
        <a:xfrm>
          <a:off x="16848074" y="6708378"/>
          <a:ext cx="103505" cy="145669"/>
        </a:xfrm>
        <a:custGeom>
          <a:avLst/>
          <a:gdLst/>
          <a:ahLst/>
          <a:cxnLst/>
          <a:rect l="0" t="0" r="0" b="0"/>
          <a:pathLst>
            <a:path w="103505" h="151765">
              <a:moveTo>
                <a:pt x="3520417" y="-11238503"/>
              </a:moveTo>
              <a:lnTo>
                <a:pt x="3520506" y="-11238503"/>
              </a:lnTo>
            </a:path>
            <a:path w="103505" h="151765">
              <a:moveTo>
                <a:pt x="3522464" y="-11269381"/>
              </a:moveTo>
              <a:lnTo>
                <a:pt x="3592753" y="-11335111"/>
              </a:lnTo>
              <a:lnTo>
                <a:pt x="3592931" y="-11335111"/>
              </a:lnTo>
            </a:path>
            <a:path w="103505" h="151765">
              <a:moveTo>
                <a:pt x="3522464" y="-11335111"/>
              </a:moveTo>
              <a:lnTo>
                <a:pt x="3592753" y="-11269381"/>
              </a:lnTo>
              <a:lnTo>
                <a:pt x="3592931" y="-11269381"/>
              </a:lnTo>
            </a:path>
            <a:path w="103505" h="151765">
              <a:moveTo>
                <a:pt x="3520417" y="-11236185"/>
              </a:moveTo>
              <a:lnTo>
                <a:pt x="3520417" y="-11240821"/>
              </a:lnTo>
              <a:lnTo>
                <a:pt x="3520506" y="-1124082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17</xdr:col>
      <xdr:colOff>433577</xdr:colOff>
      <xdr:row>25</xdr:row>
      <xdr:rowOff>305292</xdr:rowOff>
    </xdr:from>
    <xdr:ext cx="120015" cy="94869"/>
    <xdr:sp macro="" textlink="">
      <xdr:nvSpPr>
        <xdr:cNvPr id="5" name="Shape 1388">
          <a:extLst>
            <a:ext uri="{FF2B5EF4-FFF2-40B4-BE49-F238E27FC236}">
              <a16:creationId xmlns:a16="http://schemas.microsoft.com/office/drawing/2014/main" id="{FFBA3D2F-C814-446D-9D4F-3991E4F732DF}"/>
            </a:ext>
          </a:extLst>
        </xdr:cNvPr>
        <xdr:cNvSpPr/>
      </xdr:nvSpPr>
      <xdr:spPr>
        <a:xfrm>
          <a:off x="12911327" y="6706092"/>
          <a:ext cx="120015" cy="94869"/>
        </a:xfrm>
        <a:custGeom>
          <a:avLst/>
          <a:gdLst/>
          <a:ahLst/>
          <a:cxnLst/>
          <a:rect l="0" t="0" r="0" b="0"/>
          <a:pathLst>
            <a:path w="100965" h="100965">
              <a:moveTo>
                <a:pt x="4394757" y="-11255486"/>
              </a:moveTo>
              <a:lnTo>
                <a:pt x="4465313" y="-11321050"/>
              </a:lnTo>
              <a:lnTo>
                <a:pt x="4465402" y="-11321050"/>
              </a:lnTo>
            </a:path>
            <a:path w="100965" h="100965">
              <a:moveTo>
                <a:pt x="4394757" y="-11321050"/>
              </a:moveTo>
              <a:lnTo>
                <a:pt x="4465313" y="-11255486"/>
              </a:lnTo>
              <a:lnTo>
                <a:pt x="4465402" y="-11255486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19</xdr:col>
      <xdr:colOff>665353</xdr:colOff>
      <xdr:row>23</xdr:row>
      <xdr:rowOff>63801</xdr:rowOff>
    </xdr:from>
    <xdr:ext cx="7620" cy="0"/>
    <xdr:sp macro="" textlink="">
      <xdr:nvSpPr>
        <xdr:cNvPr id="6" name="Shape 1397">
          <a:extLst>
            <a:ext uri="{FF2B5EF4-FFF2-40B4-BE49-F238E27FC236}">
              <a16:creationId xmlns:a16="http://schemas.microsoft.com/office/drawing/2014/main" id="{5FF296EE-22F9-47BA-B791-E58AD0C76DF1}"/>
            </a:ext>
          </a:extLst>
        </xdr:cNvPr>
        <xdr:cNvSpPr/>
      </xdr:nvSpPr>
      <xdr:spPr>
        <a:xfrm>
          <a:off x="14514703" y="5969301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023259" y="-10976646"/>
              </a:moveTo>
              <a:lnTo>
                <a:pt x="4023348" y="-10976646"/>
              </a:lnTo>
            </a:path>
            <a:path w="7620">
              <a:moveTo>
                <a:pt x="4025839" y="-10976646"/>
              </a:moveTo>
              <a:lnTo>
                <a:pt x="4020768" y="-10976646"/>
              </a:lnTo>
              <a:lnTo>
                <a:pt x="4020946" y="-10976646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27</xdr:row>
      <xdr:rowOff>186142</xdr:rowOff>
    </xdr:from>
    <xdr:ext cx="101600" cy="101600"/>
    <xdr:sp macro="" textlink="">
      <xdr:nvSpPr>
        <xdr:cNvPr id="2" name="Shape 1604">
          <a:extLst>
            <a:ext uri="{FF2B5EF4-FFF2-40B4-BE49-F238E27FC236}">
              <a16:creationId xmlns:a16="http://schemas.microsoft.com/office/drawing/2014/main" id="{151885AC-98A1-46D4-9360-36F53A82591D}"/>
            </a:ext>
          </a:extLst>
        </xdr:cNvPr>
        <xdr:cNvSpPr/>
      </xdr:nvSpPr>
      <xdr:spPr>
        <a:xfrm>
          <a:off x="13820775" y="7463242"/>
          <a:ext cx="101600" cy="101600"/>
        </a:xfrm>
        <a:custGeom>
          <a:avLst/>
          <a:gdLst/>
          <a:ahLst/>
          <a:cxnLst/>
          <a:rect l="0" t="0" r="0" b="0"/>
          <a:pathLst>
            <a:path w="101600" h="101600">
              <a:moveTo>
                <a:pt x="4667133" y="-9948394"/>
              </a:moveTo>
              <a:lnTo>
                <a:pt x="4738647" y="-10014197"/>
              </a:lnTo>
              <a:lnTo>
                <a:pt x="4738827" y="-10014197"/>
              </a:lnTo>
            </a:path>
            <a:path w="101600" h="101600">
              <a:moveTo>
                <a:pt x="4667133" y="-10014197"/>
              </a:moveTo>
              <a:lnTo>
                <a:pt x="4738647" y="-9948394"/>
              </a:lnTo>
              <a:lnTo>
                <a:pt x="4738827" y="-9948394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23</xdr:col>
      <xdr:colOff>126428</xdr:colOff>
      <xdr:row>27</xdr:row>
      <xdr:rowOff>51268</xdr:rowOff>
    </xdr:from>
    <xdr:ext cx="101600" cy="152400"/>
    <xdr:sp macro="" textlink="">
      <xdr:nvSpPr>
        <xdr:cNvPr id="3" name="Shape 1605">
          <a:extLst>
            <a:ext uri="{FF2B5EF4-FFF2-40B4-BE49-F238E27FC236}">
              <a16:creationId xmlns:a16="http://schemas.microsoft.com/office/drawing/2014/main" id="{92C6C8E3-FAF1-4968-8744-18F4DA3492C6}"/>
            </a:ext>
          </a:extLst>
        </xdr:cNvPr>
        <xdr:cNvSpPr/>
      </xdr:nvSpPr>
      <xdr:spPr>
        <a:xfrm>
          <a:off x="16690403" y="7328368"/>
          <a:ext cx="101600" cy="152400"/>
        </a:xfrm>
        <a:custGeom>
          <a:avLst/>
          <a:gdLst/>
          <a:ahLst/>
          <a:cxnLst/>
          <a:rect l="0" t="0" r="0" b="0"/>
          <a:pathLst>
            <a:path w="101600" h="152400">
              <a:moveTo>
                <a:pt x="3943458" y="-9868177"/>
              </a:moveTo>
              <a:lnTo>
                <a:pt x="3943458" y="-9967004"/>
              </a:lnTo>
              <a:lnTo>
                <a:pt x="3943548" y="-9967004"/>
              </a:lnTo>
            </a:path>
            <a:path w="101600" h="152400">
              <a:moveTo>
                <a:pt x="3943458" y="-9901119"/>
              </a:moveTo>
              <a:lnTo>
                <a:pt x="3979260" y="-9933979"/>
              </a:lnTo>
              <a:lnTo>
                <a:pt x="3997116" y="-9933979"/>
              </a:lnTo>
              <a:lnTo>
                <a:pt x="4014973" y="-9917549"/>
              </a:lnTo>
              <a:lnTo>
                <a:pt x="4014973" y="-9868177"/>
              </a:lnTo>
              <a:lnTo>
                <a:pt x="4015152" y="-9868177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F51E-445C-4D73-B77F-C88CF58FD0B9}">
  <sheetPr>
    <pageSetUpPr fitToPage="1"/>
  </sheetPr>
  <dimension ref="A1:AJ51"/>
  <sheetViews>
    <sheetView showGridLines="0" zoomScaleNormal="100" zoomScaleSheetLayoutView="40" workbookViewId="0">
      <selection activeCell="H31" sqref="H31"/>
    </sheetView>
  </sheetViews>
  <sheetFormatPr defaultRowHeight="18.75" x14ac:dyDescent="0.2"/>
  <cols>
    <col min="1" max="1" width="6.625" style="34" bestFit="1" customWidth="1"/>
    <col min="2" max="2" width="9" style="34"/>
    <col min="3" max="3" width="10.625" style="34" customWidth="1"/>
    <col min="4" max="4" width="7.75" style="34" customWidth="1"/>
    <col min="5" max="5" width="14" style="34" customWidth="1"/>
    <col min="6" max="6" width="9.375" style="34" bestFit="1" customWidth="1"/>
    <col min="7" max="7" width="10.625" style="34" customWidth="1"/>
    <col min="8" max="8" width="9.875" style="34" customWidth="1"/>
    <col min="9" max="9" width="10" style="34" customWidth="1"/>
    <col min="10" max="10" width="15.125" style="34" customWidth="1"/>
    <col min="11" max="16384" width="9" style="34"/>
  </cols>
  <sheetData>
    <row r="1" spans="1:36" x14ac:dyDescent="0.2">
      <c r="A1" s="33">
        <v>37</v>
      </c>
      <c r="B1" s="33" t="s">
        <v>3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Y1" s="57" t="s">
        <v>19</v>
      </c>
      <c r="Z1" s="58"/>
    </row>
    <row r="2" spans="1:36" ht="18" customHeight="1" x14ac:dyDescent="0.2">
      <c r="A2" s="33">
        <v>44</v>
      </c>
      <c r="B2" s="33" t="s">
        <v>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U2" s="31" t="s">
        <v>20</v>
      </c>
      <c r="V2" s="31" t="s">
        <v>21</v>
      </c>
      <c r="W2" s="31" t="s">
        <v>22</v>
      </c>
      <c r="X2" s="59" t="s">
        <v>23</v>
      </c>
      <c r="Y2" s="60"/>
      <c r="Z2" s="60"/>
      <c r="AA2" s="60"/>
      <c r="AB2" s="60"/>
      <c r="AC2" s="60"/>
      <c r="AD2" s="61"/>
      <c r="AE2" s="59" t="s">
        <v>24</v>
      </c>
      <c r="AF2" s="60"/>
      <c r="AG2" s="61"/>
      <c r="AH2" s="59" t="s">
        <v>25</v>
      </c>
      <c r="AI2" s="60"/>
      <c r="AJ2" s="61"/>
    </row>
    <row r="3" spans="1:36" ht="41.25" x14ac:dyDescent="0.2">
      <c r="A3" s="33">
        <v>52</v>
      </c>
      <c r="B3" s="33" t="s">
        <v>5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U3" s="31" t="s">
        <v>26</v>
      </c>
      <c r="V3" s="31" t="s">
        <v>119</v>
      </c>
      <c r="W3" s="31" t="s">
        <v>28</v>
      </c>
      <c r="X3" s="31" t="s">
        <v>29</v>
      </c>
      <c r="Y3" s="31" t="s">
        <v>30</v>
      </c>
      <c r="Z3" s="31" t="s">
        <v>31</v>
      </c>
      <c r="AA3" s="31" t="s">
        <v>32</v>
      </c>
      <c r="AB3" s="31" t="s">
        <v>33</v>
      </c>
      <c r="AC3" s="31" t="s">
        <v>34</v>
      </c>
      <c r="AD3" s="31" t="s">
        <v>35</v>
      </c>
      <c r="AE3" s="31" t="s">
        <v>120</v>
      </c>
      <c r="AF3" s="31" t="s">
        <v>121</v>
      </c>
      <c r="AG3" s="31" t="s">
        <v>122</v>
      </c>
      <c r="AH3" s="31" t="s">
        <v>123</v>
      </c>
      <c r="AI3" s="31" t="s">
        <v>124</v>
      </c>
      <c r="AJ3" s="31" t="s">
        <v>125</v>
      </c>
    </row>
    <row r="4" spans="1:36" x14ac:dyDescent="0.2">
      <c r="A4" s="35" t="s">
        <v>117</v>
      </c>
      <c r="B4" s="63">
        <v>37</v>
      </c>
      <c r="C4" s="63"/>
      <c r="D4" s="35"/>
      <c r="E4" s="56" t="s">
        <v>12</v>
      </c>
      <c r="F4" s="56"/>
      <c r="G4" s="35"/>
      <c r="H4" s="35"/>
      <c r="I4" s="35"/>
      <c r="J4" s="35"/>
      <c r="K4" s="35"/>
      <c r="L4" s="35"/>
      <c r="M4" s="35"/>
      <c r="N4" s="35"/>
      <c r="U4" s="36">
        <v>80</v>
      </c>
      <c r="V4" s="37">
        <v>7.64</v>
      </c>
      <c r="W4" s="36">
        <v>6</v>
      </c>
      <c r="X4" s="36">
        <v>80</v>
      </c>
      <c r="Y4" s="36">
        <v>46</v>
      </c>
      <c r="Z4" s="38">
        <v>3.8</v>
      </c>
      <c r="AA4" s="36">
        <v>5</v>
      </c>
      <c r="AB4" s="38">
        <v>5.2</v>
      </c>
      <c r="AC4" s="38">
        <v>10.199999999999999</v>
      </c>
      <c r="AD4" s="36">
        <v>59</v>
      </c>
      <c r="AE4" s="38">
        <v>80.099999999999994</v>
      </c>
      <c r="AF4" s="36">
        <v>20</v>
      </c>
      <c r="AG4" s="37">
        <v>3.24</v>
      </c>
      <c r="AH4" s="37">
        <v>8.49</v>
      </c>
      <c r="AI4" s="37">
        <v>3.69</v>
      </c>
      <c r="AJ4" s="37">
        <v>1.05</v>
      </c>
    </row>
    <row r="5" spans="1:36" ht="21" x14ac:dyDescent="0.2">
      <c r="A5" s="35" t="s">
        <v>127</v>
      </c>
      <c r="B5" s="35">
        <f>IF(B4=A1,2.4,IF(B4=A2,2.8,3.6))</f>
        <v>2.4</v>
      </c>
      <c r="C5" s="35" t="s">
        <v>89</v>
      </c>
      <c r="D5" s="35"/>
      <c r="E5" s="62" t="s">
        <v>128</v>
      </c>
      <c r="F5" s="62"/>
      <c r="G5" s="40">
        <v>1800</v>
      </c>
      <c r="H5" s="35" t="s">
        <v>0</v>
      </c>
      <c r="I5" s="35"/>
      <c r="J5" s="35"/>
      <c r="K5" s="35"/>
      <c r="L5" s="35"/>
      <c r="M5" s="35"/>
      <c r="N5" s="35"/>
      <c r="U5" s="36">
        <v>100</v>
      </c>
      <c r="V5" s="38">
        <v>10.3</v>
      </c>
      <c r="W5" s="38">
        <v>8.1</v>
      </c>
      <c r="X5" s="36">
        <v>100</v>
      </c>
      <c r="Y5" s="36">
        <v>55</v>
      </c>
      <c r="Z5" s="38">
        <v>4.0999999999999996</v>
      </c>
      <c r="AA5" s="36">
        <v>7</v>
      </c>
      <c r="AB5" s="38">
        <v>5.7</v>
      </c>
      <c r="AC5" s="38">
        <v>12.7</v>
      </c>
      <c r="AD5" s="36">
        <v>74</v>
      </c>
      <c r="AE5" s="36">
        <v>171</v>
      </c>
      <c r="AF5" s="38">
        <v>34.200000000000003</v>
      </c>
      <c r="AG5" s="37">
        <v>4.07</v>
      </c>
      <c r="AH5" s="38">
        <v>15.9</v>
      </c>
      <c r="AI5" s="37">
        <v>5.79</v>
      </c>
      <c r="AJ5" s="37">
        <v>1.24</v>
      </c>
    </row>
    <row r="6" spans="1:36" ht="21" x14ac:dyDescent="0.2">
      <c r="A6" s="35" t="s">
        <v>129</v>
      </c>
      <c r="B6" s="35">
        <f>IF(B4=A1,3.7,IF(B4=A2,4.4,5.2))</f>
        <v>3.7</v>
      </c>
      <c r="C6" s="35" t="s">
        <v>89</v>
      </c>
      <c r="D6" s="35"/>
      <c r="E6" s="62" t="s">
        <v>46</v>
      </c>
      <c r="F6" s="62"/>
      <c r="G6" s="40">
        <v>5</v>
      </c>
      <c r="H6" s="35" t="s">
        <v>1</v>
      </c>
      <c r="I6" s="35"/>
      <c r="J6" s="35"/>
      <c r="K6" s="35"/>
      <c r="L6" s="35"/>
      <c r="M6" s="35"/>
      <c r="N6" s="35"/>
      <c r="U6" s="36">
        <v>120</v>
      </c>
      <c r="V6" s="38">
        <v>13.2</v>
      </c>
      <c r="W6" s="38">
        <v>10.4</v>
      </c>
      <c r="X6" s="36">
        <v>120</v>
      </c>
      <c r="Y6" s="36">
        <v>64</v>
      </c>
      <c r="Z6" s="38">
        <v>4.4000000000000004</v>
      </c>
      <c r="AA6" s="36">
        <v>7</v>
      </c>
      <c r="AB6" s="38">
        <v>6.3</v>
      </c>
      <c r="AC6" s="38">
        <v>13.3</v>
      </c>
      <c r="AD6" s="36">
        <v>93</v>
      </c>
      <c r="AE6" s="36">
        <v>318</v>
      </c>
      <c r="AF6" s="36">
        <v>53</v>
      </c>
      <c r="AG6" s="38">
        <v>4.9000000000000004</v>
      </c>
      <c r="AH6" s="38">
        <v>27.7</v>
      </c>
      <c r="AI6" s="37">
        <v>8.65</v>
      </c>
      <c r="AJ6" s="37">
        <v>1.45</v>
      </c>
    </row>
    <row r="7" spans="1:36" ht="20.25" x14ac:dyDescent="0.2">
      <c r="A7" s="39"/>
      <c r="B7" s="39"/>
      <c r="C7" s="39"/>
      <c r="D7" s="39"/>
      <c r="E7" s="62" t="s">
        <v>130</v>
      </c>
      <c r="F7" s="62"/>
      <c r="G7" s="40">
        <v>30</v>
      </c>
      <c r="H7" s="35" t="s">
        <v>1</v>
      </c>
      <c r="I7" s="35"/>
      <c r="J7" s="35"/>
      <c r="K7" s="35"/>
      <c r="L7" s="35"/>
      <c r="M7" s="35"/>
      <c r="N7" s="35"/>
      <c r="U7" s="36">
        <v>140</v>
      </c>
      <c r="V7" s="38">
        <v>16.399999999999999</v>
      </c>
      <c r="W7" s="38">
        <v>12.9</v>
      </c>
      <c r="X7" s="36">
        <v>140</v>
      </c>
      <c r="Y7" s="36">
        <v>73</v>
      </c>
      <c r="Z7" s="38">
        <v>4.7</v>
      </c>
      <c r="AA7" s="36">
        <v>7</v>
      </c>
      <c r="AB7" s="38">
        <v>6.9</v>
      </c>
      <c r="AC7" s="38">
        <v>13.9</v>
      </c>
      <c r="AD7" s="36">
        <v>112</v>
      </c>
      <c r="AE7" s="36">
        <v>541</v>
      </c>
      <c r="AF7" s="38">
        <v>77.3</v>
      </c>
      <c r="AG7" s="37">
        <v>5.74</v>
      </c>
      <c r="AH7" s="38">
        <v>44.9</v>
      </c>
      <c r="AI7" s="38">
        <v>12.3</v>
      </c>
      <c r="AJ7" s="37">
        <v>1.65</v>
      </c>
    </row>
    <row r="8" spans="1:36" x14ac:dyDescent="0.2">
      <c r="A8" s="56" t="s">
        <v>159</v>
      </c>
      <c r="B8" s="56"/>
      <c r="C8" s="56"/>
      <c r="D8" s="39"/>
      <c r="E8" s="35"/>
      <c r="F8" s="35"/>
      <c r="G8" s="35"/>
      <c r="H8" s="35"/>
      <c r="I8" s="35"/>
      <c r="J8" s="35"/>
      <c r="K8" s="35"/>
      <c r="L8" s="35"/>
      <c r="M8" s="35"/>
      <c r="N8" s="35"/>
      <c r="U8" s="36">
        <v>160</v>
      </c>
      <c r="V8" s="38">
        <v>20.100000000000001</v>
      </c>
      <c r="W8" s="38">
        <v>15.8</v>
      </c>
      <c r="X8" s="36">
        <v>160</v>
      </c>
      <c r="Y8" s="36">
        <v>82</v>
      </c>
      <c r="Z8" s="36">
        <v>5</v>
      </c>
      <c r="AA8" s="36">
        <v>9</v>
      </c>
      <c r="AB8" s="38">
        <v>7.4</v>
      </c>
      <c r="AC8" s="38">
        <v>16.399999999999999</v>
      </c>
      <c r="AD8" s="36">
        <v>127</v>
      </c>
      <c r="AE8" s="36">
        <v>869</v>
      </c>
      <c r="AF8" s="36">
        <v>109</v>
      </c>
      <c r="AG8" s="37">
        <v>6.58</v>
      </c>
      <c r="AH8" s="38">
        <v>68.3</v>
      </c>
      <c r="AI8" s="38">
        <v>16.7</v>
      </c>
      <c r="AJ8" s="37">
        <v>1.84</v>
      </c>
    </row>
    <row r="9" spans="1:36" ht="20.25" x14ac:dyDescent="0.2">
      <c r="A9" s="35" t="s">
        <v>131</v>
      </c>
      <c r="B9" s="40">
        <v>150</v>
      </c>
      <c r="C9" s="35" t="s">
        <v>2</v>
      </c>
      <c r="D9" s="39"/>
      <c r="E9" s="35"/>
      <c r="F9" s="35"/>
      <c r="G9" s="35"/>
      <c r="H9" s="35"/>
      <c r="I9" s="35"/>
      <c r="J9" s="35"/>
      <c r="K9" s="35"/>
      <c r="L9" s="35"/>
      <c r="M9" s="35"/>
      <c r="N9" s="35"/>
      <c r="U9" s="36">
        <v>180</v>
      </c>
      <c r="V9" s="38">
        <v>23.9</v>
      </c>
      <c r="W9" s="38">
        <v>18.8</v>
      </c>
      <c r="X9" s="36">
        <v>180</v>
      </c>
      <c r="Y9" s="36">
        <v>91</v>
      </c>
      <c r="Z9" s="38">
        <v>5.3</v>
      </c>
      <c r="AA9" s="36">
        <v>9</v>
      </c>
      <c r="AB9" s="36">
        <v>8</v>
      </c>
      <c r="AC9" s="36">
        <v>17</v>
      </c>
      <c r="AD9" s="36">
        <v>146</v>
      </c>
      <c r="AE9" s="36">
        <v>1320</v>
      </c>
      <c r="AF9" s="36">
        <v>146</v>
      </c>
      <c r="AG9" s="37">
        <v>7.42</v>
      </c>
      <c r="AH9" s="36">
        <v>101</v>
      </c>
      <c r="AI9" s="38">
        <v>22.2</v>
      </c>
      <c r="AJ9" s="37">
        <v>2.0499999999999998</v>
      </c>
    </row>
    <row r="10" spans="1:36" ht="20.25" x14ac:dyDescent="0.2">
      <c r="A10" s="46" t="s">
        <v>157</v>
      </c>
      <c r="B10" s="51">
        <f>0.8*2000</f>
        <v>1600</v>
      </c>
      <c r="C10" s="46" t="s">
        <v>2</v>
      </c>
      <c r="D10" s="35"/>
      <c r="E10" s="56" t="s">
        <v>52</v>
      </c>
      <c r="F10" s="56"/>
      <c r="G10" s="35"/>
      <c r="H10" s="35"/>
      <c r="I10" s="35"/>
      <c r="J10" s="35"/>
      <c r="K10" s="35"/>
      <c r="L10" s="35"/>
      <c r="M10" s="35"/>
      <c r="N10" s="35"/>
      <c r="U10" s="36">
        <v>200</v>
      </c>
      <c r="V10" s="38">
        <v>28.5</v>
      </c>
      <c r="W10" s="38">
        <v>22.4</v>
      </c>
      <c r="X10" s="36">
        <v>200</v>
      </c>
      <c r="Y10" s="36">
        <v>100</v>
      </c>
      <c r="Z10" s="38">
        <v>5.6</v>
      </c>
      <c r="AA10" s="36">
        <v>12</v>
      </c>
      <c r="AB10" s="38">
        <v>8.5</v>
      </c>
      <c r="AC10" s="38">
        <v>20.5</v>
      </c>
      <c r="AD10" s="36">
        <v>159</v>
      </c>
      <c r="AE10" s="36">
        <v>1940</v>
      </c>
      <c r="AF10" s="36">
        <v>194</v>
      </c>
      <c r="AG10" s="37">
        <v>8.26</v>
      </c>
      <c r="AH10" s="36">
        <v>142</v>
      </c>
      <c r="AI10" s="38">
        <v>28.5</v>
      </c>
      <c r="AJ10" s="37">
        <v>2.2400000000000002</v>
      </c>
    </row>
    <row r="11" spans="1:36" ht="20.25" x14ac:dyDescent="0.2">
      <c r="A11" s="46" t="s">
        <v>158</v>
      </c>
      <c r="B11" s="51">
        <v>150</v>
      </c>
      <c r="C11" s="46" t="s">
        <v>2</v>
      </c>
      <c r="D11" s="35"/>
      <c r="E11" s="56" t="s">
        <v>8</v>
      </c>
      <c r="F11" s="56"/>
      <c r="G11" s="35"/>
      <c r="H11" s="35"/>
      <c r="I11" s="35"/>
      <c r="K11" s="35"/>
      <c r="L11" s="35"/>
      <c r="M11" s="35"/>
      <c r="N11" s="35"/>
      <c r="U11" s="36">
        <v>220</v>
      </c>
      <c r="V11" s="38">
        <v>33.4</v>
      </c>
      <c r="W11" s="38">
        <v>26.2</v>
      </c>
      <c r="X11" s="36">
        <v>220</v>
      </c>
      <c r="Y11" s="36">
        <v>110</v>
      </c>
      <c r="Z11" s="38">
        <v>5.9</v>
      </c>
      <c r="AA11" s="36">
        <v>12</v>
      </c>
      <c r="AB11" s="38">
        <v>9.1999999999999993</v>
      </c>
      <c r="AC11" s="38">
        <v>21.2</v>
      </c>
      <c r="AD11" s="36">
        <v>177</v>
      </c>
      <c r="AE11" s="36">
        <v>2770</v>
      </c>
      <c r="AF11" s="36">
        <v>252</v>
      </c>
      <c r="AG11" s="37">
        <v>9.11</v>
      </c>
      <c r="AH11" s="36">
        <v>205</v>
      </c>
      <c r="AI11" s="38">
        <v>37.299999999999997</v>
      </c>
      <c r="AJ11" s="37">
        <v>2.48</v>
      </c>
    </row>
    <row r="12" spans="1:36" ht="21" x14ac:dyDescent="0.25">
      <c r="A12" s="35"/>
      <c r="B12" s="40"/>
      <c r="C12" s="35"/>
      <c r="D12" s="35"/>
      <c r="E12" s="52" t="s">
        <v>160</v>
      </c>
      <c r="F12" s="46">
        <f>(1/(0.1*B15-2*0.1*B19))*((B15/20)+(G6/(2*0.1*B17*B5))-(0.1*B19))</f>
        <v>0.53891462442717664</v>
      </c>
      <c r="G12" s="53"/>
      <c r="H12" s="46"/>
      <c r="I12" s="46"/>
      <c r="J12" s="46"/>
      <c r="K12" s="46"/>
      <c r="L12" s="46"/>
      <c r="M12" s="46"/>
      <c r="N12" s="35"/>
      <c r="U12" s="36">
        <v>240</v>
      </c>
      <c r="V12" s="38">
        <v>39.1</v>
      </c>
      <c r="W12" s="38">
        <v>30.7</v>
      </c>
      <c r="X12" s="36">
        <v>240</v>
      </c>
      <c r="Y12" s="36">
        <v>120</v>
      </c>
      <c r="Z12" s="38">
        <v>6.2</v>
      </c>
      <c r="AA12" s="36">
        <v>15</v>
      </c>
      <c r="AB12" s="38">
        <v>9.8000000000000007</v>
      </c>
      <c r="AC12" s="38">
        <v>24.8</v>
      </c>
      <c r="AD12" s="36">
        <v>190</v>
      </c>
      <c r="AE12" s="36">
        <v>3890</v>
      </c>
      <c r="AF12" s="36">
        <v>324</v>
      </c>
      <c r="AG12" s="37">
        <v>9.9700000000000006</v>
      </c>
      <c r="AH12" s="36">
        <v>284</v>
      </c>
      <c r="AI12" s="38">
        <v>47.3</v>
      </c>
      <c r="AJ12" s="37">
        <v>2.69</v>
      </c>
    </row>
    <row r="13" spans="1:36" ht="20.25" x14ac:dyDescent="0.2">
      <c r="A13" s="56" t="s">
        <v>118</v>
      </c>
      <c r="B13" s="56"/>
      <c r="C13" s="56"/>
      <c r="D13" s="35"/>
      <c r="E13" s="35" t="s">
        <v>95</v>
      </c>
      <c r="F13" s="35">
        <f>B21/B17</f>
        <v>37.25</v>
      </c>
      <c r="G13" s="54" t="str">
        <f>IF(AND(F12&gt;0.5,F13&lt;=((699/SQRT(B5))/(13*F12-1))),B1,IF(AND(F12&lt;=0.5,F13&lt;=((63.3/F12)/SQRT(B5))),B1,B2))</f>
        <v>Compact</v>
      </c>
      <c r="H13" s="62" t="s">
        <v>55</v>
      </c>
      <c r="I13" s="62" t="str">
        <f>IF(AND(G13=B1,G14=B1),B1,IF(AND(G13=B1,G14=B2),B2,IF(AND(G13=B2,G14=B1),B2,B3)))</f>
        <v>Compact</v>
      </c>
      <c r="J13" s="62" t="s">
        <v>116</v>
      </c>
      <c r="M13" s="41"/>
      <c r="N13" s="35"/>
      <c r="U13" s="36">
        <v>270</v>
      </c>
      <c r="V13" s="38">
        <v>45.9</v>
      </c>
      <c r="W13" s="38">
        <v>36.1</v>
      </c>
      <c r="X13" s="36">
        <v>270</v>
      </c>
      <c r="Y13" s="36">
        <v>135</v>
      </c>
      <c r="Z13" s="38">
        <v>6.6</v>
      </c>
      <c r="AA13" s="36">
        <v>15</v>
      </c>
      <c r="AB13" s="38">
        <v>10.199999999999999</v>
      </c>
      <c r="AC13" s="38">
        <v>25.2</v>
      </c>
      <c r="AD13" s="36">
        <v>219</v>
      </c>
      <c r="AE13" s="36">
        <v>5790</v>
      </c>
      <c r="AF13" s="36">
        <v>429</v>
      </c>
      <c r="AG13" s="38">
        <v>11.2</v>
      </c>
      <c r="AH13" s="36">
        <v>420</v>
      </c>
      <c r="AI13" s="38">
        <v>62.2</v>
      </c>
      <c r="AJ13" s="37">
        <v>3.02</v>
      </c>
    </row>
    <row r="14" spans="1:36" ht="20.25" x14ac:dyDescent="0.3">
      <c r="A14" s="35" t="s">
        <v>19</v>
      </c>
      <c r="B14" s="65">
        <v>360</v>
      </c>
      <c r="C14" s="65"/>
      <c r="D14" s="35"/>
      <c r="E14" s="35" t="s">
        <v>99</v>
      </c>
      <c r="F14" s="35">
        <f>(B16-B17-2*B18)/(2*B19)</f>
        <v>4.9606299212598426</v>
      </c>
      <c r="G14" s="41" t="str">
        <f>IF(F14&lt;=(16.9/SQRT(B5)),B1,IF(AND(F14&gt;(16.9/SQRT(B5)),F14&lt;=(33/SQRT(B5))),B2,B3))</f>
        <v>Compact</v>
      </c>
      <c r="H14" s="62"/>
      <c r="I14" s="62"/>
      <c r="J14" s="62"/>
      <c r="L14" s="41"/>
      <c r="M14" s="41"/>
      <c r="N14" s="35"/>
      <c r="U14" s="36">
        <v>300</v>
      </c>
      <c r="V14" s="38">
        <v>53.8</v>
      </c>
      <c r="W14" s="38">
        <v>42.2</v>
      </c>
      <c r="X14" s="36">
        <v>300</v>
      </c>
      <c r="Y14" s="36">
        <v>150</v>
      </c>
      <c r="Z14" s="38">
        <v>7.1</v>
      </c>
      <c r="AA14" s="36">
        <v>15</v>
      </c>
      <c r="AB14" s="38">
        <v>10.7</v>
      </c>
      <c r="AC14" s="38">
        <v>25.7</v>
      </c>
      <c r="AD14" s="36">
        <v>248</v>
      </c>
      <c r="AE14" s="36">
        <v>8360</v>
      </c>
      <c r="AF14" s="36">
        <v>557</v>
      </c>
      <c r="AG14" s="38">
        <v>12.5</v>
      </c>
      <c r="AH14" s="36">
        <v>604</v>
      </c>
      <c r="AI14" s="38">
        <v>80.5</v>
      </c>
      <c r="AJ14" s="37">
        <v>3.35</v>
      </c>
    </row>
    <row r="15" spans="1:36" ht="18" customHeight="1" x14ac:dyDescent="0.2">
      <c r="A15" s="35" t="s">
        <v>29</v>
      </c>
      <c r="B15" s="35">
        <f>VLOOKUP(B14,table,4,FALSE)</f>
        <v>360</v>
      </c>
      <c r="C15" s="35" t="s">
        <v>53</v>
      </c>
      <c r="D15" s="35"/>
      <c r="E15" s="39"/>
      <c r="F15" s="39"/>
      <c r="G15" s="41"/>
      <c r="H15" s="39"/>
      <c r="I15" s="39"/>
      <c r="J15" s="39"/>
      <c r="L15" s="41"/>
      <c r="M15" s="35"/>
      <c r="N15" s="35"/>
      <c r="U15" s="36">
        <v>330</v>
      </c>
      <c r="V15" s="38">
        <v>62.6</v>
      </c>
      <c r="W15" s="38">
        <v>49.1</v>
      </c>
      <c r="X15" s="36">
        <v>330</v>
      </c>
      <c r="Y15" s="36">
        <v>160</v>
      </c>
      <c r="Z15" s="38">
        <v>7.5</v>
      </c>
      <c r="AA15" s="36">
        <v>18</v>
      </c>
      <c r="AB15" s="38">
        <v>11.5</v>
      </c>
      <c r="AC15" s="38">
        <v>29.5</v>
      </c>
      <c r="AD15" s="36">
        <v>271</v>
      </c>
      <c r="AE15" s="36">
        <v>11770</v>
      </c>
      <c r="AF15" s="36">
        <v>713</v>
      </c>
      <c r="AG15" s="38">
        <v>13.7</v>
      </c>
      <c r="AH15" s="36">
        <v>788</v>
      </c>
      <c r="AI15" s="38">
        <v>98.5</v>
      </c>
      <c r="AJ15" s="37">
        <v>3.55</v>
      </c>
    </row>
    <row r="16" spans="1:36" x14ac:dyDescent="0.2">
      <c r="A16" s="35" t="s">
        <v>30</v>
      </c>
      <c r="B16" s="35">
        <f>VLOOKUP(B14,table,5,FALSE)</f>
        <v>170</v>
      </c>
      <c r="C16" s="35" t="s">
        <v>53</v>
      </c>
      <c r="D16" s="35"/>
      <c r="E16" s="45" t="s">
        <v>142</v>
      </c>
      <c r="F16" s="46"/>
      <c r="G16" s="46"/>
      <c r="H16" s="46"/>
      <c r="I16" s="46"/>
      <c r="J16" s="46"/>
      <c r="K16" s="46"/>
      <c r="L16" s="46"/>
      <c r="M16" s="35"/>
      <c r="U16" s="36">
        <v>360</v>
      </c>
      <c r="V16" s="38">
        <v>72.7</v>
      </c>
      <c r="W16" s="38">
        <v>57.1</v>
      </c>
      <c r="X16" s="36">
        <v>360</v>
      </c>
      <c r="Y16" s="36">
        <v>170</v>
      </c>
      <c r="Z16" s="36">
        <v>8</v>
      </c>
      <c r="AA16" s="36">
        <v>18</v>
      </c>
      <c r="AB16" s="38">
        <v>12.7</v>
      </c>
      <c r="AC16" s="38">
        <v>30.7</v>
      </c>
      <c r="AD16" s="36">
        <v>298</v>
      </c>
      <c r="AE16" s="36">
        <v>16270</v>
      </c>
      <c r="AF16" s="36">
        <v>904</v>
      </c>
      <c r="AG16" s="36">
        <v>15</v>
      </c>
      <c r="AH16" s="36">
        <v>1040</v>
      </c>
      <c r="AI16" s="36">
        <v>123</v>
      </c>
      <c r="AJ16" s="37">
        <v>3.79</v>
      </c>
    </row>
    <row r="17" spans="1:36" ht="20.25" customHeight="1" x14ac:dyDescent="0.2">
      <c r="A17" s="35" t="s">
        <v>31</v>
      </c>
      <c r="B17" s="35">
        <f>VLOOKUP(B14,table,6,FALSE)</f>
        <v>8</v>
      </c>
      <c r="C17" s="35" t="s">
        <v>53</v>
      </c>
      <c r="D17" s="35"/>
      <c r="E17" s="46" t="s">
        <v>107</v>
      </c>
      <c r="F17" s="46">
        <f>B29*B5</f>
        <v>2451.6479999999997</v>
      </c>
      <c r="G17" s="46" t="s">
        <v>0</v>
      </c>
      <c r="H17" s="46"/>
      <c r="I17" s="46"/>
      <c r="J17" s="46"/>
      <c r="K17" s="46"/>
      <c r="L17" s="46"/>
      <c r="U17" s="36">
        <v>400</v>
      </c>
      <c r="V17" s="38">
        <v>84.5</v>
      </c>
      <c r="W17" s="38">
        <v>66.3</v>
      </c>
      <c r="X17" s="36">
        <v>400</v>
      </c>
      <c r="Y17" s="36">
        <v>180</v>
      </c>
      <c r="Z17" s="38">
        <v>8.6</v>
      </c>
      <c r="AA17" s="36">
        <v>21</v>
      </c>
      <c r="AB17" s="38">
        <v>13.5</v>
      </c>
      <c r="AC17" s="38">
        <v>34.5</v>
      </c>
      <c r="AD17" s="36">
        <v>331</v>
      </c>
      <c r="AE17" s="36">
        <v>23130</v>
      </c>
      <c r="AF17" s="36">
        <v>1160</v>
      </c>
      <c r="AG17" s="38">
        <v>16.5</v>
      </c>
      <c r="AH17" s="36">
        <v>1320</v>
      </c>
      <c r="AI17" s="36">
        <v>146</v>
      </c>
      <c r="AJ17" s="37">
        <v>3.95</v>
      </c>
    </row>
    <row r="18" spans="1:36" ht="20.25" customHeight="1" x14ac:dyDescent="0.2">
      <c r="A18" s="35" t="s">
        <v>32</v>
      </c>
      <c r="B18" s="35">
        <f>VLOOKUP(B14,table,7,FALSE)</f>
        <v>18</v>
      </c>
      <c r="C18" s="35" t="s">
        <v>53</v>
      </c>
      <c r="D18" s="35"/>
      <c r="E18" s="46" t="str">
        <f>IF(B9&lt;=B32,"Lb &lt;= Lp","")</f>
        <v>Lb &lt;= Lp</v>
      </c>
      <c r="F18" s="46" t="str">
        <f>IF(B9&lt;=B32,"&gt;&gt;&gt;","")</f>
        <v>&gt;&gt;&gt;</v>
      </c>
      <c r="G18" s="46" t="str">
        <f>IF(B9&lt;=B32,"Mnx =","")</f>
        <v>Mnx =</v>
      </c>
      <c r="H18" s="46">
        <f>IF(B9&lt;=B32,F17,"")</f>
        <v>2451.6479999999997</v>
      </c>
      <c r="I18" s="55" t="s">
        <v>55</v>
      </c>
      <c r="J18" s="46"/>
      <c r="K18" s="46"/>
      <c r="L18" s="46"/>
      <c r="N18" s="35"/>
      <c r="U18" s="36">
        <v>450</v>
      </c>
      <c r="V18" s="38">
        <v>98.8</v>
      </c>
      <c r="W18" s="38">
        <v>77.599999999999994</v>
      </c>
      <c r="X18" s="36">
        <v>450</v>
      </c>
      <c r="Y18" s="36">
        <v>190</v>
      </c>
      <c r="Z18" s="38">
        <v>9.4</v>
      </c>
      <c r="AA18" s="36">
        <v>21</v>
      </c>
      <c r="AB18" s="38">
        <v>14.6</v>
      </c>
      <c r="AC18" s="38">
        <v>35.6</v>
      </c>
      <c r="AD18" s="36">
        <v>378</v>
      </c>
      <c r="AE18" s="36">
        <v>33740</v>
      </c>
      <c r="AF18" s="36">
        <v>1500</v>
      </c>
      <c r="AG18" s="38">
        <v>18.5</v>
      </c>
      <c r="AH18" s="36">
        <v>1680</v>
      </c>
      <c r="AI18" s="36">
        <v>176</v>
      </c>
      <c r="AJ18" s="37">
        <v>4.12</v>
      </c>
    </row>
    <row r="19" spans="1:36" ht="20.25" customHeight="1" x14ac:dyDescent="0.2">
      <c r="A19" s="35" t="s">
        <v>33</v>
      </c>
      <c r="B19" s="35">
        <f>VLOOKUP(B14,table,8,FALSE)</f>
        <v>12.7</v>
      </c>
      <c r="C19" s="35" t="s">
        <v>53</v>
      </c>
      <c r="D19" s="35"/>
      <c r="E19" s="46" t="str">
        <f>IF(AND(B9&gt;B32,B9&lt;=B35),"Lp &lt; Lb &lt;= Lr","")</f>
        <v/>
      </c>
      <c r="F19" s="46" t="str">
        <f>IF(AND(B9&gt;B32,B9&lt;=B35),"&gt;&gt;&gt;","")</f>
        <v/>
      </c>
      <c r="G19" s="46" t="str">
        <f>IF(AND(B9&gt;B32,B9&lt;=B35),"Mnx =","")</f>
        <v/>
      </c>
      <c r="H19" s="46" t="str">
        <f>IF(AND(B9&gt;B32,B9&lt;=B35),MIN((F17-(F17-(B28*0.75*B5))*((B9-B32)/(B35-B32))),F17),"")</f>
        <v/>
      </c>
      <c r="I19" s="55"/>
      <c r="J19" s="46" t="s">
        <v>109</v>
      </c>
      <c r="K19" s="46">
        <f>IF(B9&lt;=B32,H18,IF(AND(B9&gt;B32,B9&lt;=B35),H19,H20))</f>
        <v>2451.6479999999997</v>
      </c>
      <c r="L19" s="46" t="s">
        <v>0</v>
      </c>
      <c r="M19" s="35"/>
      <c r="N19" s="35"/>
      <c r="U19" s="36">
        <v>500</v>
      </c>
      <c r="V19" s="36">
        <v>116</v>
      </c>
      <c r="W19" s="38">
        <v>90.7</v>
      </c>
      <c r="X19" s="36">
        <v>500</v>
      </c>
      <c r="Y19" s="36">
        <v>200</v>
      </c>
      <c r="Z19" s="38">
        <v>10.199999999999999</v>
      </c>
      <c r="AA19" s="36">
        <v>21</v>
      </c>
      <c r="AB19" s="36">
        <v>16</v>
      </c>
      <c r="AC19" s="36">
        <v>37</v>
      </c>
      <c r="AD19" s="36">
        <v>426</v>
      </c>
      <c r="AE19" s="36">
        <v>48200</v>
      </c>
      <c r="AF19" s="36">
        <v>1930</v>
      </c>
      <c r="AG19" s="38">
        <v>20.399999999999999</v>
      </c>
      <c r="AH19" s="36">
        <v>2140</v>
      </c>
      <c r="AI19" s="36">
        <v>214</v>
      </c>
      <c r="AJ19" s="37">
        <v>4.3099999999999996</v>
      </c>
    </row>
    <row r="20" spans="1:36" x14ac:dyDescent="0.2">
      <c r="A20" s="35" t="s">
        <v>34</v>
      </c>
      <c r="B20" s="35">
        <f>VLOOKUP(B14,table,9,FALSE)</f>
        <v>30.7</v>
      </c>
      <c r="C20" s="35" t="s">
        <v>53</v>
      </c>
      <c r="D20" s="35"/>
      <c r="E20" s="46" t="str">
        <f>IF(B9&gt;B35,"Lb &gt; Lr","")</f>
        <v/>
      </c>
      <c r="F20" s="46" t="str">
        <f>IF(B9&gt;B35,"&gt;&gt;&gt;","")</f>
        <v/>
      </c>
      <c r="G20" s="46" t="str">
        <f>IF(B9&gt;B35,"Mnx =","")</f>
        <v/>
      </c>
      <c r="H20" s="46" t="str">
        <f>IF(B9&gt;B35,B28*SQRT(((1380*0.1*B16*0.1*B19)/(0.1*B15*B9))^2+(20700/(B9/B33)^2)^2),"")</f>
        <v/>
      </c>
      <c r="I20" s="55"/>
      <c r="J20" s="46"/>
      <c r="K20" s="46"/>
      <c r="L20" s="46"/>
      <c r="M20" s="35"/>
      <c r="N20" s="35"/>
      <c r="U20" s="36">
        <v>550</v>
      </c>
      <c r="V20" s="36">
        <v>134</v>
      </c>
      <c r="W20" s="36">
        <v>106</v>
      </c>
      <c r="X20" s="36">
        <v>550</v>
      </c>
      <c r="Y20" s="36">
        <v>210</v>
      </c>
      <c r="Z20" s="38">
        <v>11.1</v>
      </c>
      <c r="AA20" s="36">
        <v>24</v>
      </c>
      <c r="AB20" s="38">
        <v>17.2</v>
      </c>
      <c r="AC20" s="38">
        <v>41.2</v>
      </c>
      <c r="AD20" s="36">
        <v>467</v>
      </c>
      <c r="AE20" s="36">
        <v>67120</v>
      </c>
      <c r="AF20" s="36">
        <v>2440</v>
      </c>
      <c r="AG20" s="38">
        <v>22.3</v>
      </c>
      <c r="AH20" s="36">
        <v>2670</v>
      </c>
      <c r="AI20" s="36">
        <v>254</v>
      </c>
      <c r="AJ20" s="37">
        <v>4.45</v>
      </c>
    </row>
    <row r="21" spans="1:36" x14ac:dyDescent="0.2">
      <c r="A21" s="35" t="s">
        <v>35</v>
      </c>
      <c r="B21" s="35">
        <f>VLOOKUP(B14,table,10,FALSE)</f>
        <v>298</v>
      </c>
      <c r="C21" s="35" t="s">
        <v>53</v>
      </c>
      <c r="D21" s="35"/>
      <c r="E21" s="46"/>
      <c r="F21" s="46"/>
      <c r="G21" s="46"/>
      <c r="H21" s="46"/>
      <c r="I21" s="46"/>
      <c r="J21" s="46"/>
      <c r="K21" s="46"/>
      <c r="L21" s="46"/>
      <c r="M21" s="35"/>
      <c r="N21" s="35"/>
      <c r="U21" s="36">
        <v>600</v>
      </c>
      <c r="V21" s="36">
        <v>156</v>
      </c>
      <c r="W21" s="36">
        <v>122</v>
      </c>
      <c r="X21" s="36">
        <v>600</v>
      </c>
      <c r="Y21" s="36">
        <v>220</v>
      </c>
      <c r="Z21" s="36">
        <v>12</v>
      </c>
      <c r="AA21" s="36">
        <v>24</v>
      </c>
      <c r="AB21" s="36">
        <v>19</v>
      </c>
      <c r="AC21" s="36">
        <v>43</v>
      </c>
      <c r="AD21" s="36">
        <v>514</v>
      </c>
      <c r="AE21" s="36">
        <v>92080</v>
      </c>
      <c r="AF21" s="36">
        <v>3070</v>
      </c>
      <c r="AG21" s="38">
        <v>24.3</v>
      </c>
      <c r="AH21" s="36">
        <v>3390</v>
      </c>
      <c r="AI21" s="36">
        <v>308</v>
      </c>
      <c r="AJ21" s="37">
        <v>4.66</v>
      </c>
    </row>
    <row r="22" spans="1:36" x14ac:dyDescent="0.2">
      <c r="A22" s="35"/>
      <c r="B22" s="35"/>
      <c r="C22" s="35"/>
      <c r="D22" s="35"/>
      <c r="E22" s="64" t="s">
        <v>143</v>
      </c>
      <c r="F22" s="64"/>
      <c r="G22" s="46"/>
      <c r="H22" s="46"/>
      <c r="I22" s="46"/>
      <c r="J22" s="46"/>
      <c r="K22" s="46"/>
      <c r="L22" s="46"/>
      <c r="M22" s="35"/>
      <c r="N22" s="35"/>
    </row>
    <row r="23" spans="1:36" x14ac:dyDescent="0.2">
      <c r="A23" s="35"/>
      <c r="B23" s="35"/>
      <c r="C23" s="35"/>
      <c r="D23" s="35"/>
      <c r="E23" s="64" t="s">
        <v>144</v>
      </c>
      <c r="F23" s="64"/>
      <c r="G23" s="55"/>
      <c r="H23" s="55"/>
      <c r="I23" s="64" t="s">
        <v>145</v>
      </c>
      <c r="J23" s="64"/>
      <c r="K23" s="46"/>
      <c r="L23" s="46"/>
      <c r="M23" s="35"/>
      <c r="N23" s="35"/>
    </row>
    <row r="24" spans="1:36" ht="20.25" x14ac:dyDescent="0.2">
      <c r="A24" s="56" t="s">
        <v>126</v>
      </c>
      <c r="B24" s="56"/>
      <c r="C24" s="56"/>
      <c r="D24" s="35"/>
      <c r="E24" s="46" t="s">
        <v>146</v>
      </c>
      <c r="F24" s="46">
        <f>B10/B30</f>
        <v>106.66666666666667</v>
      </c>
      <c r="G24" s="49" t="str">
        <f>IF(F24&lt;180,"Safe","Unsafe")</f>
        <v>Safe</v>
      </c>
      <c r="H24" s="46"/>
      <c r="I24" s="46" t="s">
        <v>147</v>
      </c>
      <c r="J24" s="46">
        <f>B11/B31</f>
        <v>39.577836411609496</v>
      </c>
      <c r="K24" s="49" t="str">
        <f>IF(J24&lt;=180,"Safe","Unsafe")</f>
        <v>Safe</v>
      </c>
      <c r="L24" s="46"/>
      <c r="M24" s="35"/>
      <c r="N24" s="35"/>
    </row>
    <row r="25" spans="1:36" ht="21" x14ac:dyDescent="0.2">
      <c r="A25" s="35" t="s">
        <v>21</v>
      </c>
      <c r="B25" s="35">
        <f>VLOOKUP(B14,table,2,FALSE)</f>
        <v>72.7</v>
      </c>
      <c r="C25" s="35" t="s">
        <v>94</v>
      </c>
      <c r="D25" s="35"/>
      <c r="E25" s="46" t="s">
        <v>148</v>
      </c>
      <c r="F25" s="46">
        <f>F24*SQRT((B5)/(PI()^2*2100))</f>
        <v>1.1478227397562903</v>
      </c>
      <c r="G25" s="46"/>
      <c r="H25" s="46"/>
      <c r="I25" s="46" t="s">
        <v>149</v>
      </c>
      <c r="J25" s="46">
        <f>J24*SQRT((B5)/(PI()^2*2100))</f>
        <v>0.42589069334624885</v>
      </c>
      <c r="K25" s="46"/>
      <c r="L25" s="46"/>
      <c r="M25" s="35"/>
      <c r="N25" s="35"/>
    </row>
    <row r="26" spans="1:36" ht="21" x14ac:dyDescent="0.2">
      <c r="A26" s="35" t="s">
        <v>133</v>
      </c>
      <c r="B26" s="35">
        <f>VLOOKUP(B14,table,11,FALSE)</f>
        <v>16270</v>
      </c>
      <c r="C26" s="35" t="s">
        <v>98</v>
      </c>
      <c r="D26" s="35"/>
      <c r="E26" s="46" t="s">
        <v>150</v>
      </c>
      <c r="F26" s="46">
        <f>IF(F25&lt;1.1,B5*(1-0.384*(F25)^2),IF(F25&gt;1.1,(0.648*B5)/(F25)^2))</f>
        <v>1.1804201076271639</v>
      </c>
      <c r="G26" s="46" t="s">
        <v>89</v>
      </c>
      <c r="H26" s="46"/>
      <c r="I26" s="46" t="s">
        <v>150</v>
      </c>
      <c r="J26" s="46">
        <f>IF(J25&lt;1.1,B5*(1-0.384*(J25)^2),IF(J25&gt;1.1,(0.648*B5)/(J25)^2))</f>
        <v>2.2328375353230809</v>
      </c>
      <c r="K26" s="46" t="s">
        <v>89</v>
      </c>
      <c r="L26" s="46"/>
      <c r="M26" s="35"/>
      <c r="N26" s="35"/>
    </row>
    <row r="27" spans="1:36" ht="21" x14ac:dyDescent="0.2">
      <c r="A27" s="35" t="s">
        <v>134</v>
      </c>
      <c r="B27" s="35">
        <f>VLOOKUP(B14,table,14,FALSE)</f>
        <v>1040</v>
      </c>
      <c r="C27" s="35" t="s">
        <v>98</v>
      </c>
      <c r="D27" s="35"/>
      <c r="E27" s="46" t="s">
        <v>151</v>
      </c>
      <c r="F27" s="46">
        <f>F26*B25</f>
        <v>85.81654182449482</v>
      </c>
      <c r="G27" s="46" t="s">
        <v>152</v>
      </c>
      <c r="H27" s="46"/>
      <c r="I27" s="46" t="s">
        <v>153</v>
      </c>
      <c r="J27" s="46">
        <f>J26*B25</f>
        <v>162.32728881798798</v>
      </c>
      <c r="K27" s="46" t="s">
        <v>152</v>
      </c>
      <c r="L27" s="46"/>
      <c r="M27" s="35"/>
      <c r="N27" s="35"/>
    </row>
    <row r="28" spans="1:36" ht="21" x14ac:dyDescent="0.2">
      <c r="A28" s="35" t="s">
        <v>135</v>
      </c>
      <c r="B28" s="35">
        <f>VLOOKUP(B14,table,12,FALSE)</f>
        <v>904</v>
      </c>
      <c r="C28" s="35" t="s">
        <v>104</v>
      </c>
      <c r="D28" s="35"/>
      <c r="E28" s="46"/>
      <c r="F28" s="46"/>
      <c r="G28" s="46"/>
      <c r="H28" s="46"/>
      <c r="I28" s="46"/>
      <c r="J28" s="46"/>
      <c r="K28" s="46"/>
      <c r="L28" s="46"/>
      <c r="M28" s="35"/>
      <c r="N28" s="35"/>
    </row>
    <row r="29" spans="1:36" ht="21" x14ac:dyDescent="0.2">
      <c r="A29" s="35" t="s">
        <v>136</v>
      </c>
      <c r="B29" s="35">
        <f>1.13*B28</f>
        <v>1021.5199999999999</v>
      </c>
      <c r="C29" s="35" t="s">
        <v>104</v>
      </c>
      <c r="D29" s="35"/>
      <c r="E29" s="64" t="s">
        <v>154</v>
      </c>
      <c r="F29" s="64"/>
      <c r="G29" s="46"/>
      <c r="H29" s="46"/>
      <c r="I29" s="46"/>
      <c r="J29" s="46"/>
      <c r="K29" s="46"/>
      <c r="L29" s="46"/>
      <c r="M29" s="35"/>
      <c r="N29" s="35"/>
    </row>
    <row r="30" spans="1:36" ht="20.25" x14ac:dyDescent="0.2">
      <c r="A30" s="35" t="s">
        <v>137</v>
      </c>
      <c r="B30" s="35">
        <f>VLOOKUP(B14,table,13,FALSE)</f>
        <v>15</v>
      </c>
      <c r="C30" s="35" t="s">
        <v>2</v>
      </c>
      <c r="D30" s="35"/>
      <c r="E30" s="50" t="s">
        <v>155</v>
      </c>
      <c r="F30" s="50"/>
      <c r="G30" s="46"/>
      <c r="H30" s="46"/>
      <c r="I30" s="46"/>
      <c r="J30" s="46"/>
      <c r="K30" s="46"/>
      <c r="L30" s="46"/>
      <c r="M30" s="35"/>
    </row>
    <row r="31" spans="1:36" ht="20.25" x14ac:dyDescent="0.2">
      <c r="A31" s="35" t="s">
        <v>138</v>
      </c>
      <c r="B31" s="35">
        <f>VLOOKUP(B14,table,16,FALSE)</f>
        <v>3.79</v>
      </c>
      <c r="C31" s="35" t="s">
        <v>2</v>
      </c>
      <c r="D31" s="35"/>
      <c r="E31" s="55" t="str">
        <f>IF(G6/(0.8*F27)&lt;=0.2,"Pu / ᶲPnx &lt;= 0.2","")</f>
        <v>Pu / ᶲPnx &lt;= 0.2</v>
      </c>
      <c r="F31" s="55"/>
      <c r="G31" s="46" t="str">
        <f>IF(G6/(0.8*F27)&lt;=0.2,"&gt;&gt;&gt;&gt;","")</f>
        <v>&gt;&gt;&gt;&gt;</v>
      </c>
      <c r="H31" s="46">
        <f>IF(G6/(0.8*F27)&lt;=0.2,G6/(2*0.8*F27)+G5/(0.85*K19),"")</f>
        <v>0.90017961511664468</v>
      </c>
      <c r="I31" s="49" t="str">
        <f>IF((G6/(0.8*F27))&lt;=0.2,IF(H31&lt;=1,"Safe","Unsafe"),0)</f>
        <v>Safe</v>
      </c>
      <c r="J31" s="46"/>
      <c r="K31" s="46"/>
      <c r="L31" s="46"/>
    </row>
    <row r="32" spans="1:36" ht="20.25" x14ac:dyDescent="0.2">
      <c r="A32" s="35" t="s">
        <v>139</v>
      </c>
      <c r="B32" s="35">
        <f>(80*B31)/(SQRT(B5))</f>
        <v>195.71475842834812</v>
      </c>
      <c r="C32" s="35" t="s">
        <v>2</v>
      </c>
      <c r="D32" s="35"/>
      <c r="E32" s="55" t="str">
        <f>IF(G6/(0.8*F27)&gt;0.2,"Pu / ᶲPnx &gt; 0.2","")</f>
        <v/>
      </c>
      <c r="F32" s="55"/>
      <c r="G32" s="46" t="str">
        <f>IF(G6/(0.8*F27)&gt;0.2,"&gt;&gt;&gt;&gt;","")</f>
        <v/>
      </c>
      <c r="H32" s="46" t="str">
        <f>IF(G6/(0.8*F27)&gt;0.2,G6/(0.8*F27)+(8/9)*(G5/(0.85*K19)),"")</f>
        <v/>
      </c>
      <c r="I32" s="49" t="str">
        <f>IF((G6/(0.8*F27))&gt;0.2,IF(H32&lt;=1,"Safe","Unsafe"),"")</f>
        <v/>
      </c>
      <c r="J32" s="46"/>
      <c r="K32" s="46"/>
      <c r="L32" s="46"/>
    </row>
    <row r="33" spans="1:12" ht="20.25" x14ac:dyDescent="0.2">
      <c r="A33" s="35" t="s">
        <v>140</v>
      </c>
      <c r="B33" s="35">
        <f>0.1*SQRT((B19*B16^3/12)/(B16*B19+(1/6)*(B15-2*B19)*B17))</f>
        <v>4.4675522616511421</v>
      </c>
      <c r="C33" s="35" t="s">
        <v>2</v>
      </c>
      <c r="D33" s="35"/>
      <c r="E33" s="50" t="s">
        <v>156</v>
      </c>
      <c r="F33" s="50"/>
      <c r="G33" s="50"/>
      <c r="H33" s="46"/>
      <c r="I33" s="46"/>
      <c r="J33" s="46"/>
      <c r="K33" s="46"/>
      <c r="L33" s="46"/>
    </row>
    <row r="34" spans="1:12" x14ac:dyDescent="0.2">
      <c r="A34" s="35" t="s">
        <v>78</v>
      </c>
      <c r="B34" s="35">
        <f>((0.104*B33*0.1*B15)/(0.1*B16*0.1*B19))^2</f>
        <v>0.60021338850672168</v>
      </c>
      <c r="C34" s="35" t="s">
        <v>6</v>
      </c>
      <c r="D34" s="35"/>
      <c r="E34" s="55">
        <f>(G6/(0.8*J27))+(G5/(0.85*K19))^2</f>
        <v>0.78459195930232339</v>
      </c>
      <c r="F34" s="55"/>
      <c r="G34" s="49" t="str">
        <f>IF(E34&lt;=1,"Safe","Unsafe")</f>
        <v>Safe</v>
      </c>
      <c r="H34" s="46"/>
      <c r="I34" s="46"/>
      <c r="J34" s="46"/>
      <c r="K34" s="46"/>
      <c r="L34" s="46"/>
    </row>
    <row r="35" spans="1:12" ht="20.25" x14ac:dyDescent="0.2">
      <c r="A35" s="35" t="s">
        <v>141</v>
      </c>
      <c r="B35" s="35">
        <f>((1380*(B16/10)*(B19/10))/((B15/10)*0.75*B5))*SQRT(0.5*(1+SQRT(1+(2*B34*0.75*B5)^2)))</f>
        <v>597.80707321381908</v>
      </c>
      <c r="C35" s="35" t="s">
        <v>2</v>
      </c>
      <c r="E35" s="39"/>
      <c r="F35" s="39"/>
      <c r="G35" s="41"/>
      <c r="H35" s="39"/>
      <c r="I35" s="39"/>
      <c r="J35" s="39"/>
      <c r="K35" s="46"/>
      <c r="L35" s="46"/>
    </row>
    <row r="36" spans="1:12" x14ac:dyDescent="0.2">
      <c r="E36" s="32" t="s">
        <v>11</v>
      </c>
      <c r="F36" s="39"/>
      <c r="G36" s="39"/>
      <c r="H36" s="39"/>
      <c r="I36" s="39"/>
      <c r="J36" s="39"/>
      <c r="L36" s="41"/>
    </row>
    <row r="37" spans="1:12" ht="20.25" x14ac:dyDescent="0.2">
      <c r="E37" s="35" t="s">
        <v>132</v>
      </c>
      <c r="F37" s="35">
        <f>G7/(0.85*0.6*B5*0.1*B15*0.1*B17)</f>
        <v>0.85103485838779946</v>
      </c>
      <c r="G37" s="33" t="str">
        <f>IF(F37&lt;=1,"Safe","Unsafe")</f>
        <v>Safe</v>
      </c>
      <c r="H37" s="39"/>
      <c r="I37" s="62"/>
      <c r="J37" s="39"/>
      <c r="K37" s="39"/>
      <c r="L37" s="39"/>
    </row>
    <row r="38" spans="1:12" x14ac:dyDescent="0.2">
      <c r="E38" s="39"/>
      <c r="F38" s="39"/>
      <c r="G38" s="39"/>
      <c r="H38" s="39"/>
      <c r="I38" s="62"/>
      <c r="J38" s="39"/>
      <c r="K38" s="39"/>
      <c r="L38" s="39"/>
    </row>
    <row r="39" spans="1:12" x14ac:dyDescent="0.2">
      <c r="E39" s="39"/>
      <c r="F39" s="39"/>
      <c r="G39" s="39"/>
      <c r="H39" s="39"/>
      <c r="I39" s="39"/>
      <c r="J39" s="39"/>
      <c r="K39" s="39"/>
      <c r="L39" s="39"/>
    </row>
    <row r="40" spans="1:12" x14ac:dyDescent="0.2">
      <c r="E40" s="32"/>
      <c r="F40" s="39"/>
      <c r="G40" s="39"/>
      <c r="H40" s="39"/>
      <c r="I40" s="39"/>
      <c r="J40" s="39"/>
      <c r="K40" s="39"/>
      <c r="L40" s="39"/>
    </row>
    <row r="41" spans="1:12" x14ac:dyDescent="0.2">
      <c r="E41" s="35"/>
      <c r="F41" s="35"/>
      <c r="G41" s="33"/>
      <c r="H41" s="35"/>
      <c r="K41" s="39"/>
      <c r="L41" s="39"/>
    </row>
    <row r="42" spans="1:12" x14ac:dyDescent="0.2">
      <c r="E42" s="35"/>
      <c r="F42" s="35"/>
      <c r="G42" s="35"/>
      <c r="H42" s="35"/>
      <c r="L42" s="39"/>
    </row>
    <row r="43" spans="1:12" x14ac:dyDescent="0.2">
      <c r="E43" s="35"/>
      <c r="F43" s="35"/>
      <c r="G43" s="35"/>
      <c r="H43" s="35"/>
      <c r="I43" s="35"/>
      <c r="J43" s="35"/>
      <c r="L43" s="35"/>
    </row>
    <row r="44" spans="1:12" x14ac:dyDescent="0.2">
      <c r="E44" s="35"/>
      <c r="F44" s="35"/>
      <c r="G44" s="35"/>
      <c r="H44" s="35"/>
      <c r="I44" s="35"/>
      <c r="J44" s="35"/>
      <c r="K44" s="35"/>
      <c r="L44" s="35"/>
    </row>
    <row r="45" spans="1:12" x14ac:dyDescent="0.2">
      <c r="E45" s="35"/>
      <c r="F45" s="35"/>
      <c r="G45" s="35"/>
      <c r="H45" s="35"/>
      <c r="I45" s="35"/>
      <c r="J45" s="35"/>
      <c r="K45" s="35"/>
      <c r="L45" s="35"/>
    </row>
    <row r="46" spans="1:12" x14ac:dyDescent="0.2">
      <c r="E46" s="35"/>
      <c r="F46" s="35"/>
      <c r="G46" s="35"/>
      <c r="H46" s="35"/>
      <c r="I46" s="35"/>
      <c r="J46" s="35"/>
      <c r="K46" s="35"/>
      <c r="L46" s="35"/>
    </row>
    <row r="47" spans="1:12" x14ac:dyDescent="0.2">
      <c r="E47" s="35"/>
      <c r="F47" s="35"/>
      <c r="G47" s="35"/>
      <c r="H47" s="35"/>
      <c r="I47" s="35"/>
      <c r="J47" s="35"/>
      <c r="K47" s="35"/>
      <c r="L47" s="35"/>
    </row>
    <row r="48" spans="1:12" x14ac:dyDescent="0.2">
      <c r="E48" s="35"/>
      <c r="F48" s="35"/>
      <c r="G48" s="35"/>
      <c r="H48" s="35"/>
      <c r="I48" s="35"/>
      <c r="J48" s="35"/>
      <c r="K48" s="35"/>
      <c r="L48" s="35"/>
    </row>
    <row r="49" spans="5:12" x14ac:dyDescent="0.2">
      <c r="E49" s="35"/>
      <c r="F49" s="35"/>
      <c r="G49" s="35"/>
      <c r="H49" s="35"/>
      <c r="I49" s="35"/>
      <c r="J49" s="35"/>
      <c r="K49" s="35"/>
      <c r="L49" s="35"/>
    </row>
    <row r="50" spans="5:12" x14ac:dyDescent="0.2">
      <c r="I50" s="35"/>
      <c r="J50" s="35"/>
      <c r="K50" s="35"/>
      <c r="L50" s="35"/>
    </row>
    <row r="51" spans="5:12" x14ac:dyDescent="0.2">
      <c r="K51" s="35"/>
      <c r="L51" s="35"/>
    </row>
  </sheetData>
  <mergeCells count="28">
    <mergeCell ref="I37:I38"/>
    <mergeCell ref="E11:F11"/>
    <mergeCell ref="H13:H14"/>
    <mergeCell ref="I18:I20"/>
    <mergeCell ref="E23:F23"/>
    <mergeCell ref="G23:H23"/>
    <mergeCell ref="I23:J23"/>
    <mergeCell ref="E29:F29"/>
    <mergeCell ref="E31:F31"/>
    <mergeCell ref="E32:F32"/>
    <mergeCell ref="AH2:AJ2"/>
    <mergeCell ref="E4:F4"/>
    <mergeCell ref="A24:C24"/>
    <mergeCell ref="E5:F5"/>
    <mergeCell ref="B4:C4"/>
    <mergeCell ref="E6:F6"/>
    <mergeCell ref="E7:F7"/>
    <mergeCell ref="A13:C13"/>
    <mergeCell ref="E10:F10"/>
    <mergeCell ref="E22:F22"/>
    <mergeCell ref="J13:J14"/>
    <mergeCell ref="I13:I14"/>
    <mergeCell ref="B14:C14"/>
    <mergeCell ref="E34:F34"/>
    <mergeCell ref="A8:C8"/>
    <mergeCell ref="Y1:Z1"/>
    <mergeCell ref="X2:AD2"/>
    <mergeCell ref="AE2:AG2"/>
  </mergeCells>
  <conditionalFormatting sqref="G41 G37">
    <cfRule type="cellIs" dxfId="15" priority="3" operator="equal">
      <formula>"Unsafe"</formula>
    </cfRule>
    <cfRule type="cellIs" dxfId="14" priority="4" operator="equal">
      <formula>"Safe"</formula>
    </cfRule>
  </conditionalFormatting>
  <conditionalFormatting sqref="K24 G24 I31:I32 G34">
    <cfRule type="cellIs" dxfId="13" priority="2" operator="equal">
      <formula>"Safe"</formula>
    </cfRule>
  </conditionalFormatting>
  <conditionalFormatting sqref="K24 G24 I31:I32 G34">
    <cfRule type="cellIs" dxfId="12" priority="1" operator="equal">
      <formula>"Unsafe"</formula>
    </cfRule>
  </conditionalFormatting>
  <dataValidations count="2">
    <dataValidation type="list" allowBlank="1" showInputMessage="1" showErrorMessage="1" sqref="B14" xr:uid="{AED50D48-8643-4329-9499-BB6C71F341A7}">
      <formula1>$U$4:$U$21</formula1>
    </dataValidation>
    <dataValidation type="list" allowBlank="1" showInputMessage="1" showErrorMessage="1" sqref="B4" xr:uid="{B1D550CA-74EF-49FB-AD42-9DABF41F4513}">
      <formula1>$A$1:$A$3</formula1>
    </dataValidation>
  </dataValidations>
  <pageMargins left="0.7" right="0.7" top="0.75" bottom="0.75" header="0.3" footer="0.3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D1A2-874F-459B-B08C-D52CF85C7A89}">
  <sheetPr>
    <pageSetUpPr fitToPage="1"/>
  </sheetPr>
  <dimension ref="A1:AJ58"/>
  <sheetViews>
    <sheetView showGridLines="0" zoomScale="70" zoomScaleNormal="70" zoomScaleSheetLayoutView="40" workbookViewId="0">
      <selection activeCell="I29" sqref="I29"/>
    </sheetView>
  </sheetViews>
  <sheetFormatPr defaultRowHeight="18.75" x14ac:dyDescent="0.2"/>
  <cols>
    <col min="1" max="1" width="6.625" style="34" bestFit="1" customWidth="1"/>
    <col min="2" max="2" width="9" style="34"/>
    <col min="3" max="3" width="10.625" style="34" customWidth="1"/>
    <col min="4" max="4" width="7.75" style="34" customWidth="1"/>
    <col min="5" max="5" width="15.625" style="34" customWidth="1"/>
    <col min="6" max="6" width="11.875" style="34" customWidth="1"/>
    <col min="7" max="7" width="12.875" style="34" bestFit="1" customWidth="1"/>
    <col min="8" max="8" width="9.875" style="34" customWidth="1"/>
    <col min="9" max="9" width="10" style="34" customWidth="1"/>
    <col min="10" max="10" width="11.375" style="34" customWidth="1"/>
    <col min="11" max="16384" width="9" style="34"/>
  </cols>
  <sheetData>
    <row r="1" spans="1:36" x14ac:dyDescent="0.2">
      <c r="A1" s="33">
        <v>37</v>
      </c>
      <c r="B1" s="33" t="s">
        <v>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Y1" s="57" t="s">
        <v>19</v>
      </c>
      <c r="Z1" s="58"/>
    </row>
    <row r="2" spans="1:36" ht="18" customHeight="1" x14ac:dyDescent="0.2">
      <c r="A2" s="33">
        <v>44</v>
      </c>
      <c r="B2" s="33" t="s">
        <v>4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U2" s="31" t="s">
        <v>20</v>
      </c>
      <c r="V2" s="31" t="s">
        <v>21</v>
      </c>
      <c r="W2" s="31" t="s">
        <v>22</v>
      </c>
      <c r="X2" s="59" t="s">
        <v>23</v>
      </c>
      <c r="Y2" s="60"/>
      <c r="Z2" s="60"/>
      <c r="AA2" s="60"/>
      <c r="AB2" s="60"/>
      <c r="AC2" s="60"/>
      <c r="AD2" s="61"/>
      <c r="AE2" s="59" t="s">
        <v>24</v>
      </c>
      <c r="AF2" s="60"/>
      <c r="AG2" s="61"/>
      <c r="AH2" s="59" t="s">
        <v>25</v>
      </c>
      <c r="AI2" s="60"/>
      <c r="AJ2" s="61"/>
    </row>
    <row r="3" spans="1:36" ht="21.75" x14ac:dyDescent="0.2">
      <c r="A3" s="33">
        <v>52</v>
      </c>
      <c r="B3" s="33" t="s">
        <v>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U3" s="31" t="s">
        <v>26</v>
      </c>
      <c r="V3" s="31" t="s">
        <v>119</v>
      </c>
      <c r="W3" s="31" t="s">
        <v>28</v>
      </c>
      <c r="X3" s="31" t="s">
        <v>29</v>
      </c>
      <c r="Y3" s="31" t="s">
        <v>30</v>
      </c>
      <c r="Z3" s="31" t="s">
        <v>31</v>
      </c>
      <c r="AA3" s="31" t="s">
        <v>32</v>
      </c>
      <c r="AB3" s="31" t="s">
        <v>33</v>
      </c>
      <c r="AC3" s="31" t="s">
        <v>34</v>
      </c>
      <c r="AD3" s="31" t="s">
        <v>35</v>
      </c>
      <c r="AE3" s="31" t="s">
        <v>120</v>
      </c>
      <c r="AF3" s="31" t="s">
        <v>121</v>
      </c>
      <c r="AG3" s="31" t="s">
        <v>122</v>
      </c>
      <c r="AH3" s="31" t="s">
        <v>123</v>
      </c>
      <c r="AI3" s="31" t="s">
        <v>124</v>
      </c>
      <c r="AJ3" s="31" t="s">
        <v>125</v>
      </c>
    </row>
    <row r="4" spans="1:36" x14ac:dyDescent="0.2">
      <c r="A4" s="42" t="s">
        <v>117</v>
      </c>
      <c r="B4" s="63">
        <v>37</v>
      </c>
      <c r="C4" s="63"/>
      <c r="D4" s="42"/>
      <c r="E4" s="56" t="s">
        <v>12</v>
      </c>
      <c r="F4" s="56"/>
      <c r="G4" s="42"/>
      <c r="H4" s="42"/>
      <c r="I4" s="42"/>
      <c r="J4" s="42"/>
      <c r="K4" s="42"/>
      <c r="L4" s="42"/>
      <c r="M4" s="42"/>
      <c r="N4" s="42"/>
      <c r="U4" s="36">
        <v>80</v>
      </c>
      <c r="V4" s="37">
        <v>7.64</v>
      </c>
      <c r="W4" s="36">
        <v>6</v>
      </c>
      <c r="X4" s="36">
        <v>80</v>
      </c>
      <c r="Y4" s="36">
        <v>46</v>
      </c>
      <c r="Z4" s="38">
        <v>3.8</v>
      </c>
      <c r="AA4" s="36">
        <v>5</v>
      </c>
      <c r="AB4" s="38">
        <v>5.2</v>
      </c>
      <c r="AC4" s="38">
        <v>10.199999999999999</v>
      </c>
      <c r="AD4" s="36">
        <v>59</v>
      </c>
      <c r="AE4" s="38">
        <v>80.099999999999994</v>
      </c>
      <c r="AF4" s="36">
        <v>20</v>
      </c>
      <c r="AG4" s="37">
        <v>3.24</v>
      </c>
      <c r="AH4" s="37">
        <v>8.49</v>
      </c>
      <c r="AI4" s="37">
        <v>3.69</v>
      </c>
      <c r="AJ4" s="37">
        <v>1.05</v>
      </c>
    </row>
    <row r="5" spans="1:36" ht="21" x14ac:dyDescent="0.2">
      <c r="A5" s="42" t="s">
        <v>127</v>
      </c>
      <c r="B5" s="42">
        <f>IF(B4=A1,2.4,IF(B4=A2,2.8,3.6))</f>
        <v>2.4</v>
      </c>
      <c r="C5" s="42" t="s">
        <v>89</v>
      </c>
      <c r="D5" s="42"/>
      <c r="E5" s="62" t="s">
        <v>128</v>
      </c>
      <c r="F5" s="62"/>
      <c r="G5" s="44">
        <v>1800</v>
      </c>
      <c r="H5" s="42" t="s">
        <v>0</v>
      </c>
      <c r="I5" s="42"/>
      <c r="J5" s="42"/>
      <c r="K5" s="42"/>
      <c r="L5" s="42"/>
      <c r="M5" s="42"/>
      <c r="N5" s="42"/>
      <c r="U5" s="36">
        <v>100</v>
      </c>
      <c r="V5" s="38">
        <v>10.3</v>
      </c>
      <c r="W5" s="38">
        <v>8.1</v>
      </c>
      <c r="X5" s="36">
        <v>100</v>
      </c>
      <c r="Y5" s="36">
        <v>55</v>
      </c>
      <c r="Z5" s="38">
        <v>4.0999999999999996</v>
      </c>
      <c r="AA5" s="36">
        <v>7</v>
      </c>
      <c r="AB5" s="38">
        <v>5.7</v>
      </c>
      <c r="AC5" s="38">
        <v>12.7</v>
      </c>
      <c r="AD5" s="36">
        <v>74</v>
      </c>
      <c r="AE5" s="36">
        <v>171</v>
      </c>
      <c r="AF5" s="38">
        <v>34.200000000000003</v>
      </c>
      <c r="AG5" s="37">
        <v>4.07</v>
      </c>
      <c r="AH5" s="38">
        <v>15.9</v>
      </c>
      <c r="AI5" s="37">
        <v>5.79</v>
      </c>
      <c r="AJ5" s="37">
        <v>1.24</v>
      </c>
    </row>
    <row r="6" spans="1:36" ht="21" x14ac:dyDescent="0.2">
      <c r="A6" s="42" t="s">
        <v>129</v>
      </c>
      <c r="B6" s="42">
        <f>IF(B4=A1,3.7,IF(B4=A2,4.4,5.2))</f>
        <v>3.7</v>
      </c>
      <c r="C6" s="42" t="s">
        <v>89</v>
      </c>
      <c r="D6" s="42"/>
      <c r="E6" s="62" t="s">
        <v>46</v>
      </c>
      <c r="F6" s="62"/>
      <c r="G6" s="44">
        <v>5</v>
      </c>
      <c r="H6" s="42" t="s">
        <v>1</v>
      </c>
      <c r="I6" s="42"/>
      <c r="J6" s="42"/>
      <c r="K6" s="42"/>
      <c r="L6" s="42"/>
      <c r="M6" s="42"/>
      <c r="N6" s="42"/>
      <c r="U6" s="36">
        <v>120</v>
      </c>
      <c r="V6" s="38">
        <v>13.2</v>
      </c>
      <c r="W6" s="38">
        <v>10.4</v>
      </c>
      <c r="X6" s="36">
        <v>120</v>
      </c>
      <c r="Y6" s="36">
        <v>64</v>
      </c>
      <c r="Z6" s="38">
        <v>4.4000000000000004</v>
      </c>
      <c r="AA6" s="36">
        <v>7</v>
      </c>
      <c r="AB6" s="38">
        <v>6.3</v>
      </c>
      <c r="AC6" s="38">
        <v>13.3</v>
      </c>
      <c r="AD6" s="36">
        <v>93</v>
      </c>
      <c r="AE6" s="36">
        <v>318</v>
      </c>
      <c r="AF6" s="36">
        <v>53</v>
      </c>
      <c r="AG6" s="38">
        <v>4.9000000000000004</v>
      </c>
      <c r="AH6" s="38">
        <v>27.7</v>
      </c>
      <c r="AI6" s="37">
        <v>8.65</v>
      </c>
      <c r="AJ6" s="37">
        <v>1.45</v>
      </c>
    </row>
    <row r="7" spans="1:36" ht="20.25" x14ac:dyDescent="0.2">
      <c r="A7" s="42"/>
      <c r="B7" s="42"/>
      <c r="C7" s="42"/>
      <c r="D7" s="42"/>
      <c r="E7" s="62" t="s">
        <v>130</v>
      </c>
      <c r="F7" s="62"/>
      <c r="G7" s="44">
        <v>30</v>
      </c>
      <c r="H7" s="42" t="s">
        <v>1</v>
      </c>
      <c r="I7" s="42"/>
      <c r="J7" s="42"/>
      <c r="K7" s="42"/>
      <c r="L7" s="42"/>
      <c r="M7" s="42"/>
      <c r="N7" s="42"/>
      <c r="U7" s="36">
        <v>140</v>
      </c>
      <c r="V7" s="38">
        <v>16.399999999999999</v>
      </c>
      <c r="W7" s="38">
        <v>12.9</v>
      </c>
      <c r="X7" s="36">
        <v>140</v>
      </c>
      <c r="Y7" s="36">
        <v>73</v>
      </c>
      <c r="Z7" s="38">
        <v>4.7</v>
      </c>
      <c r="AA7" s="36">
        <v>7</v>
      </c>
      <c r="AB7" s="38">
        <v>6.9</v>
      </c>
      <c r="AC7" s="38">
        <v>13.9</v>
      </c>
      <c r="AD7" s="36">
        <v>112</v>
      </c>
      <c r="AE7" s="36">
        <v>541</v>
      </c>
      <c r="AF7" s="38">
        <v>77.3</v>
      </c>
      <c r="AG7" s="37">
        <v>5.74</v>
      </c>
      <c r="AH7" s="38">
        <v>44.9</v>
      </c>
      <c r="AI7" s="38">
        <v>12.3</v>
      </c>
      <c r="AJ7" s="37">
        <v>1.65</v>
      </c>
    </row>
    <row r="8" spans="1:36" x14ac:dyDescent="0.2">
      <c r="A8" s="56" t="s">
        <v>159</v>
      </c>
      <c r="B8" s="56"/>
      <c r="C8" s="56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U8" s="36">
        <v>160</v>
      </c>
      <c r="V8" s="38">
        <v>20.100000000000001</v>
      </c>
      <c r="W8" s="38">
        <v>15.8</v>
      </c>
      <c r="X8" s="36">
        <v>160</v>
      </c>
      <c r="Y8" s="36">
        <v>82</v>
      </c>
      <c r="Z8" s="36">
        <v>5</v>
      </c>
      <c r="AA8" s="36">
        <v>9</v>
      </c>
      <c r="AB8" s="38">
        <v>7.4</v>
      </c>
      <c r="AC8" s="38">
        <v>16.399999999999999</v>
      </c>
      <c r="AD8" s="36">
        <v>127</v>
      </c>
      <c r="AE8" s="36">
        <v>869</v>
      </c>
      <c r="AF8" s="36">
        <v>109</v>
      </c>
      <c r="AG8" s="37">
        <v>6.58</v>
      </c>
      <c r="AH8" s="38">
        <v>68.3</v>
      </c>
      <c r="AI8" s="38">
        <v>16.7</v>
      </c>
      <c r="AJ8" s="37">
        <v>1.84</v>
      </c>
    </row>
    <row r="9" spans="1:36" ht="20.25" x14ac:dyDescent="0.2">
      <c r="A9" s="42" t="s">
        <v>131</v>
      </c>
      <c r="B9" s="44">
        <v>200</v>
      </c>
      <c r="C9" s="42" t="s">
        <v>2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U9" s="36">
        <v>180</v>
      </c>
      <c r="V9" s="38">
        <v>23.9</v>
      </c>
      <c r="W9" s="38">
        <v>18.8</v>
      </c>
      <c r="X9" s="36">
        <v>180</v>
      </c>
      <c r="Y9" s="36">
        <v>91</v>
      </c>
      <c r="Z9" s="38">
        <v>5.3</v>
      </c>
      <c r="AA9" s="36">
        <v>9</v>
      </c>
      <c r="AB9" s="36">
        <v>8</v>
      </c>
      <c r="AC9" s="36">
        <v>17</v>
      </c>
      <c r="AD9" s="36">
        <v>146</v>
      </c>
      <c r="AE9" s="36">
        <v>1320</v>
      </c>
      <c r="AF9" s="36">
        <v>146</v>
      </c>
      <c r="AG9" s="37">
        <v>7.42</v>
      </c>
      <c r="AH9" s="36">
        <v>101</v>
      </c>
      <c r="AI9" s="38">
        <v>22.2</v>
      </c>
      <c r="AJ9" s="37">
        <v>2.0499999999999998</v>
      </c>
    </row>
    <row r="10" spans="1:36" ht="20.25" x14ac:dyDescent="0.2">
      <c r="A10" s="47" t="s">
        <v>157</v>
      </c>
      <c r="B10" s="51">
        <f>0.8*2000</f>
        <v>1600</v>
      </c>
      <c r="C10" s="47" t="s">
        <v>2</v>
      </c>
      <c r="D10" s="42"/>
      <c r="E10" s="56" t="s">
        <v>52</v>
      </c>
      <c r="F10" s="56"/>
      <c r="G10" s="42"/>
      <c r="H10" s="42"/>
      <c r="I10" s="42"/>
      <c r="J10" s="42"/>
      <c r="K10" s="42"/>
      <c r="L10" s="42"/>
      <c r="M10" s="42"/>
      <c r="N10" s="42"/>
      <c r="U10" s="36">
        <v>200</v>
      </c>
      <c r="V10" s="38">
        <v>28.5</v>
      </c>
      <c r="W10" s="38">
        <v>22.4</v>
      </c>
      <c r="X10" s="36">
        <v>200</v>
      </c>
      <c r="Y10" s="36">
        <v>100</v>
      </c>
      <c r="Z10" s="38">
        <v>5.6</v>
      </c>
      <c r="AA10" s="36">
        <v>12</v>
      </c>
      <c r="AB10" s="38">
        <v>8.5</v>
      </c>
      <c r="AC10" s="38">
        <v>20.5</v>
      </c>
      <c r="AD10" s="36">
        <v>159</v>
      </c>
      <c r="AE10" s="36">
        <v>1940</v>
      </c>
      <c r="AF10" s="36">
        <v>194</v>
      </c>
      <c r="AG10" s="37">
        <v>8.26</v>
      </c>
      <c r="AH10" s="36">
        <v>142</v>
      </c>
      <c r="AI10" s="38">
        <v>28.5</v>
      </c>
      <c r="AJ10" s="37">
        <v>2.2400000000000002</v>
      </c>
    </row>
    <row r="11" spans="1:36" ht="20.25" x14ac:dyDescent="0.2">
      <c r="A11" s="47" t="s">
        <v>158</v>
      </c>
      <c r="B11" s="51">
        <v>200</v>
      </c>
      <c r="C11" s="47" t="s">
        <v>2</v>
      </c>
      <c r="D11" s="42"/>
      <c r="E11" s="56" t="s">
        <v>8</v>
      </c>
      <c r="F11" s="56"/>
      <c r="G11" s="42"/>
      <c r="H11" s="42"/>
      <c r="I11" s="42"/>
      <c r="K11" s="42"/>
      <c r="L11" s="42"/>
      <c r="M11" s="42"/>
      <c r="N11" s="42"/>
      <c r="U11" s="36">
        <v>220</v>
      </c>
      <c r="V11" s="38">
        <v>33.4</v>
      </c>
      <c r="W11" s="38">
        <v>26.2</v>
      </c>
      <c r="X11" s="36">
        <v>220</v>
      </c>
      <c r="Y11" s="36">
        <v>110</v>
      </c>
      <c r="Z11" s="38">
        <v>5.9</v>
      </c>
      <c r="AA11" s="36">
        <v>12</v>
      </c>
      <c r="AB11" s="38">
        <v>9.1999999999999993</v>
      </c>
      <c r="AC11" s="38">
        <v>21.2</v>
      </c>
      <c r="AD11" s="36">
        <v>177</v>
      </c>
      <c r="AE11" s="36">
        <v>2770</v>
      </c>
      <c r="AF11" s="36">
        <v>252</v>
      </c>
      <c r="AG11" s="37">
        <v>9.11</v>
      </c>
      <c r="AH11" s="36">
        <v>205</v>
      </c>
      <c r="AI11" s="38">
        <v>37.299999999999997</v>
      </c>
      <c r="AJ11" s="37">
        <v>2.48</v>
      </c>
    </row>
    <row r="12" spans="1:36" x14ac:dyDescent="0.2">
      <c r="A12" s="42"/>
      <c r="B12" s="44"/>
      <c r="C12" s="42"/>
      <c r="D12" s="42"/>
      <c r="E12" s="43"/>
      <c r="F12" s="43"/>
      <c r="G12" s="42"/>
      <c r="H12" s="42"/>
      <c r="I12" s="42"/>
      <c r="K12" s="42"/>
      <c r="L12" s="42"/>
      <c r="M12" s="42"/>
      <c r="N12" s="42"/>
      <c r="U12" s="36">
        <v>240</v>
      </c>
      <c r="V12" s="38">
        <v>39.1</v>
      </c>
      <c r="W12" s="38">
        <v>30.7</v>
      </c>
      <c r="X12" s="36">
        <v>240</v>
      </c>
      <c r="Y12" s="36">
        <v>120</v>
      </c>
      <c r="Z12" s="38">
        <v>6.2</v>
      </c>
      <c r="AA12" s="36">
        <v>15</v>
      </c>
      <c r="AB12" s="38">
        <v>9.8000000000000007</v>
      </c>
      <c r="AC12" s="38">
        <v>24.8</v>
      </c>
      <c r="AD12" s="36">
        <v>190</v>
      </c>
      <c r="AE12" s="36">
        <v>3890</v>
      </c>
      <c r="AF12" s="36">
        <v>324</v>
      </c>
      <c r="AG12" s="37">
        <v>9.9700000000000006</v>
      </c>
      <c r="AH12" s="36">
        <v>284</v>
      </c>
      <c r="AI12" s="38">
        <v>47.3</v>
      </c>
      <c r="AJ12" s="37">
        <v>2.69</v>
      </c>
    </row>
    <row r="13" spans="1:36" ht="21" x14ac:dyDescent="0.25">
      <c r="A13" s="56" t="s">
        <v>118</v>
      </c>
      <c r="B13" s="56"/>
      <c r="C13" s="56"/>
      <c r="D13" s="42"/>
      <c r="E13" s="52" t="s">
        <v>160</v>
      </c>
      <c r="F13" s="47">
        <f>(1/(0.1*B15-2*0.1*B19))*((B15/20)+(G6/(2*0.1*B17*B5))-(0.1*B19))</f>
        <v>0.53891462442717664</v>
      </c>
      <c r="G13" s="97"/>
      <c r="H13" s="47"/>
      <c r="I13" s="47"/>
      <c r="J13" s="47"/>
      <c r="K13" s="47"/>
      <c r="L13" s="47"/>
      <c r="M13" s="47"/>
      <c r="N13" s="42"/>
      <c r="U13" s="36">
        <v>270</v>
      </c>
      <c r="V13" s="38">
        <v>45.9</v>
      </c>
      <c r="W13" s="38">
        <v>36.1</v>
      </c>
      <c r="X13" s="36">
        <v>270</v>
      </c>
      <c r="Y13" s="36">
        <v>135</v>
      </c>
      <c r="Z13" s="38">
        <v>6.6</v>
      </c>
      <c r="AA13" s="36">
        <v>15</v>
      </c>
      <c r="AB13" s="38">
        <v>10.199999999999999</v>
      </c>
      <c r="AC13" s="38">
        <v>25.2</v>
      </c>
      <c r="AD13" s="36">
        <v>219</v>
      </c>
      <c r="AE13" s="36">
        <v>5790</v>
      </c>
      <c r="AF13" s="36">
        <v>429</v>
      </c>
      <c r="AG13" s="38">
        <v>11.2</v>
      </c>
      <c r="AH13" s="36">
        <v>420</v>
      </c>
      <c r="AI13" s="38">
        <v>62.2</v>
      </c>
      <c r="AJ13" s="37">
        <v>3.02</v>
      </c>
    </row>
    <row r="14" spans="1:36" ht="20.25" x14ac:dyDescent="0.3">
      <c r="A14" s="42" t="s">
        <v>19</v>
      </c>
      <c r="B14" s="65">
        <v>360</v>
      </c>
      <c r="C14" s="65"/>
      <c r="D14" s="42"/>
      <c r="E14" s="42" t="s">
        <v>95</v>
      </c>
      <c r="F14" s="42">
        <f>B21/B17</f>
        <v>37.25</v>
      </c>
      <c r="G14" s="47" t="str">
        <f>IF(AND(F13&gt;0.5,F14&lt;=((699/SQRT(B5))/(13*F13-1))),B1,IF(AND(F13&lt;=0.5,F14&lt;=((63.3/F13)/SQRT(B5))),B1,B2))</f>
        <v>Compact</v>
      </c>
      <c r="H14" s="62" t="s">
        <v>55</v>
      </c>
      <c r="I14" s="62" t="str">
        <f>IF(AND(G14=B1,G15=B1),B1,IF(AND(G14=B1,G15=B2),B2,IF(AND(G14=B2,G15=B1),B2,B3)))</f>
        <v>Compact</v>
      </c>
      <c r="J14" s="62" t="s">
        <v>116</v>
      </c>
      <c r="M14" s="42"/>
      <c r="N14" s="42"/>
      <c r="U14" s="36">
        <v>300</v>
      </c>
      <c r="V14" s="38">
        <v>53.8</v>
      </c>
      <c r="W14" s="38">
        <v>42.2</v>
      </c>
      <c r="X14" s="36">
        <v>300</v>
      </c>
      <c r="Y14" s="36">
        <v>150</v>
      </c>
      <c r="Z14" s="38">
        <v>7.1</v>
      </c>
      <c r="AA14" s="36">
        <v>15</v>
      </c>
      <c r="AB14" s="38">
        <v>10.7</v>
      </c>
      <c r="AC14" s="38">
        <v>25.7</v>
      </c>
      <c r="AD14" s="36">
        <v>248</v>
      </c>
      <c r="AE14" s="36">
        <v>8360</v>
      </c>
      <c r="AF14" s="36">
        <v>557</v>
      </c>
      <c r="AG14" s="38">
        <v>12.5</v>
      </c>
      <c r="AH14" s="36">
        <v>604</v>
      </c>
      <c r="AI14" s="38">
        <v>80.5</v>
      </c>
      <c r="AJ14" s="37">
        <v>3.35</v>
      </c>
    </row>
    <row r="15" spans="1:36" ht="18" customHeight="1" x14ac:dyDescent="0.2">
      <c r="A15" s="42" t="s">
        <v>29</v>
      </c>
      <c r="B15" s="42">
        <f>VLOOKUP(B14,table,4,FALSE)</f>
        <v>360</v>
      </c>
      <c r="C15" s="42" t="s">
        <v>53</v>
      </c>
      <c r="D15" s="42"/>
      <c r="E15" s="42" t="s">
        <v>99</v>
      </c>
      <c r="F15" s="42">
        <f>(B16-B17-2*B18)/(2*B19)</f>
        <v>4.9606299212598426</v>
      </c>
      <c r="G15" s="42" t="str">
        <f>IF(F15&lt;=(16.9/SQRT(B5)),B1,IF(AND(F15&gt;(16.9/SQRT(B5)),F15&lt;=(33/SQRT(B5))),B2,B3))</f>
        <v>Compact</v>
      </c>
      <c r="H15" s="62"/>
      <c r="I15" s="62"/>
      <c r="J15" s="62"/>
      <c r="L15"/>
      <c r="M15" s="42"/>
      <c r="N15" s="42"/>
      <c r="U15" s="36">
        <v>330</v>
      </c>
      <c r="V15" s="38">
        <v>62.6</v>
      </c>
      <c r="W15" s="38">
        <v>49.1</v>
      </c>
      <c r="X15" s="36">
        <v>330</v>
      </c>
      <c r="Y15" s="36">
        <v>160</v>
      </c>
      <c r="Z15" s="38">
        <v>7.5</v>
      </c>
      <c r="AA15" s="36">
        <v>18</v>
      </c>
      <c r="AB15" s="38">
        <v>11.5</v>
      </c>
      <c r="AC15" s="38">
        <v>29.5</v>
      </c>
      <c r="AD15" s="36">
        <v>271</v>
      </c>
      <c r="AE15" s="36">
        <v>11770</v>
      </c>
      <c r="AF15" s="36">
        <v>713</v>
      </c>
      <c r="AG15" s="38">
        <v>13.7</v>
      </c>
      <c r="AH15" s="36">
        <v>788</v>
      </c>
      <c r="AI15" s="38">
        <v>98.5</v>
      </c>
      <c r="AJ15" s="37">
        <v>3.55</v>
      </c>
    </row>
    <row r="16" spans="1:36" x14ac:dyDescent="0.2">
      <c r="A16" s="42" t="s">
        <v>30</v>
      </c>
      <c r="B16" s="42">
        <f>VLOOKUP(B14,table,5,FALSE)</f>
        <v>170</v>
      </c>
      <c r="C16" s="42" t="s">
        <v>53</v>
      </c>
      <c r="D16" s="42"/>
      <c r="E16" s="42"/>
      <c r="F16" s="42"/>
      <c r="G16" s="42"/>
      <c r="H16" s="42"/>
      <c r="I16" s="42"/>
      <c r="J16" s="42"/>
      <c r="L16" s="42"/>
      <c r="M16" s="42"/>
      <c r="N16" s="42"/>
      <c r="U16" s="36">
        <v>360</v>
      </c>
      <c r="V16" s="38">
        <v>72.7</v>
      </c>
      <c r="W16" s="38">
        <v>57.1</v>
      </c>
      <c r="X16" s="36">
        <v>360</v>
      </c>
      <c r="Y16" s="36">
        <v>170</v>
      </c>
      <c r="Z16" s="36">
        <v>8</v>
      </c>
      <c r="AA16" s="36">
        <v>18</v>
      </c>
      <c r="AB16" s="38">
        <v>12.7</v>
      </c>
      <c r="AC16" s="38">
        <v>30.7</v>
      </c>
      <c r="AD16" s="36">
        <v>298</v>
      </c>
      <c r="AE16" s="36">
        <v>16270</v>
      </c>
      <c r="AF16" s="36">
        <v>904</v>
      </c>
      <c r="AG16" s="36">
        <v>15</v>
      </c>
      <c r="AH16" s="36">
        <v>1040</v>
      </c>
      <c r="AI16" s="36">
        <v>123</v>
      </c>
      <c r="AJ16" s="37">
        <v>3.79</v>
      </c>
    </row>
    <row r="17" spans="1:36" ht="20.25" customHeight="1" x14ac:dyDescent="0.2">
      <c r="A17" s="42" t="s">
        <v>31</v>
      </c>
      <c r="B17" s="42">
        <f>VLOOKUP(B14,table,6,FALSE)</f>
        <v>8</v>
      </c>
      <c r="C17" s="42" t="s">
        <v>53</v>
      </c>
      <c r="D17" s="42"/>
      <c r="E17" s="48" t="s">
        <v>142</v>
      </c>
      <c r="F17" s="47"/>
      <c r="G17" s="47"/>
      <c r="H17" s="47"/>
      <c r="I17" s="47"/>
      <c r="J17" s="47"/>
      <c r="K17" s="47"/>
      <c r="L17" s="47"/>
      <c r="M17" s="42"/>
      <c r="U17" s="36">
        <v>400</v>
      </c>
      <c r="V17" s="38">
        <v>84.5</v>
      </c>
      <c r="W17" s="38">
        <v>66.3</v>
      </c>
      <c r="X17" s="36">
        <v>400</v>
      </c>
      <c r="Y17" s="36">
        <v>180</v>
      </c>
      <c r="Z17" s="38">
        <v>8.6</v>
      </c>
      <c r="AA17" s="36">
        <v>21</v>
      </c>
      <c r="AB17" s="38">
        <v>13.5</v>
      </c>
      <c r="AC17" s="38">
        <v>34.5</v>
      </c>
      <c r="AD17" s="36">
        <v>331</v>
      </c>
      <c r="AE17" s="36">
        <v>23130</v>
      </c>
      <c r="AF17" s="36">
        <v>1160</v>
      </c>
      <c r="AG17" s="38">
        <v>16.5</v>
      </c>
      <c r="AH17" s="36">
        <v>1320</v>
      </c>
      <c r="AI17" s="36">
        <v>146</v>
      </c>
      <c r="AJ17" s="37">
        <v>3.95</v>
      </c>
    </row>
    <row r="18" spans="1:36" ht="20.25" customHeight="1" x14ac:dyDescent="0.2">
      <c r="A18" s="42" t="s">
        <v>32</v>
      </c>
      <c r="B18" s="42">
        <f>VLOOKUP(B14,table,7,FALSE)</f>
        <v>18</v>
      </c>
      <c r="C18" s="42" t="s">
        <v>53</v>
      </c>
      <c r="D18" s="42"/>
      <c r="E18" s="42" t="s">
        <v>139</v>
      </c>
      <c r="F18" s="42">
        <f>(80*B31)/(SQRT(B5))</f>
        <v>195.71475842834812</v>
      </c>
      <c r="G18" s="42" t="s">
        <v>2</v>
      </c>
      <c r="H18" s="47"/>
      <c r="I18" s="47"/>
      <c r="J18" s="47"/>
      <c r="K18"/>
      <c r="L18" s="47"/>
      <c r="M18" s="42"/>
      <c r="U18" s="36">
        <v>450</v>
      </c>
      <c r="V18" s="38">
        <v>98.8</v>
      </c>
      <c r="W18" s="38">
        <v>77.599999999999994</v>
      </c>
      <c r="X18" s="36">
        <v>450</v>
      </c>
      <c r="Y18" s="36">
        <v>190</v>
      </c>
      <c r="Z18" s="38">
        <v>9.4</v>
      </c>
      <c r="AA18" s="36">
        <v>21</v>
      </c>
      <c r="AB18" s="38">
        <v>14.6</v>
      </c>
      <c r="AC18" s="38">
        <v>35.6</v>
      </c>
      <c r="AD18" s="36">
        <v>378</v>
      </c>
      <c r="AE18" s="36">
        <v>33740</v>
      </c>
      <c r="AF18" s="36">
        <v>1500</v>
      </c>
      <c r="AG18" s="38">
        <v>18.5</v>
      </c>
      <c r="AH18" s="36">
        <v>1680</v>
      </c>
      <c r="AI18" s="36">
        <v>176</v>
      </c>
      <c r="AJ18" s="37">
        <v>4.12</v>
      </c>
    </row>
    <row r="19" spans="1:36" ht="20.25" customHeight="1" x14ac:dyDescent="0.2">
      <c r="A19" s="42" t="s">
        <v>33</v>
      </c>
      <c r="B19" s="42">
        <f>VLOOKUP(B14,table,8,FALSE)</f>
        <v>12.7</v>
      </c>
      <c r="C19" s="42" t="s">
        <v>53</v>
      </c>
      <c r="D19" s="42"/>
      <c r="E19" s="42" t="s">
        <v>140</v>
      </c>
      <c r="F19" s="42">
        <f>0.1*SQRT((B19*B16^3/12)/(B16*B19+(1/6)*(B15-2*B19)*B17))</f>
        <v>4.4675522616511421</v>
      </c>
      <c r="G19" s="42" t="s">
        <v>2</v>
      </c>
      <c r="H19" s="47"/>
      <c r="I19" s="47"/>
      <c r="J19" s="47"/>
      <c r="K19" s="47"/>
      <c r="L19" s="47"/>
      <c r="M19" s="42"/>
      <c r="U19" s="36">
        <v>500</v>
      </c>
      <c r="V19" s="36">
        <v>116</v>
      </c>
      <c r="W19" s="38">
        <v>90.7</v>
      </c>
      <c r="X19" s="36">
        <v>500</v>
      </c>
      <c r="Y19" s="36">
        <v>200</v>
      </c>
      <c r="Z19" s="38">
        <v>10.199999999999999</v>
      </c>
      <c r="AA19" s="36">
        <v>21</v>
      </c>
      <c r="AB19" s="36">
        <v>16</v>
      </c>
      <c r="AC19" s="36">
        <v>37</v>
      </c>
      <c r="AD19" s="36">
        <v>426</v>
      </c>
      <c r="AE19" s="36">
        <v>48200</v>
      </c>
      <c r="AF19" s="36">
        <v>1930</v>
      </c>
      <c r="AG19" s="38">
        <v>20.399999999999999</v>
      </c>
      <c r="AH19" s="36">
        <v>2140</v>
      </c>
      <c r="AI19" s="36">
        <v>214</v>
      </c>
      <c r="AJ19" s="37">
        <v>4.3099999999999996</v>
      </c>
    </row>
    <row r="20" spans="1:36" x14ac:dyDescent="0.2">
      <c r="A20" s="42" t="s">
        <v>34</v>
      </c>
      <c r="B20" s="42">
        <f>VLOOKUP(B14,table,9,FALSE)</f>
        <v>30.7</v>
      </c>
      <c r="C20" s="42" t="s">
        <v>53</v>
      </c>
      <c r="D20" s="42"/>
      <c r="E20" s="42" t="s">
        <v>78</v>
      </c>
      <c r="F20" s="42">
        <f>((0.104*F19*0.1*B15)/(0.1*B16*0.1*B19))^2</f>
        <v>0.60021338850672168</v>
      </c>
      <c r="G20" s="42" t="s">
        <v>6</v>
      </c>
      <c r="H20" s="47"/>
      <c r="I20" s="47"/>
      <c r="J20" s="47"/>
      <c r="K20" s="47"/>
      <c r="L20" s="47"/>
      <c r="M20" s="42"/>
      <c r="U20" s="36">
        <v>550</v>
      </c>
      <c r="V20" s="36">
        <v>134</v>
      </c>
      <c r="W20" s="36">
        <v>106</v>
      </c>
      <c r="X20" s="36">
        <v>550</v>
      </c>
      <c r="Y20" s="36">
        <v>210</v>
      </c>
      <c r="Z20" s="38">
        <v>11.1</v>
      </c>
      <c r="AA20" s="36">
        <v>24</v>
      </c>
      <c r="AB20" s="38">
        <v>17.2</v>
      </c>
      <c r="AC20" s="38">
        <v>41.2</v>
      </c>
      <c r="AD20" s="36">
        <v>467</v>
      </c>
      <c r="AE20" s="36">
        <v>67120</v>
      </c>
      <c r="AF20" s="36">
        <v>2440</v>
      </c>
      <c r="AG20" s="38">
        <v>22.3</v>
      </c>
      <c r="AH20" s="36">
        <v>2670</v>
      </c>
      <c r="AI20" s="36">
        <v>254</v>
      </c>
      <c r="AJ20" s="37">
        <v>4.45</v>
      </c>
    </row>
    <row r="21" spans="1:36" ht="20.25" x14ac:dyDescent="0.2">
      <c r="A21" s="42" t="s">
        <v>35</v>
      </c>
      <c r="B21" s="42">
        <f>VLOOKUP(B14,table,10,FALSE)</f>
        <v>298</v>
      </c>
      <c r="C21" s="42" t="s">
        <v>53</v>
      </c>
      <c r="D21" s="42"/>
      <c r="E21" s="42" t="s">
        <v>141</v>
      </c>
      <c r="F21" s="42">
        <f>((1380*(B16/10)*(B19/10))/((B15/10)*0.75*B5))*SQRT(0.5*(1+SQRT(1+(2*F20*0.75*B5)^2)))</f>
        <v>597.80707321381908</v>
      </c>
      <c r="G21" s="42" t="s">
        <v>2</v>
      </c>
      <c r="H21" s="47"/>
      <c r="I21" s="47"/>
      <c r="J21" s="47"/>
      <c r="K21" s="47"/>
      <c r="L21" s="47"/>
      <c r="M21" s="42"/>
      <c r="U21" s="36">
        <v>600</v>
      </c>
      <c r="V21" s="36">
        <v>156</v>
      </c>
      <c r="W21" s="36">
        <v>122</v>
      </c>
      <c r="X21" s="36">
        <v>600</v>
      </c>
      <c r="Y21" s="36">
        <v>220</v>
      </c>
      <c r="Z21" s="36">
        <v>12</v>
      </c>
      <c r="AA21" s="36">
        <v>24</v>
      </c>
      <c r="AB21" s="36">
        <v>19</v>
      </c>
      <c r="AC21" s="36">
        <v>43</v>
      </c>
      <c r="AD21" s="36">
        <v>514</v>
      </c>
      <c r="AE21" s="36">
        <v>92080</v>
      </c>
      <c r="AF21" s="36">
        <v>3070</v>
      </c>
      <c r="AG21" s="38">
        <v>24.3</v>
      </c>
      <c r="AH21" s="36">
        <v>3390</v>
      </c>
      <c r="AI21" s="36">
        <v>308</v>
      </c>
      <c r="AJ21" s="37">
        <v>4.66</v>
      </c>
    </row>
    <row r="22" spans="1:36" ht="20.25" x14ac:dyDescent="0.2">
      <c r="A22" s="42"/>
      <c r="B22" s="42"/>
      <c r="C22" s="42"/>
      <c r="D22" s="42"/>
      <c r="E22" s="47" t="s">
        <v>161</v>
      </c>
      <c r="F22" s="47">
        <f>B29*B5</f>
        <v>2451.6479999999997</v>
      </c>
      <c r="G22" s="47" t="s">
        <v>0</v>
      </c>
      <c r="H22" s="47"/>
      <c r="I22" s="47"/>
    </row>
    <row r="23" spans="1:36" x14ac:dyDescent="0.2">
      <c r="A23" s="42"/>
      <c r="B23" s="42"/>
      <c r="C23" s="42"/>
      <c r="D23" s="42"/>
      <c r="E23" s="47" t="str">
        <f>IF(B9&lt;=F18,"Lb &lt;= Lp","")</f>
        <v/>
      </c>
      <c r="F23" s="47" t="str">
        <f>IF(B9&lt;=F18,"Mnx = Mp =","")</f>
        <v/>
      </c>
      <c r="G23" s="47" t="str">
        <f>IF(B9&lt;=F18,F22,"")</f>
        <v/>
      </c>
      <c r="I23" s="55"/>
      <c r="N23" s="42"/>
    </row>
    <row r="24" spans="1:36" x14ac:dyDescent="0.2">
      <c r="A24" s="56" t="s">
        <v>126</v>
      </c>
      <c r="B24" s="56"/>
      <c r="C24" s="56"/>
      <c r="D24" s="42"/>
      <c r="E24" s="47" t="str">
        <f>IF(AND(B9&gt;F18,B9&lt;=F21),"Lp &lt; Lb &lt;= Lr","")</f>
        <v>Lp &lt; Lb &lt;= Lr</v>
      </c>
      <c r="F24" s="47" t="str">
        <f>IF(AND(B9&gt;F18,B9&lt;=F21),"Mnx =","")</f>
        <v>Mnx =</v>
      </c>
      <c r="G24" s="47">
        <f>IF(AND(B9&gt;F18,B9&lt;=F21),MIN((F22-(F22-(B28*0.75*B5))*((B9-F18)/(F21-F18))),F22),"")</f>
        <v>2442.8615628726197</v>
      </c>
      <c r="I24" s="55"/>
      <c r="M24" s="42"/>
      <c r="N24" s="42"/>
    </row>
    <row r="25" spans="1:36" ht="21" x14ac:dyDescent="0.2">
      <c r="A25" s="42" t="s">
        <v>21</v>
      </c>
      <c r="B25" s="42">
        <f>VLOOKUP(B14,table,2,FALSE)</f>
        <v>72.7</v>
      </c>
      <c r="C25" s="42" t="s">
        <v>94</v>
      </c>
      <c r="D25" s="42"/>
      <c r="E25" s="47" t="str">
        <f>IF(B9&gt;F21,"Lb &gt; Lr","")</f>
        <v/>
      </c>
      <c r="F25" s="47" t="str">
        <f>IF(B9&gt;F21,"Mnx =","")</f>
        <v/>
      </c>
      <c r="G25" s="47" t="str">
        <f>IF(B9&gt;F21,B28*SQRT(((1380*0.1*B16*0.1*B19)/(0.1*B15*B9))^2+(20700/(B9/F19)^2)^2),"")</f>
        <v/>
      </c>
      <c r="I25" s="55"/>
      <c r="M25" s="42"/>
      <c r="N25" s="42"/>
    </row>
    <row r="26" spans="1:36" ht="21" x14ac:dyDescent="0.2">
      <c r="A26" s="42" t="s">
        <v>133</v>
      </c>
      <c r="B26" s="42">
        <f>VLOOKUP(B14,table,11,FALSE)</f>
        <v>16270</v>
      </c>
      <c r="C26" s="42" t="s">
        <v>98</v>
      </c>
      <c r="D26" s="42"/>
      <c r="E26" s="47"/>
      <c r="F26" s="47"/>
      <c r="G26" s="47"/>
      <c r="I26" s="47"/>
      <c r="J26" s="47"/>
      <c r="K26" s="47"/>
      <c r="L26" s="47"/>
      <c r="M26" s="42"/>
      <c r="N26" s="42"/>
    </row>
    <row r="27" spans="1:36" ht="21" x14ac:dyDescent="0.2">
      <c r="A27" s="42" t="s">
        <v>134</v>
      </c>
      <c r="B27" s="42">
        <f>VLOOKUP(B14,table,14,FALSE)</f>
        <v>1040</v>
      </c>
      <c r="C27" s="42" t="s">
        <v>98</v>
      </c>
      <c r="D27" s="42"/>
      <c r="E27" s="64" t="s">
        <v>143</v>
      </c>
      <c r="F27" s="64"/>
      <c r="G27" s="47"/>
      <c r="H27" s="47"/>
      <c r="I27" s="47"/>
      <c r="J27" s="47"/>
      <c r="K27" s="47"/>
      <c r="L27" s="47"/>
      <c r="M27" s="42"/>
      <c r="N27" s="42"/>
    </row>
    <row r="28" spans="1:36" ht="21" x14ac:dyDescent="0.2">
      <c r="A28" s="42" t="s">
        <v>135</v>
      </c>
      <c r="B28" s="42">
        <f>VLOOKUP(B14,table,12,FALSE)</f>
        <v>904</v>
      </c>
      <c r="C28" s="42" t="s">
        <v>104</v>
      </c>
      <c r="D28" s="42"/>
      <c r="E28" s="64" t="s">
        <v>144</v>
      </c>
      <c r="F28" s="64"/>
      <c r="G28" s="55"/>
      <c r="H28" s="55"/>
      <c r="I28" s="64" t="s">
        <v>145</v>
      </c>
      <c r="J28" s="64"/>
      <c r="K28" s="47"/>
      <c r="L28" s="47"/>
      <c r="M28" s="42"/>
      <c r="N28" s="42"/>
    </row>
    <row r="29" spans="1:36" ht="21" x14ac:dyDescent="0.2">
      <c r="A29" s="42" t="s">
        <v>136</v>
      </c>
      <c r="B29" s="42">
        <f>1.13*B28</f>
        <v>1021.5199999999999</v>
      </c>
      <c r="C29" s="42" t="s">
        <v>104</v>
      </c>
      <c r="D29" s="42"/>
      <c r="E29" s="47" t="s">
        <v>162</v>
      </c>
      <c r="F29" s="47">
        <f>B10/B30</f>
        <v>106.66666666666667</v>
      </c>
      <c r="G29" s="49" t="str">
        <f>IF(F29&lt;180,"Safe","Unsafe")</f>
        <v>Safe</v>
      </c>
      <c r="H29" s="47"/>
      <c r="I29" s="47" t="s">
        <v>147</v>
      </c>
      <c r="J29" s="47">
        <f>B11/B31</f>
        <v>52.770448548812666</v>
      </c>
      <c r="K29" s="49" t="str">
        <f>IF(J29&lt;=180,"Safe","Unsafe")</f>
        <v>Safe</v>
      </c>
      <c r="L29" s="47"/>
      <c r="M29" s="42"/>
      <c r="N29" s="42"/>
    </row>
    <row r="30" spans="1:36" ht="20.25" x14ac:dyDescent="0.2">
      <c r="A30" s="42" t="s">
        <v>137</v>
      </c>
      <c r="B30" s="42">
        <f>VLOOKUP(B14,table,13,FALSE)</f>
        <v>15</v>
      </c>
      <c r="C30" s="42" t="s">
        <v>2</v>
      </c>
      <c r="D30" s="42"/>
      <c r="E30" s="47" t="s">
        <v>148</v>
      </c>
      <c r="F30" s="47">
        <f>F29*SQRT((B5)/(PI()^2*2100))</f>
        <v>1.1478227397562903</v>
      </c>
      <c r="G30" s="47"/>
      <c r="H30" s="47"/>
      <c r="I30" s="47" t="s">
        <v>149</v>
      </c>
      <c r="J30" s="47">
        <f>J29*SQRT((B5)/(PI()^2*2100))</f>
        <v>0.56785425779499854</v>
      </c>
      <c r="K30" s="47"/>
      <c r="L30" s="47"/>
      <c r="M30" s="42"/>
      <c r="N30" s="42"/>
    </row>
    <row r="31" spans="1:36" ht="21" x14ac:dyDescent="0.2">
      <c r="A31" s="42" t="s">
        <v>138</v>
      </c>
      <c r="B31" s="42">
        <f>VLOOKUP(B14,table,16,FALSE)</f>
        <v>3.79</v>
      </c>
      <c r="C31" s="42" t="s">
        <v>2</v>
      </c>
      <c r="D31" s="42"/>
      <c r="E31" s="47" t="s">
        <v>150</v>
      </c>
      <c r="F31" s="47">
        <f>IF(F30&lt;1.1,B5*(1-0.384*(F30)^2),IF(F30&gt;1.1,(0.648*B5)/(F30)^2))</f>
        <v>1.1804201076271639</v>
      </c>
      <c r="G31" s="47" t="s">
        <v>89</v>
      </c>
      <c r="H31" s="47"/>
      <c r="I31" s="47" t="s">
        <v>150</v>
      </c>
      <c r="J31" s="47">
        <f>IF(J30&lt;1.1,B5*(1-0.384*(J30)^2),IF(J30&gt;1.1,(0.648*B5)/(J30)^2))</f>
        <v>2.1028222850188105</v>
      </c>
      <c r="K31" s="47" t="s">
        <v>89</v>
      </c>
      <c r="L31" s="47"/>
      <c r="M31" s="42"/>
      <c r="N31" s="42"/>
    </row>
    <row r="32" spans="1:36" ht="20.25" x14ac:dyDescent="0.2">
      <c r="D32" s="42"/>
      <c r="E32" s="47" t="s">
        <v>151</v>
      </c>
      <c r="F32" s="47">
        <f>F31*B25</f>
        <v>85.81654182449482</v>
      </c>
      <c r="G32" s="47" t="s">
        <v>152</v>
      </c>
      <c r="H32" s="47"/>
      <c r="I32" s="47" t="s">
        <v>153</v>
      </c>
      <c r="J32" s="47">
        <f>J31*B25</f>
        <v>152.87518012086753</v>
      </c>
      <c r="K32" s="47" t="s">
        <v>152</v>
      </c>
      <c r="L32" s="47"/>
      <c r="M32" s="42"/>
      <c r="N32" s="42"/>
    </row>
    <row r="33" spans="4:14" x14ac:dyDescent="0.2">
      <c r="D33" s="42"/>
      <c r="E33" s="47"/>
      <c r="F33" s="47"/>
      <c r="G33" s="47"/>
      <c r="H33" s="47"/>
      <c r="I33" s="47"/>
      <c r="J33" s="47"/>
      <c r="K33" s="47"/>
      <c r="L33" s="47"/>
      <c r="M33" s="42"/>
      <c r="N33" s="42"/>
    </row>
    <row r="34" spans="4:14" x14ac:dyDescent="0.2">
      <c r="D34" s="42"/>
      <c r="E34" s="47"/>
      <c r="F34" s="47"/>
      <c r="G34" s="47"/>
      <c r="H34" s="47"/>
      <c r="I34" s="47"/>
      <c r="J34" s="47"/>
      <c r="K34" s="47"/>
      <c r="L34" s="47"/>
      <c r="M34" s="42"/>
      <c r="N34" s="42"/>
    </row>
    <row r="35" spans="4:14" x14ac:dyDescent="0.2">
      <c r="E35" s="47"/>
      <c r="F35" s="47"/>
      <c r="G35" s="47"/>
      <c r="H35" s="47"/>
      <c r="I35" s="47"/>
      <c r="J35" s="47"/>
      <c r="K35" s="47"/>
      <c r="L35" s="47"/>
      <c r="M35" s="42"/>
      <c r="N35" s="42"/>
    </row>
    <row r="36" spans="4:14" x14ac:dyDescent="0.2">
      <c r="E36" s="64" t="s">
        <v>154</v>
      </c>
      <c r="F36" s="64"/>
      <c r="G36" s="47"/>
      <c r="H36" s="47"/>
      <c r="I36" s="47"/>
      <c r="J36" s="47"/>
      <c r="K36" s="47"/>
      <c r="L36" s="47"/>
      <c r="M36" s="42"/>
      <c r="N36" s="42"/>
    </row>
    <row r="37" spans="4:14" x14ac:dyDescent="0.2">
      <c r="E37" s="48" t="s">
        <v>155</v>
      </c>
      <c r="F37" s="48"/>
      <c r="G37" s="47"/>
      <c r="H37" s="47"/>
      <c r="I37" s="47"/>
      <c r="J37" s="47"/>
      <c r="K37" s="48" t="s">
        <v>156</v>
      </c>
      <c r="L37" s="48"/>
      <c r="M37" s="48"/>
      <c r="N37" s="47"/>
    </row>
    <row r="38" spans="4:14" x14ac:dyDescent="0.2">
      <c r="J38" s="47"/>
      <c r="N38" s="47"/>
    </row>
    <row r="39" spans="4:14" x14ac:dyDescent="0.2">
      <c r="J39" s="47"/>
      <c r="K39" s="42"/>
      <c r="L39" s="42"/>
      <c r="M39" s="42"/>
      <c r="N39" s="42"/>
    </row>
    <row r="40" spans="4:14" x14ac:dyDescent="0.2">
      <c r="I40" s="47"/>
      <c r="J40" s="47"/>
    </row>
    <row r="41" spans="4:14" x14ac:dyDescent="0.2">
      <c r="I41" s="47"/>
      <c r="J41" s="47"/>
    </row>
    <row r="42" spans="4:14" x14ac:dyDescent="0.2">
      <c r="I42" s="42"/>
    </row>
    <row r="43" spans="4:14" x14ac:dyDescent="0.2">
      <c r="I43" s="42"/>
      <c r="J43" s="42"/>
      <c r="K43" s="54">
        <f>(G6/(0.8*J32))+(G5/(0.85*IF(B9&lt;=F18,G23,IF(AND(B9&gt;F18,B9&lt;=F21),G24,G25))))^2</f>
        <v>0.79234921773440226</v>
      </c>
      <c r="L43" s="34" t="s">
        <v>163</v>
      </c>
      <c r="M43" s="49" t="str">
        <f>IF(K43&lt;=1,"Safe","Unsafe")</f>
        <v>Safe</v>
      </c>
    </row>
    <row r="44" spans="4:14" x14ac:dyDescent="0.2">
      <c r="I44" s="62"/>
      <c r="J44" s="42"/>
      <c r="K44" s="42" t="s">
        <v>164</v>
      </c>
      <c r="L44" s="42"/>
    </row>
    <row r="45" spans="4:14" x14ac:dyDescent="0.2">
      <c r="E45" s="42"/>
      <c r="F45" s="42"/>
      <c r="I45" s="62"/>
      <c r="J45" s="42"/>
      <c r="K45" s="43" t="s">
        <v>11</v>
      </c>
      <c r="L45" s="42"/>
      <c r="M45" s="42"/>
      <c r="N45" s="42"/>
    </row>
    <row r="46" spans="4:14" ht="20.25" x14ac:dyDescent="0.2">
      <c r="E46" s="55" t="str">
        <f>IF(G6/(0.8*F32)&lt;=0.2,"Pu / ᶲPnx &lt;= 0.2","")</f>
        <v>Pu / ᶲPnx &lt;= 0.2</v>
      </c>
      <c r="F46" s="55"/>
      <c r="G46" s="47">
        <f>IF(G6/(0.8*F32)&lt;=0.2,G6/(2*0.8*F32)+G5/(0.85*IF(B9&lt;=F18,G23,IF(AND(B9&gt;F18,B9&lt;=F21),G24,G25))),"")</f>
        <v>0.90328638733752653</v>
      </c>
      <c r="H46" s="34" t="str">
        <f>IF((G6/(0.8*F32))&lt;=0.2,"≤ 1","")</f>
        <v>≤ 1</v>
      </c>
      <c r="I46" s="49" t="str">
        <f>IF((G6/(0.8*F32))&lt;=0.2,IF(G46&lt;=1,"Safe","Unsafe"),"")</f>
        <v>Safe</v>
      </c>
      <c r="J46" s="42"/>
      <c r="K46" s="42" t="s">
        <v>132</v>
      </c>
      <c r="L46" s="42">
        <f>G7/(0.85*0.6*B5*0.1*B15*0.1*B17)</f>
        <v>0.85103485838779946</v>
      </c>
      <c r="M46" s="34" t="s">
        <v>163</v>
      </c>
      <c r="N46" s="33" t="str">
        <f>IF(L46&lt;=1,"Safe","Unsafe")</f>
        <v>Safe</v>
      </c>
    </row>
    <row r="47" spans="4:14" x14ac:dyDescent="0.2">
      <c r="E47" s="55" t="str">
        <f>IF(G6/(0.8*F32)&gt;0.2,"Pu / ᶲPnx &gt; 0.2","")</f>
        <v/>
      </c>
      <c r="F47" s="55"/>
      <c r="G47" s="47" t="str">
        <f>IF(G6/(0.8*F32)&gt;0.2,(G6/(0.8*F32))+(8/9)*(G5/(0.85*IF(B9&lt;=F18,G23,IF(AND(B9&gt;F18,B9&lt;=F21),G24,G25)))),"")</f>
        <v/>
      </c>
      <c r="H47" s="34" t="str">
        <f>IF((G6/(0.8*F32))&gt;0.2,"≤ 1","")</f>
        <v/>
      </c>
      <c r="I47" s="49" t="str">
        <f>IF((G6/(0.8*F32))&gt;0.2,IF(G47&lt;=1,"Safe","Unsafe"),"")</f>
        <v/>
      </c>
      <c r="J47" s="42"/>
      <c r="K47" s="42"/>
      <c r="L47" s="42"/>
    </row>
    <row r="48" spans="4:14" x14ac:dyDescent="0.2">
      <c r="K48" s="42"/>
      <c r="L48" s="42"/>
    </row>
    <row r="49" spans="5:12" x14ac:dyDescent="0.2">
      <c r="E49" s="42"/>
      <c r="F49" s="42"/>
      <c r="G49" s="42"/>
      <c r="H49" s="42"/>
      <c r="L49" s="42"/>
    </row>
    <row r="50" spans="5:12" x14ac:dyDescent="0.2">
      <c r="E50" s="42"/>
      <c r="F50" s="42"/>
      <c r="G50" s="42"/>
      <c r="H50" s="42"/>
      <c r="I50" s="42"/>
      <c r="J50" s="42"/>
      <c r="L50" s="42"/>
    </row>
    <row r="51" spans="5:12" x14ac:dyDescent="0.2">
      <c r="E51" s="42"/>
      <c r="F51" s="42"/>
      <c r="G51" s="42"/>
      <c r="H51" s="42"/>
      <c r="I51" s="42"/>
      <c r="J51" s="42"/>
      <c r="K51" s="42"/>
      <c r="L51" s="42"/>
    </row>
    <row r="52" spans="5:12" x14ac:dyDescent="0.2">
      <c r="E52" s="42"/>
      <c r="F52" s="42"/>
      <c r="G52" s="42"/>
      <c r="H52" s="42"/>
      <c r="I52" s="42"/>
      <c r="J52" s="42"/>
      <c r="K52" s="42"/>
      <c r="L52" s="42"/>
    </row>
    <row r="53" spans="5:12" x14ac:dyDescent="0.2">
      <c r="E53" s="42"/>
      <c r="F53" s="42"/>
      <c r="G53" s="42"/>
      <c r="H53" s="42"/>
      <c r="I53" s="42"/>
      <c r="J53" s="42"/>
      <c r="K53" s="42"/>
      <c r="L53" s="42"/>
    </row>
    <row r="54" spans="5:12" x14ac:dyDescent="0.2">
      <c r="J54" s="42"/>
      <c r="K54" s="42"/>
      <c r="L54" s="42"/>
    </row>
    <row r="55" spans="5:12" x14ac:dyDescent="0.2">
      <c r="E55" s="42"/>
      <c r="F55" s="42"/>
      <c r="G55" s="42"/>
      <c r="H55" s="42"/>
      <c r="I55" s="42"/>
      <c r="J55" s="42"/>
      <c r="K55" s="42"/>
      <c r="L55" s="42"/>
    </row>
    <row r="56" spans="5:12" x14ac:dyDescent="0.2">
      <c r="E56" s="42"/>
      <c r="F56" s="42"/>
      <c r="G56" s="42"/>
    </row>
    <row r="57" spans="5:12" x14ac:dyDescent="0.2">
      <c r="I57" s="42"/>
      <c r="J57" s="42"/>
      <c r="K57" s="42"/>
      <c r="L57" s="42"/>
    </row>
    <row r="58" spans="5:12" x14ac:dyDescent="0.2">
      <c r="K58" s="42"/>
      <c r="L58" s="42"/>
    </row>
  </sheetData>
  <mergeCells count="27">
    <mergeCell ref="E46:F46"/>
    <mergeCell ref="E47:F47"/>
    <mergeCell ref="I44:I45"/>
    <mergeCell ref="E27:F27"/>
    <mergeCell ref="E28:F28"/>
    <mergeCell ref="G28:H28"/>
    <mergeCell ref="I28:J28"/>
    <mergeCell ref="A24:C24"/>
    <mergeCell ref="E36:F36"/>
    <mergeCell ref="A13:C13"/>
    <mergeCell ref="H14:H15"/>
    <mergeCell ref="I14:I15"/>
    <mergeCell ref="J14:J15"/>
    <mergeCell ref="B14:C14"/>
    <mergeCell ref="I23:I25"/>
    <mergeCell ref="E5:F5"/>
    <mergeCell ref="E6:F6"/>
    <mergeCell ref="E7:F7"/>
    <mergeCell ref="A8:C8"/>
    <mergeCell ref="E10:F10"/>
    <mergeCell ref="E11:F11"/>
    <mergeCell ref="Y1:Z1"/>
    <mergeCell ref="X2:AD2"/>
    <mergeCell ref="AE2:AG2"/>
    <mergeCell ref="AH2:AJ2"/>
    <mergeCell ref="B4:C4"/>
    <mergeCell ref="E4:F4"/>
  </mergeCells>
  <conditionalFormatting sqref="N46">
    <cfRule type="cellIs" dxfId="11" priority="3" operator="equal">
      <formula>"Unsafe"</formula>
    </cfRule>
    <cfRule type="cellIs" dxfId="10" priority="4" operator="equal">
      <formula>"Safe"</formula>
    </cfRule>
  </conditionalFormatting>
  <conditionalFormatting sqref="K29 G29 M43 I46:I47">
    <cfRule type="cellIs" dxfId="9" priority="2" operator="equal">
      <formula>"Safe"</formula>
    </cfRule>
  </conditionalFormatting>
  <conditionalFormatting sqref="K29 G29 M43 I46:I47">
    <cfRule type="cellIs" dxfId="8" priority="1" operator="equal">
      <formula>"Unsafe"</formula>
    </cfRule>
  </conditionalFormatting>
  <dataValidations count="2">
    <dataValidation type="list" allowBlank="1" showInputMessage="1" showErrorMessage="1" sqref="B4" xr:uid="{8A6A65EE-69DD-4B57-B694-30F72E4CACBB}">
      <formula1>$A$1:$A$3</formula1>
    </dataValidation>
    <dataValidation type="list" allowBlank="1" showInputMessage="1" showErrorMessage="1" sqref="B14" xr:uid="{22CFB865-66C2-4FD2-A0F1-2EBDE96ABBF6}">
      <formula1>$U$4:$U$21</formula1>
    </dataValidation>
  </dataValidations>
  <pageMargins left="0.7" right="0.7" top="0.75" bottom="0.75" header="0.3" footer="0.3"/>
  <pageSetup paperSize="9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E4A-4715-46E5-AF4D-7122007C943B}">
  <sheetPr>
    <pageSetUpPr fitToPage="1"/>
  </sheetPr>
  <dimension ref="A1:AJ63"/>
  <sheetViews>
    <sheetView showGridLines="0" tabSelected="1" zoomScale="70" zoomScaleNormal="70" zoomScaleSheetLayoutView="40" workbookViewId="0">
      <selection activeCell="I29" sqref="I29"/>
    </sheetView>
  </sheetViews>
  <sheetFormatPr defaultRowHeight="18.75" x14ac:dyDescent="0.2"/>
  <cols>
    <col min="1" max="1" width="6.625" style="34" bestFit="1" customWidth="1"/>
    <col min="2" max="2" width="9" style="34"/>
    <col min="3" max="3" width="10.625" style="34" customWidth="1"/>
    <col min="4" max="4" width="7.75" style="34" customWidth="1"/>
    <col min="5" max="5" width="14" style="34" customWidth="1"/>
    <col min="6" max="6" width="12.875" style="34" customWidth="1"/>
    <col min="7" max="7" width="10.625" style="34" customWidth="1"/>
    <col min="8" max="8" width="9.875" style="34" customWidth="1"/>
    <col min="9" max="9" width="10" style="34" customWidth="1"/>
    <col min="10" max="10" width="15.125" style="34" customWidth="1"/>
    <col min="11" max="16384" width="9" style="34"/>
  </cols>
  <sheetData>
    <row r="1" spans="1:36" x14ac:dyDescent="0.2">
      <c r="A1" s="33">
        <v>37</v>
      </c>
      <c r="B1" s="33" t="s">
        <v>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Y1" s="57" t="s">
        <v>19</v>
      </c>
      <c r="Z1" s="58"/>
    </row>
    <row r="2" spans="1:36" ht="18" customHeight="1" x14ac:dyDescent="0.2">
      <c r="A2" s="33">
        <v>44</v>
      </c>
      <c r="B2" s="33" t="s">
        <v>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U2" s="31" t="s">
        <v>20</v>
      </c>
      <c r="V2" s="31" t="s">
        <v>21</v>
      </c>
      <c r="W2" s="31" t="s">
        <v>22</v>
      </c>
      <c r="X2" s="59" t="s">
        <v>23</v>
      </c>
      <c r="Y2" s="60"/>
      <c r="Z2" s="60"/>
      <c r="AA2" s="60"/>
      <c r="AB2" s="60"/>
      <c r="AC2" s="60"/>
      <c r="AD2" s="61"/>
      <c r="AE2" s="59" t="s">
        <v>24</v>
      </c>
      <c r="AF2" s="60"/>
      <c r="AG2" s="61"/>
      <c r="AH2" s="59" t="s">
        <v>25</v>
      </c>
      <c r="AI2" s="60"/>
      <c r="AJ2" s="61"/>
    </row>
    <row r="3" spans="1:36" ht="41.25" x14ac:dyDescent="0.2">
      <c r="A3" s="33">
        <v>52</v>
      </c>
      <c r="B3" s="33" t="s">
        <v>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U3" s="31" t="s">
        <v>26</v>
      </c>
      <c r="V3" s="31" t="s">
        <v>119</v>
      </c>
      <c r="W3" s="31" t="s">
        <v>28</v>
      </c>
      <c r="X3" s="31" t="s">
        <v>29</v>
      </c>
      <c r="Y3" s="31" t="s">
        <v>30</v>
      </c>
      <c r="Z3" s="31" t="s">
        <v>31</v>
      </c>
      <c r="AA3" s="31" t="s">
        <v>32</v>
      </c>
      <c r="AB3" s="31" t="s">
        <v>33</v>
      </c>
      <c r="AC3" s="31" t="s">
        <v>34</v>
      </c>
      <c r="AD3" s="31" t="s">
        <v>35</v>
      </c>
      <c r="AE3" s="31" t="s">
        <v>120</v>
      </c>
      <c r="AF3" s="31" t="s">
        <v>121</v>
      </c>
      <c r="AG3" s="31" t="s">
        <v>122</v>
      </c>
      <c r="AH3" s="31" t="s">
        <v>123</v>
      </c>
      <c r="AI3" s="31" t="s">
        <v>124</v>
      </c>
      <c r="AJ3" s="31" t="s">
        <v>125</v>
      </c>
    </row>
    <row r="4" spans="1:36" x14ac:dyDescent="0.2">
      <c r="A4" s="39" t="s">
        <v>117</v>
      </c>
      <c r="B4" s="63">
        <v>37</v>
      </c>
      <c r="C4" s="63"/>
      <c r="D4" s="39"/>
      <c r="E4" s="56" t="s">
        <v>12</v>
      </c>
      <c r="F4" s="56"/>
      <c r="G4" s="39"/>
      <c r="H4" s="39"/>
      <c r="I4" s="39"/>
      <c r="J4" s="39"/>
      <c r="K4" s="39"/>
      <c r="L4" s="39"/>
      <c r="M4" s="39"/>
      <c r="N4" s="39"/>
      <c r="U4" s="36">
        <v>80</v>
      </c>
      <c r="V4" s="37">
        <v>7.64</v>
      </c>
      <c r="W4" s="36">
        <v>6</v>
      </c>
      <c r="X4" s="36">
        <v>80</v>
      </c>
      <c r="Y4" s="36">
        <v>46</v>
      </c>
      <c r="Z4" s="38">
        <v>3.8</v>
      </c>
      <c r="AA4" s="36">
        <v>5</v>
      </c>
      <c r="AB4" s="38">
        <v>5.2</v>
      </c>
      <c r="AC4" s="38">
        <v>10.199999999999999</v>
      </c>
      <c r="AD4" s="36">
        <v>59</v>
      </c>
      <c r="AE4" s="38">
        <v>80.099999999999994</v>
      </c>
      <c r="AF4" s="36">
        <v>20</v>
      </c>
      <c r="AG4" s="37">
        <v>3.24</v>
      </c>
      <c r="AH4" s="37">
        <v>8.49</v>
      </c>
      <c r="AI4" s="37">
        <v>3.69</v>
      </c>
      <c r="AJ4" s="37">
        <v>1.05</v>
      </c>
    </row>
    <row r="5" spans="1:36" ht="21" x14ac:dyDescent="0.2">
      <c r="A5" s="39" t="s">
        <v>127</v>
      </c>
      <c r="B5" s="39">
        <f>IF(B4=A1,2.4,IF(B4=A2,2.8,3.6))</f>
        <v>2.4</v>
      </c>
      <c r="C5" s="39" t="s">
        <v>89</v>
      </c>
      <c r="D5" s="39"/>
      <c r="E5" s="62" t="s">
        <v>128</v>
      </c>
      <c r="F5" s="62"/>
      <c r="G5" s="40">
        <v>3000</v>
      </c>
      <c r="H5" s="39" t="s">
        <v>0</v>
      </c>
      <c r="I5" s="39"/>
      <c r="J5" s="39"/>
      <c r="K5" s="39"/>
      <c r="L5" s="39"/>
      <c r="M5" s="39"/>
      <c r="N5" s="39"/>
      <c r="U5" s="36">
        <v>100</v>
      </c>
      <c r="V5" s="38">
        <v>10.3</v>
      </c>
      <c r="W5" s="38">
        <v>8.1</v>
      </c>
      <c r="X5" s="36">
        <v>100</v>
      </c>
      <c r="Y5" s="36">
        <v>55</v>
      </c>
      <c r="Z5" s="38">
        <v>4.0999999999999996</v>
      </c>
      <c r="AA5" s="36">
        <v>7</v>
      </c>
      <c r="AB5" s="38">
        <v>5.7</v>
      </c>
      <c r="AC5" s="38">
        <v>12.7</v>
      </c>
      <c r="AD5" s="36">
        <v>74</v>
      </c>
      <c r="AE5" s="36">
        <v>171</v>
      </c>
      <c r="AF5" s="38">
        <v>34.200000000000003</v>
      </c>
      <c r="AG5" s="37">
        <v>4.07</v>
      </c>
      <c r="AH5" s="38">
        <v>15.9</v>
      </c>
      <c r="AI5" s="37">
        <v>5.79</v>
      </c>
      <c r="AJ5" s="37">
        <v>1.24</v>
      </c>
    </row>
    <row r="6" spans="1:36" ht="21" x14ac:dyDescent="0.2">
      <c r="A6" s="39" t="s">
        <v>129</v>
      </c>
      <c r="B6" s="39">
        <f>IF(B4=A1,3.7,IF(B4=A2,4.4,5.2))</f>
        <v>3.7</v>
      </c>
      <c r="C6" s="39" t="s">
        <v>89</v>
      </c>
      <c r="D6" s="39"/>
      <c r="E6" s="62" t="s">
        <v>46</v>
      </c>
      <c r="F6" s="62"/>
      <c r="G6" s="40">
        <v>5</v>
      </c>
      <c r="H6" s="39" t="s">
        <v>1</v>
      </c>
      <c r="I6" s="39"/>
      <c r="J6" s="39"/>
      <c r="K6" s="39"/>
      <c r="L6" s="39"/>
      <c r="M6" s="39"/>
      <c r="N6" s="39"/>
      <c r="U6" s="36">
        <v>120</v>
      </c>
      <c r="V6" s="38">
        <v>13.2</v>
      </c>
      <c r="W6" s="38">
        <v>10.4</v>
      </c>
      <c r="X6" s="36">
        <v>120</v>
      </c>
      <c r="Y6" s="36">
        <v>64</v>
      </c>
      <c r="Z6" s="38">
        <v>4.4000000000000004</v>
      </c>
      <c r="AA6" s="36">
        <v>7</v>
      </c>
      <c r="AB6" s="38">
        <v>6.3</v>
      </c>
      <c r="AC6" s="38">
        <v>13.3</v>
      </c>
      <c r="AD6" s="36">
        <v>93</v>
      </c>
      <c r="AE6" s="36">
        <v>318</v>
      </c>
      <c r="AF6" s="36">
        <v>53</v>
      </c>
      <c r="AG6" s="38">
        <v>4.9000000000000004</v>
      </c>
      <c r="AH6" s="38">
        <v>27.7</v>
      </c>
      <c r="AI6" s="37">
        <v>8.65</v>
      </c>
      <c r="AJ6" s="37">
        <v>1.45</v>
      </c>
    </row>
    <row r="7" spans="1:36" ht="20.25" x14ac:dyDescent="0.2">
      <c r="A7" s="39"/>
      <c r="B7" s="39"/>
      <c r="C7" s="39"/>
      <c r="D7" s="39"/>
      <c r="E7" s="62" t="s">
        <v>130</v>
      </c>
      <c r="F7" s="62"/>
      <c r="G7" s="40">
        <v>30</v>
      </c>
      <c r="H7" s="39" t="s">
        <v>1</v>
      </c>
      <c r="I7" s="39"/>
      <c r="J7" s="39"/>
      <c r="K7" s="39"/>
      <c r="L7" s="39"/>
      <c r="M7" s="39"/>
      <c r="N7" s="39"/>
      <c r="U7" s="36">
        <v>140</v>
      </c>
      <c r="V7" s="38">
        <v>16.399999999999999</v>
      </c>
      <c r="W7" s="38">
        <v>12.9</v>
      </c>
      <c r="X7" s="36">
        <v>140</v>
      </c>
      <c r="Y7" s="36">
        <v>73</v>
      </c>
      <c r="Z7" s="38">
        <v>4.7</v>
      </c>
      <c r="AA7" s="36">
        <v>7</v>
      </c>
      <c r="AB7" s="38">
        <v>6.9</v>
      </c>
      <c r="AC7" s="38">
        <v>13.9</v>
      </c>
      <c r="AD7" s="36">
        <v>112</v>
      </c>
      <c r="AE7" s="36">
        <v>541</v>
      </c>
      <c r="AF7" s="38">
        <v>77.3</v>
      </c>
      <c r="AG7" s="37">
        <v>5.74</v>
      </c>
      <c r="AH7" s="38">
        <v>44.9</v>
      </c>
      <c r="AI7" s="38">
        <v>12.3</v>
      </c>
      <c r="AJ7" s="37">
        <v>1.65</v>
      </c>
    </row>
    <row r="8" spans="1:36" x14ac:dyDescent="0.2">
      <c r="A8" s="56" t="s">
        <v>159</v>
      </c>
      <c r="B8" s="56"/>
      <c r="C8" s="56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U8" s="36">
        <v>160</v>
      </c>
      <c r="V8" s="38">
        <v>20.100000000000001</v>
      </c>
      <c r="W8" s="38">
        <v>15.8</v>
      </c>
      <c r="X8" s="36">
        <v>160</v>
      </c>
      <c r="Y8" s="36">
        <v>82</v>
      </c>
      <c r="Z8" s="36">
        <v>5</v>
      </c>
      <c r="AA8" s="36">
        <v>9</v>
      </c>
      <c r="AB8" s="38">
        <v>7.4</v>
      </c>
      <c r="AC8" s="38">
        <v>16.399999999999999</v>
      </c>
      <c r="AD8" s="36">
        <v>127</v>
      </c>
      <c r="AE8" s="36">
        <v>869</v>
      </c>
      <c r="AF8" s="36">
        <v>109</v>
      </c>
      <c r="AG8" s="37">
        <v>6.58</v>
      </c>
      <c r="AH8" s="38">
        <v>68.3</v>
      </c>
      <c r="AI8" s="38">
        <v>16.7</v>
      </c>
      <c r="AJ8" s="37">
        <v>1.84</v>
      </c>
    </row>
    <row r="9" spans="1:36" ht="20.25" x14ac:dyDescent="0.2">
      <c r="A9" s="39" t="s">
        <v>131</v>
      </c>
      <c r="B9" s="40">
        <v>200</v>
      </c>
      <c r="C9" s="39" t="s"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U9" s="36">
        <v>180</v>
      </c>
      <c r="V9" s="38">
        <v>23.9</v>
      </c>
      <c r="W9" s="38">
        <v>18.8</v>
      </c>
      <c r="X9" s="36">
        <v>180</v>
      </c>
      <c r="Y9" s="36">
        <v>91</v>
      </c>
      <c r="Z9" s="38">
        <v>5.3</v>
      </c>
      <c r="AA9" s="36">
        <v>9</v>
      </c>
      <c r="AB9" s="36">
        <v>8</v>
      </c>
      <c r="AC9" s="36">
        <v>17</v>
      </c>
      <c r="AD9" s="36">
        <v>146</v>
      </c>
      <c r="AE9" s="36">
        <v>1320</v>
      </c>
      <c r="AF9" s="36">
        <v>146</v>
      </c>
      <c r="AG9" s="37">
        <v>7.42</v>
      </c>
      <c r="AH9" s="36">
        <v>101</v>
      </c>
      <c r="AI9" s="38">
        <v>22.2</v>
      </c>
      <c r="AJ9" s="37">
        <v>2.0499999999999998</v>
      </c>
    </row>
    <row r="10" spans="1:36" ht="20.25" x14ac:dyDescent="0.2">
      <c r="A10" s="46" t="s">
        <v>157</v>
      </c>
      <c r="B10" s="51">
        <f>0.8*2000</f>
        <v>1600</v>
      </c>
      <c r="C10" s="46" t="s">
        <v>2</v>
      </c>
      <c r="D10" s="39"/>
      <c r="E10" s="56" t="s">
        <v>52</v>
      </c>
      <c r="F10" s="56"/>
      <c r="G10" s="39"/>
      <c r="H10" s="39"/>
      <c r="I10" s="39"/>
      <c r="J10" s="39"/>
      <c r="K10" s="39"/>
      <c r="L10" s="39"/>
      <c r="M10" s="39"/>
      <c r="N10" s="39"/>
      <c r="U10" s="36">
        <v>200</v>
      </c>
      <c r="V10" s="38">
        <v>28.5</v>
      </c>
      <c r="W10" s="38">
        <v>22.4</v>
      </c>
      <c r="X10" s="36">
        <v>200</v>
      </c>
      <c r="Y10" s="36">
        <v>100</v>
      </c>
      <c r="Z10" s="38">
        <v>5.6</v>
      </c>
      <c r="AA10" s="36">
        <v>12</v>
      </c>
      <c r="AB10" s="38">
        <v>8.5</v>
      </c>
      <c r="AC10" s="38">
        <v>20.5</v>
      </c>
      <c r="AD10" s="36">
        <v>159</v>
      </c>
      <c r="AE10" s="36">
        <v>1940</v>
      </c>
      <c r="AF10" s="36">
        <v>194</v>
      </c>
      <c r="AG10" s="37">
        <v>8.26</v>
      </c>
      <c r="AH10" s="36">
        <v>142</v>
      </c>
      <c r="AI10" s="38">
        <v>28.5</v>
      </c>
      <c r="AJ10" s="37">
        <v>2.2400000000000002</v>
      </c>
    </row>
    <row r="11" spans="1:36" ht="20.25" x14ac:dyDescent="0.2">
      <c r="A11" s="46" t="s">
        <v>158</v>
      </c>
      <c r="B11" s="51">
        <v>200</v>
      </c>
      <c r="C11" s="46" t="s">
        <v>2</v>
      </c>
      <c r="D11" s="39"/>
      <c r="E11" s="56" t="s">
        <v>8</v>
      </c>
      <c r="F11" s="56"/>
      <c r="G11" s="39"/>
      <c r="H11" s="39"/>
      <c r="I11" s="39"/>
      <c r="K11" s="39"/>
      <c r="L11" s="39"/>
      <c r="M11" s="39"/>
      <c r="N11" s="39"/>
      <c r="U11" s="36">
        <v>220</v>
      </c>
      <c r="V11" s="38">
        <v>33.4</v>
      </c>
      <c r="W11" s="38">
        <v>26.2</v>
      </c>
      <c r="X11" s="36">
        <v>220</v>
      </c>
      <c r="Y11" s="36">
        <v>110</v>
      </c>
      <c r="Z11" s="38">
        <v>5.9</v>
      </c>
      <c r="AA11" s="36">
        <v>12</v>
      </c>
      <c r="AB11" s="38">
        <v>9.1999999999999993</v>
      </c>
      <c r="AC11" s="38">
        <v>21.2</v>
      </c>
      <c r="AD11" s="36">
        <v>177</v>
      </c>
      <c r="AE11" s="36">
        <v>2770</v>
      </c>
      <c r="AF11" s="36">
        <v>252</v>
      </c>
      <c r="AG11" s="37">
        <v>9.11</v>
      </c>
      <c r="AH11" s="36">
        <v>205</v>
      </c>
      <c r="AI11" s="38">
        <v>37.299999999999997</v>
      </c>
      <c r="AJ11" s="37">
        <v>2.48</v>
      </c>
    </row>
    <row r="12" spans="1:36" x14ac:dyDescent="0.2">
      <c r="A12" s="39"/>
      <c r="B12" s="40"/>
      <c r="C12" s="39"/>
      <c r="D12" s="39"/>
      <c r="E12" s="43"/>
      <c r="F12" s="43"/>
      <c r="G12" s="42"/>
      <c r="H12" s="42"/>
      <c r="I12" s="42"/>
      <c r="K12" s="46"/>
      <c r="L12" s="46"/>
      <c r="M12" s="46"/>
      <c r="N12" s="39"/>
      <c r="U12" s="36">
        <v>240</v>
      </c>
      <c r="V12" s="38">
        <v>39.1</v>
      </c>
      <c r="W12" s="38">
        <v>30.7</v>
      </c>
      <c r="X12" s="36">
        <v>240</v>
      </c>
      <c r="Y12" s="36">
        <v>120</v>
      </c>
      <c r="Z12" s="38">
        <v>6.2</v>
      </c>
      <c r="AA12" s="36">
        <v>15</v>
      </c>
      <c r="AB12" s="38">
        <v>9.8000000000000007</v>
      </c>
      <c r="AC12" s="38">
        <v>24.8</v>
      </c>
      <c r="AD12" s="36">
        <v>190</v>
      </c>
      <c r="AE12" s="36">
        <v>3890</v>
      </c>
      <c r="AF12" s="36">
        <v>324</v>
      </c>
      <c r="AG12" s="37">
        <v>9.9700000000000006</v>
      </c>
      <c r="AH12" s="36">
        <v>284</v>
      </c>
      <c r="AI12" s="38">
        <v>47.3</v>
      </c>
      <c r="AJ12" s="37">
        <v>2.69</v>
      </c>
    </row>
    <row r="13" spans="1:36" ht="21" x14ac:dyDescent="0.25">
      <c r="A13" s="56" t="s">
        <v>118</v>
      </c>
      <c r="B13" s="56"/>
      <c r="C13" s="56"/>
      <c r="D13" s="39"/>
      <c r="E13" s="52" t="s">
        <v>160</v>
      </c>
      <c r="F13" s="46">
        <f>(1/(0.1*B15-2*0.1*B19))*((B15/20)+(G6/(2*0.1*B17*B5))-(0.1*B19))</f>
        <v>0.52182140662532817</v>
      </c>
      <c r="G13" s="53"/>
      <c r="H13" s="46"/>
      <c r="I13" s="46"/>
      <c r="J13" s="46"/>
      <c r="M13" s="41"/>
      <c r="N13" s="39"/>
      <c r="U13" s="36">
        <v>270</v>
      </c>
      <c r="V13" s="38">
        <v>45.9</v>
      </c>
      <c r="W13" s="38">
        <v>36.1</v>
      </c>
      <c r="X13" s="36">
        <v>270</v>
      </c>
      <c r="Y13" s="36">
        <v>135</v>
      </c>
      <c r="Z13" s="38">
        <v>6.6</v>
      </c>
      <c r="AA13" s="36">
        <v>15</v>
      </c>
      <c r="AB13" s="38">
        <v>10.199999999999999</v>
      </c>
      <c r="AC13" s="38">
        <v>25.2</v>
      </c>
      <c r="AD13" s="36">
        <v>219</v>
      </c>
      <c r="AE13" s="36">
        <v>5790</v>
      </c>
      <c r="AF13" s="36">
        <v>429</v>
      </c>
      <c r="AG13" s="38">
        <v>11.2</v>
      </c>
      <c r="AH13" s="36">
        <v>420</v>
      </c>
      <c r="AI13" s="38">
        <v>62.2</v>
      </c>
      <c r="AJ13" s="37">
        <v>3.02</v>
      </c>
    </row>
    <row r="14" spans="1:36" ht="20.25" x14ac:dyDescent="0.3">
      <c r="A14" s="39" t="s">
        <v>19</v>
      </c>
      <c r="B14" s="65">
        <v>500</v>
      </c>
      <c r="C14" s="65"/>
      <c r="D14" s="39"/>
      <c r="E14" s="39" t="s">
        <v>95</v>
      </c>
      <c r="F14" s="39">
        <f>B21/B17</f>
        <v>41.764705882352942</v>
      </c>
      <c r="G14" s="54" t="str">
        <f>IF(AND(F13&gt;0.5,F14&lt;=((699/SQRT(B5))/(13*F13-1))),B1,IF(AND(F13&lt;=0.5,F14&lt;=((63.3/F13)/SQRT(B5))),B1,B2))</f>
        <v>Compact</v>
      </c>
      <c r="H14" s="62" t="s">
        <v>55</v>
      </c>
      <c r="I14" s="62" t="str">
        <f>IF(AND(G14=B1,G15=B1),B1,IF(AND(G14=B1,G15=B2),B2,IF(AND(G14=B2,G15=B1),B2,B3)))</f>
        <v>Compact</v>
      </c>
      <c r="J14" s="62" t="s">
        <v>116</v>
      </c>
      <c r="L14" s="41"/>
      <c r="M14" s="41"/>
      <c r="N14" s="39"/>
      <c r="U14" s="36">
        <v>300</v>
      </c>
      <c r="V14" s="38">
        <v>53.8</v>
      </c>
      <c r="W14" s="38">
        <v>42.2</v>
      </c>
      <c r="X14" s="36">
        <v>300</v>
      </c>
      <c r="Y14" s="36">
        <v>150</v>
      </c>
      <c r="Z14" s="38">
        <v>7.1</v>
      </c>
      <c r="AA14" s="36">
        <v>15</v>
      </c>
      <c r="AB14" s="38">
        <v>10.7</v>
      </c>
      <c r="AC14" s="38">
        <v>25.7</v>
      </c>
      <c r="AD14" s="36">
        <v>248</v>
      </c>
      <c r="AE14" s="36">
        <v>8360</v>
      </c>
      <c r="AF14" s="36">
        <v>557</v>
      </c>
      <c r="AG14" s="38">
        <v>12.5</v>
      </c>
      <c r="AH14" s="36">
        <v>604</v>
      </c>
      <c r="AI14" s="38">
        <v>80.5</v>
      </c>
      <c r="AJ14" s="37">
        <v>3.35</v>
      </c>
    </row>
    <row r="15" spans="1:36" ht="18" customHeight="1" x14ac:dyDescent="0.2">
      <c r="A15" s="39" t="s">
        <v>29</v>
      </c>
      <c r="B15" s="39">
        <f>VLOOKUP(B14,table,4,FALSE)</f>
        <v>500</v>
      </c>
      <c r="C15" s="39" t="s">
        <v>53</v>
      </c>
      <c r="D15" s="39"/>
      <c r="E15" s="39" t="s">
        <v>99</v>
      </c>
      <c r="F15" s="39">
        <f>(B16-B17-2*B18)/(2*B19)</f>
        <v>4.6187500000000004</v>
      </c>
      <c r="G15" s="41" t="str">
        <f>IF(F15&lt;=(16.9/SQRT(B5)),B1,IF(AND(F15&gt;(16.9/SQRT(B5)),F15&lt;=(33/SQRT(B5))),B2,B3))</f>
        <v>Compact</v>
      </c>
      <c r="H15" s="62"/>
      <c r="I15" s="62"/>
      <c r="J15" s="62"/>
      <c r="L15" s="41"/>
      <c r="M15" s="39"/>
      <c r="N15" s="39"/>
      <c r="U15" s="36">
        <v>330</v>
      </c>
      <c r="V15" s="38">
        <v>62.6</v>
      </c>
      <c r="W15" s="38">
        <v>49.1</v>
      </c>
      <c r="X15" s="36">
        <v>330</v>
      </c>
      <c r="Y15" s="36">
        <v>160</v>
      </c>
      <c r="Z15" s="38">
        <v>7.5</v>
      </c>
      <c r="AA15" s="36">
        <v>18</v>
      </c>
      <c r="AB15" s="38">
        <v>11.5</v>
      </c>
      <c r="AC15" s="38">
        <v>29.5</v>
      </c>
      <c r="AD15" s="36">
        <v>271</v>
      </c>
      <c r="AE15" s="36">
        <v>11770</v>
      </c>
      <c r="AF15" s="36">
        <v>713</v>
      </c>
      <c r="AG15" s="38">
        <v>13.7</v>
      </c>
      <c r="AH15" s="36">
        <v>788</v>
      </c>
      <c r="AI15" s="38">
        <v>98.5</v>
      </c>
      <c r="AJ15" s="37">
        <v>3.55</v>
      </c>
    </row>
    <row r="16" spans="1:36" x14ac:dyDescent="0.2">
      <c r="A16" s="39" t="s">
        <v>30</v>
      </c>
      <c r="B16" s="39">
        <f>VLOOKUP(B14,table,5,FALSE)</f>
        <v>200</v>
      </c>
      <c r="C16" s="39" t="s">
        <v>53</v>
      </c>
      <c r="D16" s="39"/>
      <c r="E16" s="39"/>
      <c r="F16" s="39"/>
      <c r="G16" s="41"/>
      <c r="H16" s="39"/>
      <c r="I16" s="39"/>
      <c r="J16" s="39"/>
      <c r="K16" s="46"/>
      <c r="L16" s="46"/>
      <c r="M16" s="39"/>
      <c r="U16" s="36">
        <v>360</v>
      </c>
      <c r="V16" s="38">
        <v>72.7</v>
      </c>
      <c r="W16" s="38">
        <v>57.1</v>
      </c>
      <c r="X16" s="36">
        <v>360</v>
      </c>
      <c r="Y16" s="36">
        <v>170</v>
      </c>
      <c r="Z16" s="36">
        <v>8</v>
      </c>
      <c r="AA16" s="36">
        <v>18</v>
      </c>
      <c r="AB16" s="38">
        <v>12.7</v>
      </c>
      <c r="AC16" s="38">
        <v>30.7</v>
      </c>
      <c r="AD16" s="36">
        <v>298</v>
      </c>
      <c r="AE16" s="36">
        <v>16270</v>
      </c>
      <c r="AF16" s="36">
        <v>904</v>
      </c>
      <c r="AG16" s="36">
        <v>15</v>
      </c>
      <c r="AH16" s="36">
        <v>1040</v>
      </c>
      <c r="AI16" s="36">
        <v>123</v>
      </c>
      <c r="AJ16" s="37">
        <v>3.79</v>
      </c>
    </row>
    <row r="17" spans="1:36" ht="20.25" customHeight="1" x14ac:dyDescent="0.2">
      <c r="A17" s="39" t="s">
        <v>31</v>
      </c>
      <c r="B17" s="39">
        <f>VLOOKUP(B14,table,6,FALSE)</f>
        <v>10.199999999999999</v>
      </c>
      <c r="C17" s="39" t="s">
        <v>53</v>
      </c>
      <c r="D17" s="39"/>
      <c r="E17" s="45" t="s">
        <v>142</v>
      </c>
      <c r="F17" s="46"/>
      <c r="G17" s="46"/>
      <c r="H17" s="46"/>
      <c r="I17" s="46"/>
      <c r="J17" s="46"/>
      <c r="K17" s="46"/>
      <c r="L17" s="46"/>
      <c r="U17" s="36">
        <v>400</v>
      </c>
      <c r="V17" s="38">
        <v>84.5</v>
      </c>
      <c r="W17" s="38">
        <v>66.3</v>
      </c>
      <c r="X17" s="36">
        <v>400</v>
      </c>
      <c r="Y17" s="36">
        <v>180</v>
      </c>
      <c r="Z17" s="38">
        <v>8.6</v>
      </c>
      <c r="AA17" s="36">
        <v>21</v>
      </c>
      <c r="AB17" s="38">
        <v>13.5</v>
      </c>
      <c r="AC17" s="38">
        <v>34.5</v>
      </c>
      <c r="AD17" s="36">
        <v>331</v>
      </c>
      <c r="AE17" s="36">
        <v>23130</v>
      </c>
      <c r="AF17" s="36">
        <v>1160</v>
      </c>
      <c r="AG17" s="38">
        <v>16.5</v>
      </c>
      <c r="AH17" s="36">
        <v>1320</v>
      </c>
      <c r="AI17" s="36">
        <v>146</v>
      </c>
      <c r="AJ17" s="37">
        <v>3.95</v>
      </c>
    </row>
    <row r="18" spans="1:36" ht="20.25" customHeight="1" x14ac:dyDescent="0.2">
      <c r="A18" s="39" t="s">
        <v>32</v>
      </c>
      <c r="B18" s="39">
        <f>VLOOKUP(B14,table,7,FALSE)</f>
        <v>21</v>
      </c>
      <c r="C18" s="39" t="s">
        <v>53</v>
      </c>
      <c r="D18" s="39"/>
      <c r="E18" s="39" t="s">
        <v>139</v>
      </c>
      <c r="F18" s="39">
        <f>(80*B31)/(SQRT(B5))</f>
        <v>222.56744296205287</v>
      </c>
      <c r="G18" s="39" t="s">
        <v>2</v>
      </c>
      <c r="H18" s="47"/>
      <c r="I18" s="47"/>
      <c r="J18" s="47"/>
      <c r="K18" s="47"/>
      <c r="L18" s="47"/>
      <c r="U18" s="36">
        <v>450</v>
      </c>
      <c r="V18" s="38">
        <v>98.8</v>
      </c>
      <c r="W18" s="38">
        <v>77.599999999999994</v>
      </c>
      <c r="X18" s="36">
        <v>450</v>
      </c>
      <c r="Y18" s="36">
        <v>190</v>
      </c>
      <c r="Z18" s="38">
        <v>9.4</v>
      </c>
      <c r="AA18" s="36">
        <v>21</v>
      </c>
      <c r="AB18" s="38">
        <v>14.6</v>
      </c>
      <c r="AC18" s="38">
        <v>35.6</v>
      </c>
      <c r="AD18" s="36">
        <v>378</v>
      </c>
      <c r="AE18" s="36">
        <v>33740</v>
      </c>
      <c r="AF18" s="36">
        <v>1500</v>
      </c>
      <c r="AG18" s="38">
        <v>18.5</v>
      </c>
      <c r="AH18" s="36">
        <v>1680</v>
      </c>
      <c r="AI18" s="36">
        <v>176</v>
      </c>
      <c r="AJ18" s="37">
        <v>4.12</v>
      </c>
    </row>
    <row r="19" spans="1:36" ht="20.25" customHeight="1" x14ac:dyDescent="0.2">
      <c r="A19" s="39" t="s">
        <v>33</v>
      </c>
      <c r="B19" s="39">
        <f>VLOOKUP(B14,table,8,FALSE)</f>
        <v>16</v>
      </c>
      <c r="C19" s="39" t="s">
        <v>53</v>
      </c>
      <c r="D19" s="39"/>
      <c r="E19" s="39" t="s">
        <v>140</v>
      </c>
      <c r="F19" s="39">
        <f>0.1*SQRT((B19*B16^3/12)/(B16*B19+(1/6)*(B15-2*B19)*B17))</f>
        <v>5.1668203280353273</v>
      </c>
      <c r="G19" s="39" t="s">
        <v>2</v>
      </c>
      <c r="H19" s="47"/>
      <c r="I19" s="47"/>
      <c r="J19" s="47"/>
      <c r="K19" s="47"/>
      <c r="L19" s="47"/>
      <c r="U19" s="36">
        <v>500</v>
      </c>
      <c r="V19" s="36">
        <v>116</v>
      </c>
      <c r="W19" s="38">
        <v>90.7</v>
      </c>
      <c r="X19" s="36">
        <v>500</v>
      </c>
      <c r="Y19" s="36">
        <v>200</v>
      </c>
      <c r="Z19" s="38">
        <v>10.199999999999999</v>
      </c>
      <c r="AA19" s="36">
        <v>21</v>
      </c>
      <c r="AB19" s="36">
        <v>16</v>
      </c>
      <c r="AC19" s="36">
        <v>37</v>
      </c>
      <c r="AD19" s="36">
        <v>426</v>
      </c>
      <c r="AE19" s="36">
        <v>48200</v>
      </c>
      <c r="AF19" s="36">
        <v>1930</v>
      </c>
      <c r="AG19" s="38">
        <v>20.399999999999999</v>
      </c>
      <c r="AH19" s="36">
        <v>2140</v>
      </c>
      <c r="AI19" s="36">
        <v>214</v>
      </c>
      <c r="AJ19" s="37">
        <v>4.3099999999999996</v>
      </c>
    </row>
    <row r="20" spans="1:36" x14ac:dyDescent="0.2">
      <c r="A20" s="39" t="s">
        <v>34</v>
      </c>
      <c r="B20" s="39">
        <f>VLOOKUP(B14,table,9,FALSE)</f>
        <v>37</v>
      </c>
      <c r="C20" s="39" t="s">
        <v>53</v>
      </c>
      <c r="D20" s="39"/>
      <c r="E20" s="39" t="s">
        <v>78</v>
      </c>
      <c r="F20" s="39">
        <f>((0.104*F19*0.1*B15)/(0.1*B16*0.1*B19))^2</f>
        <v>0.70494210297994464</v>
      </c>
      <c r="G20" s="39" t="s">
        <v>6</v>
      </c>
      <c r="H20" s="47"/>
      <c r="I20" s="47"/>
      <c r="J20" s="47"/>
      <c r="K20" s="47"/>
      <c r="L20" s="47"/>
      <c r="U20" s="36">
        <v>550</v>
      </c>
      <c r="V20" s="36">
        <v>134</v>
      </c>
      <c r="W20" s="36">
        <v>106</v>
      </c>
      <c r="X20" s="36">
        <v>550</v>
      </c>
      <c r="Y20" s="36">
        <v>210</v>
      </c>
      <c r="Z20" s="38">
        <v>11.1</v>
      </c>
      <c r="AA20" s="36">
        <v>24</v>
      </c>
      <c r="AB20" s="38">
        <v>17.2</v>
      </c>
      <c r="AC20" s="38">
        <v>41.2</v>
      </c>
      <c r="AD20" s="36">
        <v>467</v>
      </c>
      <c r="AE20" s="36">
        <v>67120</v>
      </c>
      <c r="AF20" s="36">
        <v>2440</v>
      </c>
      <c r="AG20" s="38">
        <v>22.3</v>
      </c>
      <c r="AH20" s="36">
        <v>2670</v>
      </c>
      <c r="AI20" s="36">
        <v>254</v>
      </c>
      <c r="AJ20" s="37">
        <v>4.45</v>
      </c>
    </row>
    <row r="21" spans="1:36" ht="20.25" x14ac:dyDescent="0.2">
      <c r="A21" s="39" t="s">
        <v>35</v>
      </c>
      <c r="B21" s="39">
        <f>VLOOKUP(B14,table,10,FALSE)</f>
        <v>426</v>
      </c>
      <c r="C21" s="39" t="s">
        <v>53</v>
      </c>
      <c r="D21" s="39"/>
      <c r="E21" s="39" t="s">
        <v>141</v>
      </c>
      <c r="F21" s="39">
        <f>((1380*(B16/10)*(B19/10))/((B15/10)*0.75*B5))*SQRT(0.5*(1+SQRT(1+(2*F20*0.75*B5)^2)))</f>
        <v>669.87296117745905</v>
      </c>
      <c r="G21" s="39" t="s">
        <v>2</v>
      </c>
      <c r="H21" s="47"/>
      <c r="I21" s="47"/>
      <c r="J21" s="47"/>
      <c r="K21" s="47"/>
      <c r="L21" s="47"/>
      <c r="U21" s="36">
        <v>600</v>
      </c>
      <c r="V21" s="36">
        <v>156</v>
      </c>
      <c r="W21" s="36">
        <v>122</v>
      </c>
      <c r="X21" s="36">
        <v>600</v>
      </c>
      <c r="Y21" s="36">
        <v>220</v>
      </c>
      <c r="Z21" s="36">
        <v>12</v>
      </c>
      <c r="AA21" s="36">
        <v>24</v>
      </c>
      <c r="AB21" s="36">
        <v>19</v>
      </c>
      <c r="AC21" s="36">
        <v>43</v>
      </c>
      <c r="AD21" s="36">
        <v>514</v>
      </c>
      <c r="AE21" s="36">
        <v>92080</v>
      </c>
      <c r="AF21" s="36">
        <v>3070</v>
      </c>
      <c r="AG21" s="38">
        <v>24.3</v>
      </c>
      <c r="AH21" s="36">
        <v>3390</v>
      </c>
      <c r="AI21" s="36">
        <v>308</v>
      </c>
      <c r="AJ21" s="37">
        <v>4.66</v>
      </c>
    </row>
    <row r="22" spans="1:36" ht="20.25" x14ac:dyDescent="0.2">
      <c r="A22" s="39"/>
      <c r="B22" s="39"/>
      <c r="C22" s="39"/>
      <c r="D22" s="39"/>
      <c r="E22" s="47" t="s">
        <v>161</v>
      </c>
      <c r="F22" s="46">
        <f>B29*B5</f>
        <v>5234.1599999999989</v>
      </c>
      <c r="G22" s="46" t="s">
        <v>0</v>
      </c>
      <c r="H22" s="47"/>
      <c r="I22" s="47"/>
      <c r="J22" s="47"/>
      <c r="K22" s="46"/>
      <c r="L22" s="46"/>
      <c r="N22" s="39"/>
    </row>
    <row r="23" spans="1:36" x14ac:dyDescent="0.2">
      <c r="A23" s="39"/>
      <c r="B23" s="39"/>
      <c r="C23" s="39"/>
      <c r="D23" s="39"/>
      <c r="E23" s="46" t="str">
        <f>IF(B9&lt;=F18,"Lb &lt;= Lp","")</f>
        <v>Lb &lt;= Lp</v>
      </c>
      <c r="F23" s="46" t="str">
        <f>IF(B9&lt;=F18,"Mnx = Mp =","")</f>
        <v>Mnx = Mp =</v>
      </c>
      <c r="G23" s="46">
        <f>IF(B9&lt;=F18,F22,"")</f>
        <v>5234.1599999999989</v>
      </c>
      <c r="I23" s="55"/>
      <c r="J23" s="47"/>
      <c r="K23" s="46"/>
      <c r="L23" s="46"/>
      <c r="M23" s="39"/>
      <c r="N23" s="39"/>
    </row>
    <row r="24" spans="1:36" x14ac:dyDescent="0.2">
      <c r="A24" s="56" t="s">
        <v>126</v>
      </c>
      <c r="B24" s="56"/>
      <c r="C24" s="56"/>
      <c r="D24" s="39"/>
      <c r="E24" s="46" t="str">
        <f>IF(AND(B9&gt;F18,B9&lt;=F21),"Lp &lt; Lb &lt;= Lr","")</f>
        <v/>
      </c>
      <c r="F24" s="46" t="str">
        <f>IF(AND(B9&gt;F18,B9&lt;=F21),"Mnx =","")</f>
        <v/>
      </c>
      <c r="G24" s="46" t="str">
        <f>IF(AND(B9&gt;F18,B9&lt;=F21),MIN((F22-(F22-(B28*0.75*B5))*((B9-F18)/(F21-F18))),F22),"")</f>
        <v/>
      </c>
      <c r="I24" s="55"/>
      <c r="J24" s="47"/>
      <c r="K24" s="46"/>
      <c r="L24" s="46"/>
      <c r="M24" s="39"/>
      <c r="N24" s="39"/>
    </row>
    <row r="25" spans="1:36" ht="21" x14ac:dyDescent="0.2">
      <c r="A25" s="39" t="s">
        <v>21</v>
      </c>
      <c r="B25" s="39">
        <f>VLOOKUP(B14,table,2,FALSE)</f>
        <v>116</v>
      </c>
      <c r="C25" s="39" t="s">
        <v>94</v>
      </c>
      <c r="D25" s="39"/>
      <c r="E25" s="46" t="str">
        <f>IF(B9&gt;F21,"Lb &gt; Lr","")</f>
        <v/>
      </c>
      <c r="F25" s="46" t="str">
        <f>IF(B9&gt;F21,"Mnx =","")</f>
        <v/>
      </c>
      <c r="G25" s="46" t="str">
        <f>IF(B9&gt;F21,B28*SQRT(((1380*0.1*B16*0.1*B19)/(0.1*B15*B9))^2+(20700/(B9/F19)^2)^2),"")</f>
        <v/>
      </c>
      <c r="I25" s="55"/>
      <c r="J25" s="47"/>
      <c r="K25" s="46"/>
      <c r="L25" s="46"/>
      <c r="M25" s="39"/>
      <c r="N25" s="39"/>
    </row>
    <row r="26" spans="1:36" ht="21" x14ac:dyDescent="0.2">
      <c r="A26" s="39" t="s">
        <v>133</v>
      </c>
      <c r="B26" s="39">
        <f>VLOOKUP(B14,table,11,FALSE)</f>
        <v>48200</v>
      </c>
      <c r="C26" s="39" t="s">
        <v>98</v>
      </c>
      <c r="D26" s="39"/>
      <c r="E26" s="46"/>
      <c r="F26" s="46"/>
      <c r="G26" s="46"/>
      <c r="H26" s="46"/>
      <c r="I26" s="46"/>
      <c r="J26" s="46"/>
      <c r="K26" s="46"/>
      <c r="L26" s="46"/>
      <c r="M26" s="39"/>
      <c r="N26" s="39"/>
    </row>
    <row r="27" spans="1:36" ht="21" x14ac:dyDescent="0.2">
      <c r="A27" s="39" t="s">
        <v>134</v>
      </c>
      <c r="B27" s="39">
        <f>VLOOKUP(B14,table,14,FALSE)</f>
        <v>2140</v>
      </c>
      <c r="C27" s="39" t="s">
        <v>98</v>
      </c>
      <c r="D27" s="39"/>
      <c r="E27" s="64" t="s">
        <v>143</v>
      </c>
      <c r="F27" s="64"/>
      <c r="G27" s="46"/>
      <c r="H27" s="46"/>
      <c r="I27" s="46"/>
      <c r="J27" s="46"/>
      <c r="K27" s="46"/>
      <c r="L27" s="46"/>
      <c r="M27" s="39"/>
      <c r="N27" s="39"/>
    </row>
    <row r="28" spans="1:36" ht="21" x14ac:dyDescent="0.2">
      <c r="A28" s="39" t="s">
        <v>135</v>
      </c>
      <c r="B28" s="39">
        <f>VLOOKUP(B14,table,12,FALSE)</f>
        <v>1930</v>
      </c>
      <c r="C28" s="39" t="s">
        <v>104</v>
      </c>
      <c r="D28" s="39"/>
      <c r="E28" s="64" t="s">
        <v>144</v>
      </c>
      <c r="F28" s="64"/>
      <c r="G28" s="55"/>
      <c r="H28" s="55"/>
      <c r="I28" s="64" t="s">
        <v>145</v>
      </c>
      <c r="J28" s="64"/>
      <c r="K28" s="49" t="str">
        <f>IF(J29&lt;=180,"Safe","Unsafe")</f>
        <v>Safe</v>
      </c>
      <c r="L28" s="46"/>
      <c r="M28" s="39"/>
      <c r="N28" s="39"/>
    </row>
    <row r="29" spans="1:36" ht="21" x14ac:dyDescent="0.2">
      <c r="A29" s="39" t="s">
        <v>136</v>
      </c>
      <c r="B29" s="39">
        <f>1.13*B28</f>
        <v>2180.8999999999996</v>
      </c>
      <c r="C29" s="39" t="s">
        <v>104</v>
      </c>
      <c r="D29" s="39"/>
      <c r="E29" s="46" t="s">
        <v>146</v>
      </c>
      <c r="F29" s="46">
        <f>B10/B30</f>
        <v>78.431372549019613</v>
      </c>
      <c r="G29" s="49" t="str">
        <f>IF(F29&lt;180,"Safe","Unsafe")</f>
        <v>Safe</v>
      </c>
      <c r="H29" s="46"/>
      <c r="I29" s="46" t="s">
        <v>147</v>
      </c>
      <c r="J29" s="46">
        <f>B11/B31</f>
        <v>46.403712296983763</v>
      </c>
      <c r="K29" s="46"/>
      <c r="L29" s="46"/>
      <c r="M29" s="39"/>
      <c r="N29" s="39"/>
    </row>
    <row r="30" spans="1:36" ht="21" x14ac:dyDescent="0.2">
      <c r="A30" s="39" t="s">
        <v>137</v>
      </c>
      <c r="B30" s="39">
        <f>VLOOKUP(B14,table,13,FALSE)</f>
        <v>20.399999999999999</v>
      </c>
      <c r="C30" s="39" t="s">
        <v>2</v>
      </c>
      <c r="D30" s="39"/>
      <c r="E30" s="46" t="s">
        <v>148</v>
      </c>
      <c r="F30" s="46">
        <f>F29*SQRT((B5)/(PI()^2*2100))</f>
        <v>0.84398730864433114</v>
      </c>
      <c r="G30" s="46"/>
      <c r="H30" s="46"/>
      <c r="I30" s="46" t="s">
        <v>149</v>
      </c>
      <c r="J30" s="46">
        <f>J29*SQRT((B5)/(PI()^2*2100))</f>
        <v>0.49934283922112399</v>
      </c>
      <c r="K30" s="46" t="s">
        <v>89</v>
      </c>
      <c r="L30" s="46"/>
      <c r="M30" s="39"/>
      <c r="N30" s="39"/>
    </row>
    <row r="31" spans="1:36" ht="21" x14ac:dyDescent="0.2">
      <c r="A31" s="39" t="s">
        <v>138</v>
      </c>
      <c r="B31" s="39">
        <f>VLOOKUP(B14,table,16,FALSE)</f>
        <v>4.3099999999999996</v>
      </c>
      <c r="C31" s="39" t="s">
        <v>2</v>
      </c>
      <c r="D31" s="39"/>
      <c r="E31" s="46" t="s">
        <v>150</v>
      </c>
      <c r="F31" s="46">
        <f>IF(F30&lt;1.1,B5*(1-0.384*(F30)^2),IF(F30&gt;1.1,(0.648*B5)/(F30)^2))</f>
        <v>1.7435308856960703</v>
      </c>
      <c r="G31" s="46" t="s">
        <v>89</v>
      </c>
      <c r="H31" s="46"/>
      <c r="I31" s="46" t="s">
        <v>150</v>
      </c>
      <c r="J31" s="46">
        <f>IF(J30&lt;1.1,B5*(1-0.384*(J30)^2),IF(J30&gt;1.1,(0.648*B5)/(J30)^2))</f>
        <v>2.1702052413713693</v>
      </c>
      <c r="K31" s="46" t="s">
        <v>152</v>
      </c>
      <c r="L31" s="46"/>
      <c r="M31" s="39"/>
      <c r="N31" s="39"/>
    </row>
    <row r="32" spans="1:36" ht="20.25" x14ac:dyDescent="0.2">
      <c r="D32" s="39"/>
      <c r="E32" s="46" t="s">
        <v>151</v>
      </c>
      <c r="F32" s="46">
        <f>F31*B25</f>
        <v>202.24958274074416</v>
      </c>
      <c r="G32" s="46" t="s">
        <v>152</v>
      </c>
      <c r="H32" s="46"/>
      <c r="I32" s="46" t="s">
        <v>153</v>
      </c>
      <c r="J32" s="46">
        <f>J31*B25</f>
        <v>251.74380799907883</v>
      </c>
      <c r="K32" s="46"/>
      <c r="L32" s="46"/>
      <c r="M32" s="39"/>
      <c r="N32" s="39"/>
    </row>
    <row r="33" spans="4:15" x14ac:dyDescent="0.2">
      <c r="D33" s="39"/>
      <c r="E33" s="46"/>
      <c r="F33" s="46"/>
      <c r="G33" s="46"/>
      <c r="H33" s="46"/>
      <c r="I33" s="46"/>
      <c r="J33" s="46"/>
      <c r="K33" s="46"/>
      <c r="L33" s="46"/>
      <c r="M33" s="39"/>
      <c r="N33" s="39"/>
    </row>
    <row r="34" spans="4:15" x14ac:dyDescent="0.2">
      <c r="D34" s="39"/>
      <c r="E34" s="47"/>
      <c r="F34" s="47"/>
      <c r="G34" s="47"/>
      <c r="H34" s="47"/>
      <c r="I34" s="47"/>
      <c r="J34" s="47"/>
      <c r="K34" s="47"/>
      <c r="L34" s="47"/>
      <c r="M34" s="42"/>
      <c r="N34" s="42"/>
    </row>
    <row r="35" spans="4:15" x14ac:dyDescent="0.2">
      <c r="E35" s="47"/>
      <c r="F35" s="47"/>
      <c r="G35" s="47"/>
      <c r="H35" s="47"/>
      <c r="I35" s="47"/>
      <c r="J35" s="47"/>
      <c r="K35" s="47"/>
      <c r="L35" s="47"/>
      <c r="M35" s="42"/>
      <c r="N35" s="42"/>
    </row>
    <row r="36" spans="4:15" x14ac:dyDescent="0.2">
      <c r="E36" s="47"/>
      <c r="F36" s="47"/>
      <c r="G36" s="47"/>
      <c r="H36" s="47"/>
      <c r="I36" s="47"/>
      <c r="J36" s="47"/>
      <c r="K36" s="47"/>
      <c r="L36" s="47"/>
      <c r="M36" s="42"/>
      <c r="N36" s="42"/>
    </row>
    <row r="37" spans="4:15" x14ac:dyDescent="0.2">
      <c r="E37" s="47"/>
      <c r="F37" s="47"/>
      <c r="G37" s="47"/>
      <c r="H37" s="47"/>
      <c r="I37" s="47"/>
      <c r="J37" s="47"/>
      <c r="K37" s="47"/>
      <c r="L37" s="47"/>
      <c r="M37" s="42"/>
      <c r="N37" s="42"/>
    </row>
    <row r="38" spans="4:15" x14ac:dyDescent="0.2">
      <c r="E38" s="64" t="s">
        <v>154</v>
      </c>
      <c r="F38" s="64"/>
      <c r="G38" s="46"/>
      <c r="H38" s="46"/>
      <c r="I38" s="46"/>
      <c r="J38" s="46"/>
      <c r="K38" s="46"/>
      <c r="L38" s="46"/>
      <c r="M38" s="39"/>
    </row>
    <row r="39" spans="4:15" x14ac:dyDescent="0.2">
      <c r="E39" s="50" t="s">
        <v>155</v>
      </c>
      <c r="F39" s="50"/>
      <c r="G39" s="46"/>
      <c r="H39" s="46"/>
      <c r="I39" s="46"/>
      <c r="J39" s="46"/>
      <c r="K39" s="46"/>
      <c r="L39" s="50" t="s">
        <v>156</v>
      </c>
      <c r="M39" s="50"/>
      <c r="N39" s="50"/>
    </row>
    <row r="40" spans="4:15" x14ac:dyDescent="0.2">
      <c r="J40" s="46"/>
      <c r="K40" s="46"/>
      <c r="L40" s="50"/>
      <c r="M40" s="50"/>
      <c r="N40" s="50"/>
    </row>
    <row r="41" spans="4:15" x14ac:dyDescent="0.2">
      <c r="J41" s="46"/>
      <c r="K41" s="46"/>
      <c r="L41" s="50"/>
      <c r="M41" s="50"/>
      <c r="N41" s="50"/>
    </row>
    <row r="42" spans="4:15" x14ac:dyDescent="0.2">
      <c r="H42" s="46"/>
      <c r="I42" s="46"/>
      <c r="J42" s="46"/>
      <c r="K42" s="46"/>
      <c r="L42" s="50"/>
      <c r="M42" s="50"/>
      <c r="N42" s="50"/>
    </row>
    <row r="43" spans="4:15" x14ac:dyDescent="0.2">
      <c r="H43" s="46"/>
      <c r="I43" s="46"/>
      <c r="J43" s="46"/>
      <c r="K43" s="46"/>
      <c r="L43" s="50"/>
      <c r="M43" s="50"/>
      <c r="N43" s="50"/>
    </row>
    <row r="44" spans="4:15" x14ac:dyDescent="0.2">
      <c r="H44" s="39"/>
      <c r="I44" s="39"/>
      <c r="J44" s="39"/>
      <c r="L44" s="54">
        <f>(G6/(0.8*J32))+(G5/(0.85*IF(B9&lt;=F18,G23,IF(AND(B9&gt;F18,B9&lt;=F21),G24,G25))))^2</f>
        <v>0.47951187159884623</v>
      </c>
      <c r="M44" s="34" t="s">
        <v>163</v>
      </c>
      <c r="N44" s="49" t="str">
        <f>IF(L44&lt;=1,"Safe","Unsafe")</f>
        <v>Safe</v>
      </c>
    </row>
    <row r="45" spans="4:15" x14ac:dyDescent="0.2">
      <c r="J45" s="39"/>
      <c r="K45" s="39"/>
      <c r="L45" s="39"/>
      <c r="M45" s="39"/>
      <c r="N45" s="41"/>
    </row>
    <row r="46" spans="4:15" x14ac:dyDescent="0.2">
      <c r="H46" s="39"/>
      <c r="I46" s="62"/>
      <c r="J46" s="39"/>
      <c r="K46" s="39"/>
    </row>
    <row r="47" spans="4:15" x14ac:dyDescent="0.2">
      <c r="E47" s="39"/>
      <c r="F47" s="39"/>
      <c r="G47" s="39"/>
      <c r="H47" s="39"/>
      <c r="I47" s="62"/>
      <c r="J47" s="39"/>
      <c r="K47" s="39"/>
      <c r="L47" s="32" t="s">
        <v>11</v>
      </c>
      <c r="M47" s="39"/>
      <c r="N47" s="39"/>
    </row>
    <row r="48" spans="4:15" ht="20.25" x14ac:dyDescent="0.2">
      <c r="E48" s="55" t="str">
        <f>IF(G6/(0.8*F32)&lt;=0.2,"Pu / ᶲPnx &lt;= 0.2","")</f>
        <v>Pu / ᶲPnx &lt;= 0.2</v>
      </c>
      <c r="F48" s="55"/>
      <c r="G48" s="46">
        <f>IF(G6/(0.8*F32)&lt;=0.2,G6/(2*0.8*F32)+G5/(0.85*IF(B9&lt;=F18,G23,IF(AND(B9&gt;F18,B9&lt;=F21),G24,G25))),"")</f>
        <v>0.6897545833474561</v>
      </c>
      <c r="H48" s="34" t="str">
        <f>IF((G6/(0.8*F32))&lt;=0.2,"≤ 1","")</f>
        <v>≤ 1</v>
      </c>
      <c r="I48" s="49" t="str">
        <f>IF((G6/(0.8*F32))&lt;=0.2,IF(G48&lt;=1,"Safe","Unsafe"),"")</f>
        <v>Safe</v>
      </c>
      <c r="K48" s="39"/>
      <c r="L48" s="39" t="s">
        <v>132</v>
      </c>
      <c r="M48" s="39">
        <f>G7/(0.85*0.6*B5*0.1*B15*0.1*B17)</f>
        <v>0.48058439061899266</v>
      </c>
      <c r="N48" s="34" t="s">
        <v>163</v>
      </c>
      <c r="O48" s="33" t="str">
        <f>IF(M48&lt;=1,"Safe","Unsafe")</f>
        <v>Safe</v>
      </c>
    </row>
    <row r="49" spans="5:12" x14ac:dyDescent="0.2">
      <c r="E49" s="55" t="str">
        <f>IF(G6/(0.8*F32)&gt;0.2,"Pu / ᶲPnx &gt; 0.2","")</f>
        <v/>
      </c>
      <c r="F49" s="55"/>
      <c r="G49" s="46" t="str">
        <f>IF(G6/(0.8*F32)&gt;0.2,G6/(0.8*F32)+(8/9)*(G5/(0.85*IF(B9&lt;=F18,G23,IF(AND(B9&gt;F18,B9&lt;=F21),G24,G25)))),"")</f>
        <v/>
      </c>
      <c r="H49" s="34" t="str">
        <f>IF((G6/(0.8*F32))&gt;0.2,"≤ 1","")</f>
        <v/>
      </c>
      <c r="I49" s="49" t="str">
        <f>IF((G6/(0.8*F32))&gt;0.2,IF(G49&lt;=1,"Safe","Unsafe"),"")</f>
        <v/>
      </c>
      <c r="J49" s="39"/>
      <c r="K49" s="39"/>
      <c r="L49" s="39"/>
    </row>
    <row r="50" spans="5:12" x14ac:dyDescent="0.2">
      <c r="E50" s="39"/>
      <c r="F50" s="39"/>
      <c r="G50" s="39"/>
      <c r="H50" s="39"/>
      <c r="I50" s="39"/>
      <c r="J50" s="39"/>
      <c r="L50" s="39"/>
    </row>
    <row r="51" spans="5:12" x14ac:dyDescent="0.2">
      <c r="E51" s="39"/>
      <c r="F51" s="39"/>
      <c r="G51" s="39"/>
      <c r="H51" s="39"/>
      <c r="I51" s="39"/>
      <c r="J51" s="39"/>
      <c r="L51" s="39"/>
    </row>
    <row r="52" spans="5:12" x14ac:dyDescent="0.2">
      <c r="E52" s="39"/>
      <c r="F52" s="39"/>
      <c r="G52" s="39"/>
      <c r="H52" s="39"/>
      <c r="I52" s="39"/>
      <c r="J52" s="39"/>
      <c r="K52" s="39"/>
      <c r="L52" s="39"/>
    </row>
    <row r="53" spans="5:12" x14ac:dyDescent="0.2">
      <c r="E53" s="39"/>
      <c r="F53" s="39"/>
      <c r="G53" s="39"/>
      <c r="H53" s="39"/>
      <c r="I53" s="39"/>
      <c r="J53" s="39"/>
      <c r="K53" s="39"/>
      <c r="L53" s="39"/>
    </row>
    <row r="54" spans="5:12" x14ac:dyDescent="0.2">
      <c r="E54" s="39"/>
      <c r="F54" s="39"/>
      <c r="G54" s="39"/>
      <c r="H54" s="39"/>
      <c r="I54" s="39"/>
      <c r="J54" s="39"/>
      <c r="K54" s="39"/>
      <c r="L54" s="39"/>
    </row>
    <row r="55" spans="5:12" x14ac:dyDescent="0.2">
      <c r="E55" s="39"/>
      <c r="F55" s="39"/>
      <c r="G55" s="39"/>
      <c r="H55" s="39"/>
      <c r="I55" s="39"/>
      <c r="J55" s="39"/>
      <c r="K55" s="39"/>
      <c r="L55" s="39"/>
    </row>
    <row r="56" spans="5:12" x14ac:dyDescent="0.2">
      <c r="I56" s="39"/>
      <c r="J56" s="39"/>
      <c r="K56" s="39"/>
      <c r="L56" s="39"/>
    </row>
    <row r="57" spans="5:12" x14ac:dyDescent="0.2">
      <c r="K57" s="39"/>
      <c r="L57" s="39"/>
    </row>
    <row r="58" spans="5:12" x14ac:dyDescent="0.2">
      <c r="K58" s="39"/>
      <c r="L58" s="39"/>
    </row>
    <row r="59" spans="5:12" x14ac:dyDescent="0.2">
      <c r="K59" s="39"/>
      <c r="L59" s="39"/>
    </row>
    <row r="60" spans="5:12" x14ac:dyDescent="0.2">
      <c r="L60" s="39"/>
    </row>
    <row r="61" spans="5:12" x14ac:dyDescent="0.2">
      <c r="L61" s="39"/>
    </row>
    <row r="62" spans="5:12" x14ac:dyDescent="0.2">
      <c r="L62" s="39"/>
    </row>
    <row r="63" spans="5:12" x14ac:dyDescent="0.2">
      <c r="L63" s="39"/>
    </row>
  </sheetData>
  <mergeCells count="27">
    <mergeCell ref="Y1:Z1"/>
    <mergeCell ref="X2:AD2"/>
    <mergeCell ref="AE2:AG2"/>
    <mergeCell ref="AH2:AJ2"/>
    <mergeCell ref="B4:C4"/>
    <mergeCell ref="E4:F4"/>
    <mergeCell ref="J14:J15"/>
    <mergeCell ref="B14:C14"/>
    <mergeCell ref="E5:F5"/>
    <mergeCell ref="E6:F6"/>
    <mergeCell ref="E7:F7"/>
    <mergeCell ref="A8:C8"/>
    <mergeCell ref="E10:F10"/>
    <mergeCell ref="E11:F11"/>
    <mergeCell ref="A24:C24"/>
    <mergeCell ref="E38:F38"/>
    <mergeCell ref="A13:C13"/>
    <mergeCell ref="H14:H15"/>
    <mergeCell ref="I14:I15"/>
    <mergeCell ref="I23:I25"/>
    <mergeCell ref="E48:F48"/>
    <mergeCell ref="E49:F49"/>
    <mergeCell ref="I46:I47"/>
    <mergeCell ref="E27:F27"/>
    <mergeCell ref="E28:F28"/>
    <mergeCell ref="G28:H28"/>
    <mergeCell ref="I28:J28"/>
  </mergeCells>
  <conditionalFormatting sqref="O48">
    <cfRule type="cellIs" dxfId="7" priority="3" operator="equal">
      <formula>"Unsafe"</formula>
    </cfRule>
    <cfRule type="cellIs" dxfId="6" priority="4" operator="equal">
      <formula>"Safe"</formula>
    </cfRule>
  </conditionalFormatting>
  <conditionalFormatting sqref="K28 G29 N44 I48:I49">
    <cfRule type="cellIs" dxfId="5" priority="2" operator="equal">
      <formula>"Safe"</formula>
    </cfRule>
  </conditionalFormatting>
  <conditionalFormatting sqref="K28 G29 N44 I48:I49">
    <cfRule type="cellIs" dxfId="4" priority="1" operator="equal">
      <formula>"Unsafe"</formula>
    </cfRule>
  </conditionalFormatting>
  <dataValidations count="2">
    <dataValidation type="list" allowBlank="1" showInputMessage="1" showErrorMessage="1" sqref="B4" xr:uid="{D5F13FFE-68DF-4FAF-8727-53531F1E0895}">
      <formula1>$A$1:$A$3</formula1>
    </dataValidation>
    <dataValidation type="list" allowBlank="1" showInputMessage="1" showErrorMessage="1" sqref="B14" xr:uid="{A25BC030-048F-4290-93C3-5B86AEF3A128}">
      <formula1>$U$4:$U$21</formula1>
    </dataValidation>
  </dataValidations>
  <pageMargins left="0.7" right="0.7" top="0.75" bottom="0.75" header="0.3" footer="0.3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A10A-6120-47FA-9E09-1983665487C1}">
  <sheetPr>
    <pageSetUpPr fitToPage="1"/>
  </sheetPr>
  <dimension ref="A1:N33"/>
  <sheetViews>
    <sheetView topLeftCell="A16" zoomScaleNormal="100" workbookViewId="0">
      <selection activeCell="B20" sqref="B20"/>
    </sheetView>
  </sheetViews>
  <sheetFormatPr defaultRowHeight="18.75" x14ac:dyDescent="0.2"/>
  <cols>
    <col min="1" max="1" width="7.5" style="20" bestFit="1" customWidth="1"/>
    <col min="2" max="2" width="9" style="20"/>
    <col min="3" max="3" width="9.375" style="20" bestFit="1" customWidth="1"/>
    <col min="4" max="4" width="5" style="20" customWidth="1"/>
    <col min="5" max="6" width="13" style="20" customWidth="1"/>
    <col min="7" max="8" width="14.5" style="20" bestFit="1" customWidth="1"/>
    <col min="9" max="9" width="11.625" style="20" customWidth="1"/>
    <col min="10" max="10" width="14.5" style="20" bestFit="1" customWidth="1"/>
    <col min="11" max="11" width="7" style="20" customWidth="1"/>
    <col min="12" max="12" width="9" style="20"/>
    <col min="13" max="13" width="9" style="20" customWidth="1"/>
    <col min="14" max="14" width="11.625" style="20" customWidth="1"/>
    <col min="15" max="16384" width="9" style="20"/>
  </cols>
  <sheetData>
    <row r="1" spans="1:14" x14ac:dyDescent="0.2">
      <c r="A1" s="18">
        <v>37</v>
      </c>
      <c r="B1" s="19" t="s">
        <v>3</v>
      </c>
    </row>
    <row r="2" spans="1:14" x14ac:dyDescent="0.2">
      <c r="A2" s="18">
        <v>44</v>
      </c>
      <c r="B2" s="19" t="s">
        <v>4</v>
      </c>
    </row>
    <row r="3" spans="1:14" x14ac:dyDescent="0.2">
      <c r="A3" s="18">
        <v>52</v>
      </c>
      <c r="B3" s="19" t="s">
        <v>5</v>
      </c>
    </row>
    <row r="4" spans="1:14" ht="21" x14ac:dyDescent="0.2">
      <c r="A4" s="30" t="s">
        <v>117</v>
      </c>
      <c r="B4" s="67">
        <v>37</v>
      </c>
      <c r="C4" s="67"/>
      <c r="E4" s="21" t="s">
        <v>7</v>
      </c>
    </row>
    <row r="5" spans="1:14" ht="21" x14ac:dyDescent="0.2">
      <c r="A5" s="24" t="s">
        <v>88</v>
      </c>
      <c r="B5" s="22">
        <f>IF(B4=A1,2.4,IF(B4=A2,2.8,3.6))</f>
        <v>2.4</v>
      </c>
      <c r="C5" s="22" t="s">
        <v>89</v>
      </c>
      <c r="E5" s="68" t="s">
        <v>8</v>
      </c>
      <c r="F5" s="68"/>
    </row>
    <row r="6" spans="1:14" ht="21" x14ac:dyDescent="0.2">
      <c r="A6" s="24" t="s">
        <v>92</v>
      </c>
      <c r="B6" s="22">
        <f>IF(B4=A1,3.7,IF(B4=A2,4.4,5.2))</f>
        <v>3.7</v>
      </c>
      <c r="C6" s="22" t="s">
        <v>89</v>
      </c>
      <c r="E6" s="24" t="s">
        <v>95</v>
      </c>
      <c r="F6" s="22">
        <f>B16/B17</f>
        <v>62.5</v>
      </c>
      <c r="G6" s="25" t="str">
        <f>IF(F6&lt;=(127/SQRT(B5)),B1,IF(AND(F6&gt;(127/SQRT(B5)),F6&lt;=(222/SQRT(B5))),B2,B3))</f>
        <v>Compact</v>
      </c>
      <c r="H6" s="70" t="str">
        <f>IF(AND(G6=B1,G7=B1),B1,IF(AND(G6=B1,G7=B2),B2,IF(AND(G6=B2,G7=B1),B2,B3)))</f>
        <v>Compact</v>
      </c>
      <c r="I6" s="69" t="s">
        <v>116</v>
      </c>
      <c r="M6" s="26"/>
      <c r="N6" s="26"/>
    </row>
    <row r="7" spans="1:14" ht="20.25" x14ac:dyDescent="0.2">
      <c r="A7" s="22"/>
      <c r="B7" s="22"/>
      <c r="C7" s="22"/>
      <c r="E7" s="24" t="s">
        <v>99</v>
      </c>
      <c r="F7" s="22">
        <f>(0.5*B18-B17)/B19</f>
        <v>5.68</v>
      </c>
      <c r="G7" s="25" t="str">
        <f>IF(F7&lt;=15.3/SQRT(B5),B1,IF(AND(F7&gt;15.3/SQRT(B5),F7&lt;= 28/SQRT(B5)),B2,B3))</f>
        <v>Compact</v>
      </c>
      <c r="H7" s="70"/>
      <c r="I7" s="69"/>
      <c r="M7" s="26"/>
      <c r="N7" s="26"/>
    </row>
    <row r="8" spans="1:14" ht="20.25" x14ac:dyDescent="0.2">
      <c r="A8" s="24" t="s">
        <v>100</v>
      </c>
      <c r="B8" s="23">
        <v>500</v>
      </c>
      <c r="C8" s="22" t="s">
        <v>2</v>
      </c>
      <c r="F8" s="27"/>
      <c r="G8" s="27"/>
      <c r="H8" s="27"/>
    </row>
    <row r="9" spans="1:14" x14ac:dyDescent="0.2">
      <c r="A9" s="22"/>
      <c r="B9" s="22"/>
      <c r="C9" s="22"/>
    </row>
    <row r="10" spans="1:14" x14ac:dyDescent="0.2">
      <c r="A10" s="66" t="s">
        <v>12</v>
      </c>
      <c r="B10" s="66"/>
      <c r="C10" s="66"/>
      <c r="E10" s="28" t="s">
        <v>9</v>
      </c>
      <c r="F10" s="28"/>
    </row>
    <row r="11" spans="1:14" ht="20.25" x14ac:dyDescent="0.2">
      <c r="A11" s="24" t="s">
        <v>13</v>
      </c>
      <c r="B11" s="23">
        <v>8300</v>
      </c>
      <c r="C11" s="22" t="s">
        <v>0</v>
      </c>
      <c r="E11" s="24" t="s">
        <v>107</v>
      </c>
      <c r="F11" s="22">
        <f>B27*B5</f>
        <v>10650</v>
      </c>
      <c r="G11" s="22" t="s">
        <v>0</v>
      </c>
    </row>
    <row r="12" spans="1:14" ht="20.25" x14ac:dyDescent="0.2">
      <c r="A12" s="24" t="s">
        <v>14</v>
      </c>
      <c r="B12" s="23">
        <v>18</v>
      </c>
      <c r="C12" s="22" t="s">
        <v>1</v>
      </c>
      <c r="E12" s="24" t="s">
        <v>109</v>
      </c>
      <c r="F12" s="22">
        <f>IF(AND(H6=B1,B8&lt;=B30),F11,IF(AND(H6=B1,B8&gt;B30,B8&lt;=B33),MIN(F11,F11-(F11-0.6*B5*B26)*((B8-B30)/(B33-B30))),IF(AND(H6=B1,B8&gt;B33),MIN(F11,B26*SQRT(((1380*B18*B19)/((B16+2*B19)*0.6*B5))^2+(20700/(B33/B31))^2)),IF(AND(H6=B2,B8&lt;=B30),MIN(F11,F11-(F11-0.6*B5*B26)*MAX((F7-(15.3/SQRT(B5)))/((22/SQRT(B5))-(15.3/SQRT(B5))),(F6-(127/SQRT(B5)))/((222/SQRT(B5))-(127/SQRT(B5))))),IF(AND(H6=B2,B8&gt;B30,B8&lt;=B33),MIN(F11,F11-(F11-0.6*B5*B26)*((B8-B30)/(B33-B30))),IF(AND(H6=B2,B8&gt;B33),MIN(F11,B26*SQRT(((1380*B18*B19)/((B16+2*B19)*0.6*B5))^2+(20700/(B33/B31))^2))))))))</f>
        <v>10229.278310475234</v>
      </c>
      <c r="G12" s="22" t="s">
        <v>0</v>
      </c>
    </row>
    <row r="13" spans="1:14" ht="20.25" x14ac:dyDescent="0.2">
      <c r="A13" s="24" t="s">
        <v>110</v>
      </c>
      <c r="B13" s="23">
        <v>0.25</v>
      </c>
      <c r="C13" s="22" t="s">
        <v>1</v>
      </c>
      <c r="F13" s="27"/>
      <c r="G13" s="27"/>
      <c r="H13" s="27"/>
      <c r="M13" s="22"/>
      <c r="N13" s="22"/>
    </row>
    <row r="14" spans="1:14" x14ac:dyDescent="0.2">
      <c r="A14" s="22"/>
      <c r="B14" s="22"/>
      <c r="C14" s="22"/>
    </row>
    <row r="15" spans="1:14" x14ac:dyDescent="0.2">
      <c r="A15" s="66" t="s">
        <v>15</v>
      </c>
      <c r="B15" s="66"/>
      <c r="C15" s="66"/>
      <c r="E15" s="28" t="s">
        <v>10</v>
      </c>
      <c r="F15" s="28"/>
    </row>
    <row r="16" spans="1:14" ht="20.25" x14ac:dyDescent="0.2">
      <c r="A16" s="24" t="s">
        <v>90</v>
      </c>
      <c r="B16" s="23">
        <v>50</v>
      </c>
      <c r="C16" s="22" t="s">
        <v>2</v>
      </c>
      <c r="E16" s="24" t="s">
        <v>114</v>
      </c>
      <c r="F16" s="22">
        <f>B11/(0.85*F12)</f>
        <v>0.95458404649655981</v>
      </c>
      <c r="G16" s="29" t="str">
        <f>IF(F16&lt;=1,"Safe","Unsafe")</f>
        <v>Safe</v>
      </c>
      <c r="H16" s="22"/>
    </row>
    <row r="17" spans="1:14" ht="20.25" x14ac:dyDescent="0.2">
      <c r="A17" s="24" t="s">
        <v>93</v>
      </c>
      <c r="B17" s="23">
        <v>0.8</v>
      </c>
      <c r="C17" s="22" t="s">
        <v>2</v>
      </c>
    </row>
    <row r="18" spans="1:14" ht="20.25" x14ac:dyDescent="0.2">
      <c r="A18" s="24" t="s">
        <v>96</v>
      </c>
      <c r="B18" s="23">
        <v>30</v>
      </c>
      <c r="C18" s="22" t="s">
        <v>2</v>
      </c>
      <c r="E18" s="28" t="s">
        <v>11</v>
      </c>
    </row>
    <row r="19" spans="1:14" ht="20.25" x14ac:dyDescent="0.2">
      <c r="A19" s="24" t="s">
        <v>101</v>
      </c>
      <c r="B19" s="23">
        <v>2.5</v>
      </c>
      <c r="C19" s="22" t="s">
        <v>2</v>
      </c>
      <c r="E19" s="24" t="s">
        <v>115</v>
      </c>
      <c r="F19" s="22">
        <f>B13/(0.85*B16*B17*0.6*B5)</f>
        <v>5.1062091503267983E-3</v>
      </c>
      <c r="G19" s="29" t="str">
        <f>IF(F19&lt;=1,"Safe","Unsafe")</f>
        <v>Safe</v>
      </c>
    </row>
    <row r="20" spans="1:14" ht="21" customHeight="1" x14ac:dyDescent="0.2"/>
    <row r="21" spans="1:14" x14ac:dyDescent="0.2">
      <c r="A21" s="66" t="s">
        <v>18</v>
      </c>
      <c r="B21" s="66"/>
      <c r="C21" s="66"/>
    </row>
    <row r="22" spans="1:14" ht="21" x14ac:dyDescent="0.2">
      <c r="A22" s="24" t="s">
        <v>91</v>
      </c>
      <c r="B22" s="22">
        <f>( B18*B19*(B16+1.5*B19) + B18*B19*0.5*B19 + B16*B17* ( 0.5*B16+B19 ))/B23</f>
        <v>27.5</v>
      </c>
      <c r="C22" s="22" t="s">
        <v>2</v>
      </c>
    </row>
    <row r="23" spans="1:14" ht="21" x14ac:dyDescent="0.2">
      <c r="A23" s="24" t="s">
        <v>16</v>
      </c>
      <c r="B23" s="22">
        <f>B16*B17+2*B18*B19</f>
        <v>190</v>
      </c>
      <c r="C23" s="22" t="s">
        <v>94</v>
      </c>
    </row>
    <row r="24" spans="1:14" ht="21" x14ac:dyDescent="0.2">
      <c r="A24" s="24" t="s">
        <v>97</v>
      </c>
      <c r="B24" s="22">
        <f>B18*B19*( B22-0.5*B19)^2 + B18*B19*( B16+1.5*B19-B22)^2 + (B17*(B16)^3)/12 + B16*B17* (0.5*B16+B19-B22)^2</f>
        <v>111692.70833333333</v>
      </c>
      <c r="C24" s="22" t="s">
        <v>98</v>
      </c>
      <c r="M24" s="22"/>
      <c r="N24" s="22"/>
    </row>
    <row r="25" spans="1:14" ht="21" x14ac:dyDescent="0.2">
      <c r="A25" s="24" t="s">
        <v>102</v>
      </c>
      <c r="B25" s="22">
        <f>2*((B19*(B18)^3)/12)</f>
        <v>11250</v>
      </c>
      <c r="C25" s="22" t="s">
        <v>98</v>
      </c>
    </row>
    <row r="26" spans="1:14" ht="21" x14ac:dyDescent="0.2">
      <c r="A26" s="24" t="s">
        <v>103</v>
      </c>
      <c r="B26" s="22">
        <f>B24/(0.5*B16+B19)</f>
        <v>4061.55303030303</v>
      </c>
      <c r="C26" s="22" t="s">
        <v>104</v>
      </c>
    </row>
    <row r="27" spans="1:14" ht="21" x14ac:dyDescent="0.2">
      <c r="A27" s="24" t="s">
        <v>105</v>
      </c>
      <c r="B27" s="22">
        <f>2*(B18*B19*(0.5*B16+0.5*B19)+0.5*B16*B17*0.25*B16)</f>
        <v>4437.5</v>
      </c>
      <c r="C27" s="22" t="s">
        <v>104</v>
      </c>
    </row>
    <row r="28" spans="1:14" ht="20.25" x14ac:dyDescent="0.2">
      <c r="A28" s="24" t="s">
        <v>106</v>
      </c>
      <c r="B28" s="22">
        <f>SQRT(B24/B23)</f>
        <v>24.245749310943616</v>
      </c>
      <c r="C28" s="22" t="s">
        <v>2</v>
      </c>
    </row>
    <row r="29" spans="1:14" ht="20.25" x14ac:dyDescent="0.2">
      <c r="A29" s="24" t="s">
        <v>108</v>
      </c>
      <c r="B29" s="22">
        <f>SQRT(B25/B23)</f>
        <v>7.6948376406386556</v>
      </c>
      <c r="C29" s="22" t="s">
        <v>2</v>
      </c>
    </row>
    <row r="30" spans="1:14" ht="20.25" x14ac:dyDescent="0.2">
      <c r="A30" s="24" t="s">
        <v>111</v>
      </c>
      <c r="B30" s="22">
        <f>(80*B29)/SQRT(B5)</f>
        <v>397.35970711951313</v>
      </c>
      <c r="C30" s="22" t="s">
        <v>2</v>
      </c>
    </row>
    <row r="31" spans="1:14" ht="20.25" x14ac:dyDescent="0.2">
      <c r="A31" s="24" t="s">
        <v>112</v>
      </c>
      <c r="B31" s="22">
        <f>SQRT(((B19*(B18)^3)/12)/(B18*B19+(1/6)*B16*B17))</f>
        <v>8.2992500275873216</v>
      </c>
      <c r="C31" s="22" t="s">
        <v>2</v>
      </c>
    </row>
    <row r="32" spans="1:14" x14ac:dyDescent="0.2">
      <c r="A32" s="24" t="s">
        <v>17</v>
      </c>
      <c r="B32" s="22">
        <f>((0.104*B31*B16)/(B18*B19))^2</f>
        <v>0.33110204081632649</v>
      </c>
      <c r="C32" s="22" t="s">
        <v>6</v>
      </c>
    </row>
    <row r="33" spans="1:3" ht="20.25" x14ac:dyDescent="0.2">
      <c r="A33" s="24" t="s">
        <v>113</v>
      </c>
      <c r="B33" s="22">
        <f>((1380*B18*B19)/(B16*0.6*B5))*SQRT(0.5*(1+SQRT(1+(2*B32*0.6*B5)^2)))</f>
        <v>1568.7121287613602</v>
      </c>
      <c r="C33" s="22" t="s">
        <v>2</v>
      </c>
    </row>
  </sheetData>
  <mergeCells count="7">
    <mergeCell ref="A21:C21"/>
    <mergeCell ref="B4:C4"/>
    <mergeCell ref="E5:F5"/>
    <mergeCell ref="I6:I7"/>
    <mergeCell ref="H6:H7"/>
    <mergeCell ref="A15:C15"/>
    <mergeCell ref="A10:C10"/>
  </mergeCells>
  <phoneticPr fontId="1" type="noConversion"/>
  <conditionalFormatting sqref="G16 G19">
    <cfRule type="cellIs" dxfId="3" priority="1" operator="equal">
      <formula>"Unsafe"</formula>
    </cfRule>
    <cfRule type="cellIs" dxfId="2" priority="2" operator="equal">
      <formula>"Safe"</formula>
    </cfRule>
  </conditionalFormatting>
  <dataValidations count="1">
    <dataValidation type="list" allowBlank="1" showInputMessage="1" showErrorMessage="1" sqref="B4" xr:uid="{9BD425CB-2C13-4E0B-A613-02704C6A935B}">
      <formula1>$A$1:$A$3</formula1>
    </dataValidation>
  </dataValidations>
  <pageMargins left="0.7" right="0.7" top="0.75" bottom="0.75" header="0.3" footer="0.3"/>
  <pageSetup paperSize="9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53B7-2CC6-42B9-B92F-0B17C7C51938}">
  <dimension ref="A1:AG34"/>
  <sheetViews>
    <sheetView workbookViewId="0">
      <selection activeCell="E16" sqref="E16"/>
    </sheetView>
  </sheetViews>
  <sheetFormatPr defaultRowHeight="18" x14ac:dyDescent="0.2"/>
  <cols>
    <col min="1" max="2" width="9" style="1"/>
    <col min="3" max="3" width="9.375" style="1" bestFit="1" customWidth="1"/>
    <col min="4" max="4" width="10.875" style="1" customWidth="1"/>
    <col min="5" max="5" width="9" style="1"/>
    <col min="6" max="6" width="17.75" style="1" customWidth="1"/>
    <col min="7" max="9" width="9" style="1"/>
    <col min="10" max="10" width="10.125" style="1" customWidth="1"/>
    <col min="11" max="16384" width="9" style="1"/>
  </cols>
  <sheetData>
    <row r="1" spans="1:33" x14ac:dyDescent="0.2">
      <c r="B1" s="1">
        <v>37</v>
      </c>
      <c r="D1" s="1" t="s">
        <v>3</v>
      </c>
      <c r="W1" s="73" t="s">
        <v>80</v>
      </c>
      <c r="X1" s="73"/>
    </row>
    <row r="2" spans="1:33" x14ac:dyDescent="0.2">
      <c r="B2" s="1">
        <v>44</v>
      </c>
      <c r="D2" s="1" t="s">
        <v>4</v>
      </c>
      <c r="S2" s="2" t="s">
        <v>20</v>
      </c>
      <c r="T2" s="2" t="s">
        <v>21</v>
      </c>
      <c r="U2" s="2" t="s">
        <v>22</v>
      </c>
      <c r="V2" s="74" t="s">
        <v>23</v>
      </c>
      <c r="W2" s="74"/>
      <c r="X2" s="74"/>
      <c r="Y2" s="74"/>
      <c r="Z2" s="74"/>
      <c r="AA2" s="74"/>
      <c r="AB2" s="74" t="s">
        <v>24</v>
      </c>
      <c r="AC2" s="74"/>
      <c r="AD2" s="74"/>
      <c r="AE2" s="74" t="s">
        <v>25</v>
      </c>
      <c r="AF2" s="74"/>
      <c r="AG2" s="74"/>
    </row>
    <row r="3" spans="1:33" ht="42" x14ac:dyDescent="0.2">
      <c r="B3" s="1">
        <v>52</v>
      </c>
      <c r="D3" s="1" t="s">
        <v>5</v>
      </c>
      <c r="S3" s="2" t="s">
        <v>26</v>
      </c>
      <c r="T3" s="2" t="s">
        <v>27</v>
      </c>
      <c r="U3" s="2" t="s">
        <v>28</v>
      </c>
      <c r="V3" s="2" t="s">
        <v>29</v>
      </c>
      <c r="W3" s="2" t="s">
        <v>30</v>
      </c>
      <c r="X3" s="2" t="s">
        <v>31</v>
      </c>
      <c r="Y3" s="2" t="s">
        <v>33</v>
      </c>
      <c r="Z3" s="2" t="s">
        <v>34</v>
      </c>
      <c r="AA3" s="2" t="s">
        <v>35</v>
      </c>
      <c r="AB3" s="2" t="s">
        <v>36</v>
      </c>
      <c r="AC3" s="2" t="s">
        <v>37</v>
      </c>
      <c r="AD3" s="2" t="s">
        <v>38</v>
      </c>
      <c r="AE3" s="2" t="s">
        <v>39</v>
      </c>
      <c r="AF3" s="2" t="s">
        <v>40</v>
      </c>
      <c r="AG3" s="2" t="s">
        <v>41</v>
      </c>
    </row>
    <row r="4" spans="1:33" x14ac:dyDescent="0.2">
      <c r="S4" s="3">
        <v>100</v>
      </c>
      <c r="T4" s="3">
        <v>26</v>
      </c>
      <c r="U4" s="5">
        <v>20.399999999999999</v>
      </c>
      <c r="V4" s="3">
        <v>100</v>
      </c>
      <c r="W4" s="3">
        <v>100</v>
      </c>
      <c r="X4" s="3">
        <v>6</v>
      </c>
      <c r="Y4" s="3">
        <v>10</v>
      </c>
      <c r="Z4" s="3">
        <v>22</v>
      </c>
      <c r="AA4" s="3">
        <v>56</v>
      </c>
      <c r="AB4" s="3">
        <v>450</v>
      </c>
      <c r="AC4" s="5">
        <v>89.9</v>
      </c>
      <c r="AD4" s="4">
        <v>4.16</v>
      </c>
      <c r="AE4" s="3">
        <v>167</v>
      </c>
      <c r="AF4" s="5">
        <v>33.5</v>
      </c>
      <c r="AG4" s="4">
        <v>2.5299999999999998</v>
      </c>
    </row>
    <row r="5" spans="1:33" x14ac:dyDescent="0.2">
      <c r="S5" s="3">
        <v>120</v>
      </c>
      <c r="T5" s="3">
        <v>34</v>
      </c>
      <c r="U5" s="5">
        <v>26.7</v>
      </c>
      <c r="V5" s="3">
        <v>120</v>
      </c>
      <c r="W5" s="3">
        <v>120</v>
      </c>
      <c r="X5" s="5">
        <v>6.5</v>
      </c>
      <c r="Y5" s="3">
        <v>11</v>
      </c>
      <c r="Z5" s="3">
        <v>23</v>
      </c>
      <c r="AA5" s="3">
        <v>74</v>
      </c>
      <c r="AB5" s="3">
        <v>864</v>
      </c>
      <c r="AC5" s="3">
        <v>144</v>
      </c>
      <c r="AD5" s="4">
        <v>5.04</v>
      </c>
      <c r="AE5" s="3">
        <v>318</v>
      </c>
      <c r="AF5" s="5">
        <v>52.9</v>
      </c>
      <c r="AG5" s="4">
        <v>3.06</v>
      </c>
    </row>
    <row r="6" spans="1:33" x14ac:dyDescent="0.2">
      <c r="S6" s="3">
        <v>140</v>
      </c>
      <c r="T6" s="3">
        <v>43</v>
      </c>
      <c r="U6" s="5">
        <v>33.700000000000003</v>
      </c>
      <c r="V6" s="3">
        <v>140</v>
      </c>
      <c r="W6" s="3">
        <v>140</v>
      </c>
      <c r="X6" s="3">
        <v>7</v>
      </c>
      <c r="Y6" s="3">
        <v>12</v>
      </c>
      <c r="Z6" s="3">
        <v>24</v>
      </c>
      <c r="AA6" s="3">
        <v>92</v>
      </c>
      <c r="AB6" s="3">
        <v>1510</v>
      </c>
      <c r="AC6" s="3">
        <v>216</v>
      </c>
      <c r="AD6" s="4">
        <v>5.93</v>
      </c>
      <c r="AE6" s="3">
        <v>550</v>
      </c>
      <c r="AF6" s="5">
        <v>78.5</v>
      </c>
      <c r="AG6" s="4">
        <v>3.58</v>
      </c>
    </row>
    <row r="7" spans="1:33" x14ac:dyDescent="0.2">
      <c r="S7" s="3">
        <v>160</v>
      </c>
      <c r="T7" s="5">
        <v>54.3</v>
      </c>
      <c r="U7" s="5">
        <v>42.6</v>
      </c>
      <c r="V7" s="3">
        <v>160</v>
      </c>
      <c r="W7" s="3">
        <v>160</v>
      </c>
      <c r="X7" s="3">
        <v>8</v>
      </c>
      <c r="Y7" s="3">
        <v>13</v>
      </c>
      <c r="Z7" s="3">
        <v>28</v>
      </c>
      <c r="AA7" s="3">
        <v>104</v>
      </c>
      <c r="AB7" s="3">
        <v>2490</v>
      </c>
      <c r="AC7" s="3">
        <v>311</v>
      </c>
      <c r="AD7" s="4">
        <v>6.78</v>
      </c>
      <c r="AE7" s="3">
        <v>889</v>
      </c>
      <c r="AF7" s="3">
        <v>111</v>
      </c>
      <c r="AG7" s="4">
        <v>4.05</v>
      </c>
    </row>
    <row r="8" spans="1:33" x14ac:dyDescent="0.2">
      <c r="S8" s="3">
        <v>180</v>
      </c>
      <c r="T8" s="5">
        <v>65.3</v>
      </c>
      <c r="U8" s="5">
        <v>51.2</v>
      </c>
      <c r="V8" s="3">
        <v>180</v>
      </c>
      <c r="W8" s="3">
        <v>180</v>
      </c>
      <c r="X8" s="5">
        <v>8.5</v>
      </c>
      <c r="Y8" s="3">
        <v>14</v>
      </c>
      <c r="Z8" s="3">
        <v>29</v>
      </c>
      <c r="AA8" s="3">
        <v>122</v>
      </c>
      <c r="AB8" s="3">
        <v>3830</v>
      </c>
      <c r="AC8" s="3">
        <v>426</v>
      </c>
      <c r="AD8" s="4">
        <v>7.66</v>
      </c>
      <c r="AE8" s="3">
        <v>1360</v>
      </c>
      <c r="AF8" s="3">
        <v>151</v>
      </c>
      <c r="AG8" s="4">
        <v>4.57</v>
      </c>
    </row>
    <row r="9" spans="1:33" x14ac:dyDescent="0.2">
      <c r="A9" s="75" t="s">
        <v>42</v>
      </c>
      <c r="B9" s="75"/>
      <c r="C9" s="76" t="s">
        <v>43</v>
      </c>
      <c r="D9" s="73" t="s">
        <v>44</v>
      </c>
      <c r="F9" s="78" t="s">
        <v>12</v>
      </c>
      <c r="G9" s="78"/>
      <c r="S9" s="3">
        <v>200</v>
      </c>
      <c r="T9" s="5">
        <v>78.099999999999994</v>
      </c>
      <c r="U9" s="5">
        <v>61.3</v>
      </c>
      <c r="V9" s="3">
        <v>200</v>
      </c>
      <c r="W9" s="3">
        <v>200</v>
      </c>
      <c r="X9" s="3">
        <v>9</v>
      </c>
      <c r="Y9" s="3">
        <v>15</v>
      </c>
      <c r="Z9" s="3">
        <v>33</v>
      </c>
      <c r="AA9" s="3">
        <v>134</v>
      </c>
      <c r="AB9" s="3">
        <v>5700</v>
      </c>
      <c r="AC9" s="3">
        <v>570</v>
      </c>
      <c r="AD9" s="4">
        <v>8.5399999999999991</v>
      </c>
      <c r="AE9" s="3">
        <v>2000</v>
      </c>
      <c r="AF9" s="3">
        <v>200</v>
      </c>
      <c r="AG9" s="4">
        <v>5.07</v>
      </c>
    </row>
    <row r="10" spans="1:33" ht="21" x14ac:dyDescent="0.2">
      <c r="A10" s="75"/>
      <c r="B10" s="75"/>
      <c r="C10" s="76"/>
      <c r="D10" s="77"/>
      <c r="F10" s="79" t="s">
        <v>81</v>
      </c>
      <c r="G10" s="79"/>
      <c r="H10" s="7">
        <v>1500</v>
      </c>
      <c r="I10" s="8" t="s">
        <v>0</v>
      </c>
      <c r="S10" s="3">
        <v>220</v>
      </c>
      <c r="T10" s="3">
        <v>91</v>
      </c>
      <c r="U10" s="5">
        <v>71.5</v>
      </c>
      <c r="V10" s="3">
        <v>220</v>
      </c>
      <c r="W10" s="3">
        <v>220</v>
      </c>
      <c r="X10" s="5">
        <v>9.5</v>
      </c>
      <c r="Y10" s="3">
        <v>16</v>
      </c>
      <c r="Z10" s="3">
        <v>34</v>
      </c>
      <c r="AA10" s="3">
        <v>152</v>
      </c>
      <c r="AB10" s="3">
        <v>8090</v>
      </c>
      <c r="AC10" s="3">
        <v>736</v>
      </c>
      <c r="AD10" s="4">
        <v>9.43</v>
      </c>
      <c r="AE10" s="3">
        <v>2840</v>
      </c>
      <c r="AF10" s="3">
        <v>258</v>
      </c>
      <c r="AG10" s="4">
        <v>5.59</v>
      </c>
    </row>
    <row r="11" spans="1:33" x14ac:dyDescent="0.25">
      <c r="A11" s="71" t="s">
        <v>45</v>
      </c>
      <c r="B11" s="72"/>
      <c r="C11" s="80">
        <v>52</v>
      </c>
      <c r="D11" s="81"/>
      <c r="F11" s="79" t="s">
        <v>46</v>
      </c>
      <c r="G11" s="79"/>
      <c r="H11" s="7">
        <v>10</v>
      </c>
      <c r="I11" s="8" t="s">
        <v>1</v>
      </c>
      <c r="S11" s="3">
        <v>240</v>
      </c>
      <c r="T11" s="3">
        <v>106</v>
      </c>
      <c r="U11" s="5">
        <v>83.2</v>
      </c>
      <c r="V11" s="3">
        <v>240</v>
      </c>
      <c r="W11" s="3">
        <v>240</v>
      </c>
      <c r="X11" s="3">
        <v>10</v>
      </c>
      <c r="Y11" s="3">
        <v>17</v>
      </c>
      <c r="Z11" s="3">
        <v>38</v>
      </c>
      <c r="AA11" s="3">
        <v>164</v>
      </c>
      <c r="AB11" s="3">
        <v>11260</v>
      </c>
      <c r="AC11" s="3">
        <v>938</v>
      </c>
      <c r="AD11" s="5">
        <v>10.3</v>
      </c>
      <c r="AE11" s="3">
        <v>3920</v>
      </c>
      <c r="AF11" s="3">
        <v>327</v>
      </c>
      <c r="AG11" s="4">
        <v>6.08</v>
      </c>
    </row>
    <row r="12" spans="1:33" ht="21" x14ac:dyDescent="0.2">
      <c r="A12" s="71" t="s">
        <v>47</v>
      </c>
      <c r="B12" s="72"/>
      <c r="C12" s="8">
        <f>IF(C11=B1,2.4,IF(C11=B2,2.8,3.6))</f>
        <v>3.6</v>
      </c>
      <c r="D12" s="8" t="s">
        <v>48</v>
      </c>
      <c r="F12" s="79" t="s">
        <v>82</v>
      </c>
      <c r="G12" s="79"/>
      <c r="H12" s="7">
        <v>10</v>
      </c>
      <c r="I12" s="8" t="s">
        <v>1</v>
      </c>
      <c r="S12" s="3">
        <v>260</v>
      </c>
      <c r="T12" s="3">
        <v>118</v>
      </c>
      <c r="U12" s="3">
        <v>93</v>
      </c>
      <c r="V12" s="3">
        <v>260</v>
      </c>
      <c r="W12" s="3">
        <v>260</v>
      </c>
      <c r="X12" s="3">
        <v>10</v>
      </c>
      <c r="Y12" s="5">
        <v>17.5</v>
      </c>
      <c r="Z12" s="5">
        <v>41.5</v>
      </c>
      <c r="AA12" s="3">
        <v>177</v>
      </c>
      <c r="AB12" s="3">
        <v>14920</v>
      </c>
      <c r="AC12" s="3">
        <v>1150</v>
      </c>
      <c r="AD12" s="5">
        <v>11.2</v>
      </c>
      <c r="AE12" s="3">
        <v>5130</v>
      </c>
      <c r="AF12" s="3">
        <v>395</v>
      </c>
      <c r="AG12" s="4">
        <v>6.58</v>
      </c>
    </row>
    <row r="13" spans="1:33" ht="21" x14ac:dyDescent="0.2">
      <c r="A13" s="71" t="s">
        <v>49</v>
      </c>
      <c r="B13" s="72"/>
      <c r="C13" s="8">
        <f>IF(C11=B1,3.7,IF(C11=B2,4.4,5.2))</f>
        <v>5.2</v>
      </c>
      <c r="D13" s="8" t="s">
        <v>48</v>
      </c>
      <c r="S13" s="3">
        <v>280</v>
      </c>
      <c r="T13" s="3">
        <v>131</v>
      </c>
      <c r="U13" s="3">
        <v>103</v>
      </c>
      <c r="V13" s="3">
        <v>280</v>
      </c>
      <c r="W13" s="3">
        <v>280</v>
      </c>
      <c r="X13" s="5">
        <v>10.5</v>
      </c>
      <c r="Y13" s="3">
        <v>18</v>
      </c>
      <c r="Z13" s="3">
        <v>42</v>
      </c>
      <c r="AA13" s="3">
        <v>196</v>
      </c>
      <c r="AB13" s="3">
        <v>19270</v>
      </c>
      <c r="AC13" s="3">
        <v>1380</v>
      </c>
      <c r="AD13" s="5">
        <v>12.1</v>
      </c>
      <c r="AE13" s="3">
        <v>6590</v>
      </c>
      <c r="AF13" s="3">
        <v>471</v>
      </c>
      <c r="AG13" s="4">
        <v>7.09</v>
      </c>
    </row>
    <row r="14" spans="1:33" ht="21" x14ac:dyDescent="0.2">
      <c r="A14" s="71" t="s">
        <v>50</v>
      </c>
      <c r="B14" s="72"/>
      <c r="C14" s="7">
        <v>200</v>
      </c>
      <c r="D14" s="8" t="s">
        <v>2</v>
      </c>
      <c r="S14" s="3">
        <v>300</v>
      </c>
      <c r="T14" s="3">
        <v>149</v>
      </c>
      <c r="U14" s="3">
        <v>117</v>
      </c>
      <c r="V14" s="3">
        <v>300</v>
      </c>
      <c r="W14" s="3">
        <v>300</v>
      </c>
      <c r="X14" s="3">
        <v>11</v>
      </c>
      <c r="Y14" s="3">
        <v>19</v>
      </c>
      <c r="Z14" s="3">
        <v>46</v>
      </c>
      <c r="AA14" s="3">
        <v>208</v>
      </c>
      <c r="AB14" s="3">
        <v>25170</v>
      </c>
      <c r="AC14" s="3">
        <v>1680</v>
      </c>
      <c r="AD14" s="3">
        <v>13</v>
      </c>
      <c r="AE14" s="3">
        <v>8560</v>
      </c>
      <c r="AF14" s="3">
        <v>571</v>
      </c>
      <c r="AG14" s="4">
        <v>7.58</v>
      </c>
    </row>
    <row r="15" spans="1:33" x14ac:dyDescent="0.25">
      <c r="A15" s="79" t="s">
        <v>51</v>
      </c>
      <c r="B15" s="79"/>
      <c r="C15" s="80">
        <v>320</v>
      </c>
      <c r="D15" s="81"/>
      <c r="F15" s="85" t="s">
        <v>7</v>
      </c>
      <c r="G15" s="11"/>
      <c r="H15" s="11"/>
      <c r="I15" s="11"/>
      <c r="J15" s="11"/>
      <c r="K15" s="11"/>
      <c r="L15" s="11"/>
      <c r="M15" s="11"/>
      <c r="N15" s="11"/>
      <c r="O15" s="11"/>
      <c r="S15" s="3">
        <v>320</v>
      </c>
      <c r="T15" s="3">
        <v>161</v>
      </c>
      <c r="U15" s="3">
        <v>127</v>
      </c>
      <c r="V15" s="3">
        <v>320</v>
      </c>
      <c r="W15" s="3">
        <v>300</v>
      </c>
      <c r="X15" s="5">
        <v>11.5</v>
      </c>
      <c r="Y15" s="5">
        <v>20.5</v>
      </c>
      <c r="Z15" s="5">
        <v>47.5</v>
      </c>
      <c r="AA15" s="3">
        <v>225</v>
      </c>
      <c r="AB15" s="3">
        <v>30820</v>
      </c>
      <c r="AC15" s="3">
        <v>1930</v>
      </c>
      <c r="AD15" s="5">
        <v>13.8</v>
      </c>
      <c r="AE15" s="3">
        <v>9240</v>
      </c>
      <c r="AF15" s="3">
        <v>616</v>
      </c>
      <c r="AG15" s="4">
        <v>7.57</v>
      </c>
    </row>
    <row r="16" spans="1:33" x14ac:dyDescent="0.2">
      <c r="A16" s="71" t="s">
        <v>29</v>
      </c>
      <c r="B16" s="72"/>
      <c r="C16" s="8">
        <f>VLOOKUP(C15,table2,4,FALSE)</f>
        <v>320</v>
      </c>
      <c r="D16" s="13" t="s">
        <v>53</v>
      </c>
      <c r="F16" s="85"/>
      <c r="G16" s="11"/>
      <c r="H16" s="11"/>
      <c r="I16" s="11"/>
      <c r="J16" s="11"/>
      <c r="K16" s="11"/>
      <c r="L16" s="11"/>
      <c r="M16" s="11"/>
      <c r="N16" s="11"/>
      <c r="O16" s="11"/>
      <c r="S16" s="3">
        <v>340</v>
      </c>
      <c r="T16" s="3">
        <v>171</v>
      </c>
      <c r="U16" s="3">
        <v>134</v>
      </c>
      <c r="V16" s="3">
        <v>340</v>
      </c>
      <c r="W16" s="3">
        <v>300</v>
      </c>
      <c r="X16" s="3">
        <v>12</v>
      </c>
      <c r="Y16" s="5">
        <v>21.5</v>
      </c>
      <c r="Z16" s="5">
        <v>48.5</v>
      </c>
      <c r="AA16" s="3">
        <v>243</v>
      </c>
      <c r="AB16" s="3">
        <v>36660</v>
      </c>
      <c r="AC16" s="3">
        <v>2160</v>
      </c>
      <c r="AD16" s="5">
        <v>14.6</v>
      </c>
      <c r="AE16" s="3">
        <v>9690</v>
      </c>
      <c r="AF16" s="3">
        <v>646</v>
      </c>
      <c r="AG16" s="4">
        <v>7.53</v>
      </c>
    </row>
    <row r="17" spans="1:33" x14ac:dyDescent="0.2">
      <c r="A17" s="71" t="s">
        <v>30</v>
      </c>
      <c r="B17" s="72"/>
      <c r="C17" s="8">
        <f>VLOOKUP(C15,table2,5,FALSE)</f>
        <v>300</v>
      </c>
      <c r="D17" s="13" t="s">
        <v>53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S17" s="3">
        <v>360</v>
      </c>
      <c r="T17" s="3">
        <v>181</v>
      </c>
      <c r="U17" s="3">
        <v>142</v>
      </c>
      <c r="V17" s="3">
        <v>360</v>
      </c>
      <c r="W17" s="3">
        <v>300</v>
      </c>
      <c r="X17" s="5">
        <v>12.5</v>
      </c>
      <c r="Y17" s="5">
        <v>22.5</v>
      </c>
      <c r="Z17" s="5">
        <v>49.5</v>
      </c>
      <c r="AA17" s="3">
        <v>261</v>
      </c>
      <c r="AB17" s="3">
        <v>43190</v>
      </c>
      <c r="AC17" s="3">
        <v>2400</v>
      </c>
      <c r="AD17" s="5">
        <v>15.6</v>
      </c>
      <c r="AE17" s="3">
        <v>10140</v>
      </c>
      <c r="AF17" s="3">
        <v>676</v>
      </c>
      <c r="AG17" s="4">
        <v>7.49</v>
      </c>
    </row>
    <row r="18" spans="1:33" x14ac:dyDescent="0.2">
      <c r="A18" s="71" t="s">
        <v>31</v>
      </c>
      <c r="B18" s="72"/>
      <c r="C18" s="8">
        <f>VLOOKUP(C15,table2,6,FALSE)</f>
        <v>11.5</v>
      </c>
      <c r="D18" s="13" t="s">
        <v>53</v>
      </c>
      <c r="F18" s="14" t="s">
        <v>8</v>
      </c>
      <c r="G18" s="11"/>
      <c r="H18" s="11"/>
      <c r="I18" s="11"/>
      <c r="J18" s="11"/>
      <c r="K18" s="11"/>
      <c r="L18" s="11"/>
      <c r="M18" s="11"/>
      <c r="N18" s="11"/>
      <c r="O18" s="11"/>
      <c r="S18" s="3">
        <v>400</v>
      </c>
      <c r="T18" s="3">
        <v>198</v>
      </c>
      <c r="U18" s="3">
        <v>155</v>
      </c>
      <c r="V18" s="3">
        <v>400</v>
      </c>
      <c r="W18" s="3">
        <v>300</v>
      </c>
      <c r="X18" s="5">
        <v>13.5</v>
      </c>
      <c r="Y18" s="3">
        <v>24</v>
      </c>
      <c r="Z18" s="3">
        <v>51</v>
      </c>
      <c r="AA18" s="3">
        <v>298</v>
      </c>
      <c r="AB18" s="3">
        <v>57680</v>
      </c>
      <c r="AC18" s="3">
        <v>2880</v>
      </c>
      <c r="AD18" s="5">
        <v>17.100000000000001</v>
      </c>
      <c r="AE18" s="3">
        <v>10820</v>
      </c>
      <c r="AF18" s="3">
        <v>721</v>
      </c>
      <c r="AG18" s="5">
        <v>7.4</v>
      </c>
    </row>
    <row r="19" spans="1:33" ht="21" x14ac:dyDescent="0.2">
      <c r="A19" s="71" t="s">
        <v>83</v>
      </c>
      <c r="B19" s="72"/>
      <c r="C19" s="8">
        <f>VLOOKUP(C15,table2,7,FALSE)</f>
        <v>20.5</v>
      </c>
      <c r="D19" s="13" t="s">
        <v>53</v>
      </c>
      <c r="F19" s="9" t="s">
        <v>54</v>
      </c>
      <c r="G19" s="6">
        <f>C21/C18</f>
        <v>19.565217391304348</v>
      </c>
      <c r="H19" s="83" t="str">
        <f>IF(G19&lt;=(127/SQRT(C12)),D1,IF(AND(G19&gt;(127/SQRT(C12)),G19&lt;=(222/SQRT(C12))),D2,D3))</f>
        <v>Compact</v>
      </c>
      <c r="I19" s="84"/>
      <c r="J19" s="86" t="s">
        <v>55</v>
      </c>
      <c r="K19" s="86" t="s">
        <v>56</v>
      </c>
      <c r="L19" s="86"/>
      <c r="M19" s="82" t="str">
        <f>IF(AND(H19=D1,H20=D1),D1,IF(AND(H19=D1,H20=D2),D2,IF(AND(H19=D2,H20=D1),D2,D3)))</f>
        <v>Compact</v>
      </c>
      <c r="N19" s="82"/>
      <c r="O19" s="11"/>
      <c r="S19" s="3">
        <v>450</v>
      </c>
      <c r="T19" s="3">
        <v>218</v>
      </c>
      <c r="U19" s="3">
        <v>171</v>
      </c>
      <c r="V19" s="3">
        <v>450</v>
      </c>
      <c r="W19" s="3">
        <v>300</v>
      </c>
      <c r="X19" s="3">
        <v>14</v>
      </c>
      <c r="Y19" s="3">
        <v>26</v>
      </c>
      <c r="Z19" s="3">
        <v>53</v>
      </c>
      <c r="AA19" s="3">
        <v>344</v>
      </c>
      <c r="AB19" s="3">
        <v>79890</v>
      </c>
      <c r="AC19" s="3">
        <v>3550</v>
      </c>
      <c r="AD19" s="5">
        <v>19.100000000000001</v>
      </c>
      <c r="AE19" s="3">
        <v>11720</v>
      </c>
      <c r="AF19" s="3">
        <v>781</v>
      </c>
      <c r="AG19" s="4">
        <v>7.33</v>
      </c>
    </row>
    <row r="20" spans="1:33" ht="21" x14ac:dyDescent="0.2">
      <c r="A20" s="71" t="s">
        <v>34</v>
      </c>
      <c r="B20" s="72"/>
      <c r="C20" s="8">
        <f>VLOOKUP(C15,table2,8,FALSE)</f>
        <v>47.5</v>
      </c>
      <c r="D20" s="13" t="s">
        <v>53</v>
      </c>
      <c r="F20" s="9" t="s">
        <v>57</v>
      </c>
      <c r="G20" s="6">
        <f>(C17-C18-2*C19)/(2*C19)</f>
        <v>6.0365853658536581</v>
      </c>
      <c r="H20" s="83" t="str">
        <f>IF(G20&lt;=(16.9/SQRT(C12)),D1,IF(AND(G20&gt;(16.9/SQRT(C12)),G20&lt;=(33/SQRT(C12))),D2,D3))</f>
        <v>Compact</v>
      </c>
      <c r="I20" s="84"/>
      <c r="J20" s="86"/>
      <c r="K20" s="86"/>
      <c r="L20" s="86"/>
      <c r="M20" s="82"/>
      <c r="N20" s="82"/>
      <c r="O20" s="11"/>
      <c r="S20" s="3">
        <v>500</v>
      </c>
      <c r="T20" s="3">
        <v>239</v>
      </c>
      <c r="U20" s="3">
        <v>187</v>
      </c>
      <c r="V20" s="3">
        <v>500</v>
      </c>
      <c r="W20" s="3">
        <v>300</v>
      </c>
      <c r="X20" s="5">
        <v>14.5</v>
      </c>
      <c r="Y20" s="3">
        <v>28</v>
      </c>
      <c r="Z20" s="3">
        <v>655</v>
      </c>
      <c r="AA20" s="3">
        <v>390</v>
      </c>
      <c r="AB20" s="3">
        <v>107200</v>
      </c>
      <c r="AC20" s="3">
        <v>4290</v>
      </c>
      <c r="AD20" s="5">
        <v>21.2</v>
      </c>
      <c r="AE20" s="3">
        <v>12620</v>
      </c>
      <c r="AF20" s="3">
        <v>842</v>
      </c>
      <c r="AG20" s="4">
        <v>7.27</v>
      </c>
    </row>
    <row r="21" spans="1:33" x14ac:dyDescent="0.2">
      <c r="A21" s="71" t="s">
        <v>35</v>
      </c>
      <c r="B21" s="72"/>
      <c r="C21" s="8">
        <f>VLOOKUP(C15,table2,9,FALSE)</f>
        <v>225</v>
      </c>
      <c r="D21" s="13" t="s">
        <v>53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S21" s="3">
        <v>550</v>
      </c>
      <c r="T21" s="3">
        <v>254</v>
      </c>
      <c r="U21" s="3">
        <v>199</v>
      </c>
      <c r="V21" s="3">
        <v>550</v>
      </c>
      <c r="W21" s="3">
        <v>300</v>
      </c>
      <c r="X21" s="3">
        <v>15</v>
      </c>
      <c r="Y21" s="3">
        <v>29</v>
      </c>
      <c r="Z21" s="3">
        <v>56</v>
      </c>
      <c r="AA21" s="3">
        <v>438</v>
      </c>
      <c r="AB21" s="3">
        <v>136700</v>
      </c>
      <c r="AC21" s="3">
        <v>4970</v>
      </c>
      <c r="AD21" s="5">
        <v>23.2</v>
      </c>
      <c r="AE21" s="3">
        <v>13080</v>
      </c>
      <c r="AF21" s="3">
        <v>872</v>
      </c>
      <c r="AG21" s="4">
        <v>7.17</v>
      </c>
    </row>
    <row r="22" spans="1:33" ht="21" x14ac:dyDescent="0.2">
      <c r="A22" s="71" t="s">
        <v>21</v>
      </c>
      <c r="B22" s="72"/>
      <c r="C22" s="8">
        <f>VLOOKUP(C15,table2,2,FALSE)</f>
        <v>161</v>
      </c>
      <c r="D22" s="8" t="s">
        <v>59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S22" s="3">
        <v>600</v>
      </c>
      <c r="T22" s="3">
        <v>270</v>
      </c>
      <c r="U22" s="3">
        <v>212</v>
      </c>
      <c r="V22" s="3">
        <v>600</v>
      </c>
      <c r="W22" s="3">
        <v>300</v>
      </c>
      <c r="X22" s="5">
        <v>15.5</v>
      </c>
      <c r="Y22" s="3">
        <v>30</v>
      </c>
      <c r="Z22" s="3">
        <v>57</v>
      </c>
      <c r="AA22" s="3">
        <v>486</v>
      </c>
      <c r="AB22" s="3">
        <v>171000</v>
      </c>
      <c r="AC22" s="3">
        <v>5700</v>
      </c>
      <c r="AD22" s="5">
        <v>25.2</v>
      </c>
      <c r="AE22" s="3">
        <v>13530</v>
      </c>
      <c r="AF22" s="3">
        <v>902</v>
      </c>
      <c r="AG22" s="4">
        <v>7.08</v>
      </c>
    </row>
    <row r="23" spans="1:33" ht="21" x14ac:dyDescent="0.2">
      <c r="A23" s="71" t="s">
        <v>63</v>
      </c>
      <c r="B23" s="72"/>
      <c r="C23" s="8">
        <f>VLOOKUP(C15,table2,10,FALSE)</f>
        <v>30820</v>
      </c>
      <c r="D23" s="8" t="s">
        <v>64</v>
      </c>
      <c r="F23" s="10" t="s">
        <v>9</v>
      </c>
      <c r="G23" s="11"/>
      <c r="H23" s="11"/>
      <c r="I23" s="11"/>
      <c r="J23" s="9" t="s">
        <v>58</v>
      </c>
      <c r="K23" s="11"/>
      <c r="L23" s="11"/>
      <c r="S23" s="3">
        <v>650</v>
      </c>
      <c r="T23" s="3">
        <v>286</v>
      </c>
      <c r="U23" s="3">
        <v>225</v>
      </c>
      <c r="V23" s="3">
        <v>650</v>
      </c>
      <c r="W23" s="3">
        <v>300</v>
      </c>
      <c r="X23" s="3">
        <v>16</v>
      </c>
      <c r="Y23" s="3">
        <v>31</v>
      </c>
      <c r="Z23" s="3">
        <v>58</v>
      </c>
      <c r="AA23" s="3">
        <v>534</v>
      </c>
      <c r="AB23" s="3">
        <v>210600</v>
      </c>
      <c r="AC23" s="3">
        <v>6480</v>
      </c>
      <c r="AD23" s="5">
        <v>27.1</v>
      </c>
      <c r="AE23" s="3">
        <v>13980</v>
      </c>
      <c r="AF23" s="3">
        <v>932</v>
      </c>
      <c r="AG23" s="4">
        <v>6.99</v>
      </c>
    </row>
    <row r="24" spans="1:33" ht="21" x14ac:dyDescent="0.2">
      <c r="A24" s="71" t="s">
        <v>67</v>
      </c>
      <c r="B24" s="72"/>
      <c r="C24" s="8">
        <f>VLOOKUP(C15,table2,13,FALSE)</f>
        <v>9240</v>
      </c>
      <c r="D24" s="8" t="s">
        <v>64</v>
      </c>
      <c r="F24" s="9" t="s">
        <v>60</v>
      </c>
      <c r="G24" s="9" t="s">
        <v>55</v>
      </c>
      <c r="H24" s="9" t="s">
        <v>61</v>
      </c>
      <c r="I24" s="6">
        <f>IF(M19=D1,N24,IF(M19=D2,MIN((N24-(N24-0.75*C12*C25)*((G20-(16.9/SQRT(C12))/(33/SQRT(C12)-16.9/SQRT(C12))))),(N24-(N24-0.75*C12*C25)*((G19-(127/SQRT(C12))/(222/SQRT(C12)-127/SQRT(C12))))))))</f>
        <v>7890.4543499999991</v>
      </c>
      <c r="J24" s="6">
        <f>IF(I24&gt;N24,N24,I24)</f>
        <v>7890.4543499999991</v>
      </c>
      <c r="K24" s="6" t="s">
        <v>0</v>
      </c>
      <c r="L24" s="87" t="s">
        <v>55</v>
      </c>
      <c r="M24" s="9" t="s">
        <v>62</v>
      </c>
      <c r="N24" s="6">
        <f>C26*C12</f>
        <v>7890.4543499999991</v>
      </c>
      <c r="O24" s="6" t="s">
        <v>0</v>
      </c>
      <c r="S24" s="3">
        <v>700</v>
      </c>
      <c r="T24" s="3">
        <v>306</v>
      </c>
      <c r="U24" s="3">
        <v>241</v>
      </c>
      <c r="V24" s="3">
        <v>700</v>
      </c>
      <c r="W24" s="3">
        <v>300</v>
      </c>
      <c r="X24" s="3">
        <v>17</v>
      </c>
      <c r="Y24" s="3">
        <v>32</v>
      </c>
      <c r="Z24" s="3">
        <v>59</v>
      </c>
      <c r="AA24" s="3">
        <v>582</v>
      </c>
      <c r="AB24" s="3">
        <v>256900</v>
      </c>
      <c r="AC24" s="3">
        <v>7340</v>
      </c>
      <c r="AD24" s="3">
        <v>29</v>
      </c>
      <c r="AE24" s="3">
        <v>14440</v>
      </c>
      <c r="AF24" s="3">
        <v>963</v>
      </c>
      <c r="AG24" s="4">
        <v>6.87</v>
      </c>
    </row>
    <row r="25" spans="1:33" ht="21" x14ac:dyDescent="0.2">
      <c r="A25" s="71" t="s">
        <v>69</v>
      </c>
      <c r="B25" s="72"/>
      <c r="C25" s="8">
        <f>VLOOKUP(C15,table2,11,FALSE)</f>
        <v>1930</v>
      </c>
      <c r="D25" s="8" t="s">
        <v>70</v>
      </c>
      <c r="F25" s="9" t="s">
        <v>65</v>
      </c>
      <c r="G25" s="9" t="s">
        <v>55</v>
      </c>
      <c r="H25" s="9" t="s">
        <v>61</v>
      </c>
      <c r="I25" s="6">
        <f>ROUND(N24-(N24-0.75*C12*C25)*((C14-C29)/(C32-C29)),0)</f>
        <v>8303</v>
      </c>
      <c r="J25" s="6">
        <f>IF(I25&gt;N24,N24,I25)</f>
        <v>7890.4543499999991</v>
      </c>
      <c r="K25" s="6" t="s">
        <v>0</v>
      </c>
      <c r="L25" s="87"/>
      <c r="M25" s="9" t="s">
        <v>66</v>
      </c>
      <c r="N25" s="12">
        <f>IF(C14&lt;=C29,J24,IF(AND(C14&gt;C29,C14&lt;=C32),J25,J26))</f>
        <v>7890.4543499999991</v>
      </c>
      <c r="O25" s="6" t="s">
        <v>0</v>
      </c>
      <c r="S25" s="3">
        <v>800</v>
      </c>
      <c r="T25" s="3">
        <v>334</v>
      </c>
      <c r="U25" s="3">
        <v>262</v>
      </c>
      <c r="V25" s="3">
        <v>800</v>
      </c>
      <c r="W25" s="3">
        <v>300</v>
      </c>
      <c r="X25" s="5">
        <v>17.5</v>
      </c>
      <c r="Y25" s="3">
        <v>33</v>
      </c>
      <c r="Z25" s="3">
        <v>63</v>
      </c>
      <c r="AA25" s="3">
        <v>674</v>
      </c>
      <c r="AB25" s="3">
        <v>359100</v>
      </c>
      <c r="AC25" s="3">
        <v>9890</v>
      </c>
      <c r="AD25" s="5">
        <v>32.799999999999997</v>
      </c>
      <c r="AE25" s="3">
        <v>14900</v>
      </c>
      <c r="AF25" s="3">
        <v>994</v>
      </c>
      <c r="AG25" s="4">
        <v>6.68</v>
      </c>
    </row>
    <row r="26" spans="1:33" ht="21" x14ac:dyDescent="0.2">
      <c r="A26" s="71" t="s">
        <v>71</v>
      </c>
      <c r="B26" s="72"/>
      <c r="C26" s="8">
        <f>2*((C17/10)*(C19/10)*0.5*(C16/10)+0.5*((C16/10)-2*(C19/10))*(C18/10)*0.25*((C16/10)-2*(C19/10)))</f>
        <v>2191.7928749999996</v>
      </c>
      <c r="D26" s="8" t="s">
        <v>70</v>
      </c>
      <c r="F26" s="9" t="s">
        <v>68</v>
      </c>
      <c r="G26" s="9" t="s">
        <v>55</v>
      </c>
      <c r="H26" s="9" t="s">
        <v>61</v>
      </c>
      <c r="I26" s="6">
        <f>ROUND(C25*SQRT(((1380*0.1*C17*0.1*C19)/(0.1*C16*C14))^2+(20700/(C14/C30)^2)^2),0)</f>
        <v>73515</v>
      </c>
      <c r="J26" s="6">
        <f>I26</f>
        <v>73515</v>
      </c>
      <c r="K26" s="6" t="s">
        <v>0</v>
      </c>
      <c r="L26" s="11"/>
      <c r="M26" s="11"/>
      <c r="N26" s="11"/>
      <c r="O26" s="11"/>
      <c r="S26" s="3">
        <v>900</v>
      </c>
      <c r="T26" s="3">
        <v>371</v>
      </c>
      <c r="U26" s="3">
        <v>291</v>
      </c>
      <c r="V26" s="3">
        <v>900</v>
      </c>
      <c r="W26" s="3">
        <v>300</v>
      </c>
      <c r="X26" s="5">
        <v>18.5</v>
      </c>
      <c r="Y26" s="3">
        <v>35</v>
      </c>
      <c r="Z26" s="3">
        <v>65</v>
      </c>
      <c r="AA26" s="3">
        <v>770</v>
      </c>
      <c r="AB26" s="3">
        <v>494100</v>
      </c>
      <c r="AC26" s="3">
        <v>10980</v>
      </c>
      <c r="AD26" s="5">
        <v>36.5</v>
      </c>
      <c r="AE26" s="3">
        <v>15820</v>
      </c>
      <c r="AF26" s="3">
        <v>1050</v>
      </c>
      <c r="AG26" s="4">
        <v>6.53</v>
      </c>
    </row>
    <row r="27" spans="1:33" ht="21" x14ac:dyDescent="0.2">
      <c r="A27" s="71" t="s">
        <v>72</v>
      </c>
      <c r="B27" s="72"/>
      <c r="C27" s="8">
        <f>VLOOKUP(C15,table2,12,FALSE)</f>
        <v>13.8</v>
      </c>
      <c r="D27" s="8" t="s">
        <v>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S27" s="3">
        <v>1000</v>
      </c>
      <c r="T27" s="3">
        <v>400</v>
      </c>
      <c r="U27" s="3">
        <v>314</v>
      </c>
      <c r="V27" s="3">
        <v>1000</v>
      </c>
      <c r="W27" s="3">
        <v>300</v>
      </c>
      <c r="X27" s="3">
        <v>19</v>
      </c>
      <c r="Y27" s="3">
        <v>36</v>
      </c>
      <c r="Z27" s="3">
        <v>66</v>
      </c>
      <c r="AA27" s="3">
        <v>868</v>
      </c>
      <c r="AB27" s="3">
        <v>644700</v>
      </c>
      <c r="AC27" s="3">
        <v>12890</v>
      </c>
      <c r="AD27" s="5">
        <v>40.1</v>
      </c>
      <c r="AE27" s="3">
        <v>16280</v>
      </c>
      <c r="AF27" s="3">
        <v>1090</v>
      </c>
      <c r="AG27" s="4">
        <v>6.38</v>
      </c>
    </row>
    <row r="28" spans="1:33" ht="21" x14ac:dyDescent="0.2">
      <c r="A28" s="71" t="s">
        <v>75</v>
      </c>
      <c r="B28" s="72"/>
      <c r="C28" s="8">
        <f>VLOOKUP(C15,table2,15,FALSE)</f>
        <v>7.57</v>
      </c>
      <c r="D28" s="8" t="s">
        <v>2</v>
      </c>
      <c r="F28" s="10" t="s">
        <v>10</v>
      </c>
      <c r="G28" s="11"/>
      <c r="H28" s="11"/>
      <c r="I28" s="11"/>
      <c r="J28" s="10" t="s">
        <v>11</v>
      </c>
      <c r="K28" s="11"/>
      <c r="L28" s="11"/>
      <c r="M28" s="11"/>
      <c r="N28" s="11"/>
      <c r="O28" s="11"/>
    </row>
    <row r="29" spans="1:33" ht="21" x14ac:dyDescent="0.2">
      <c r="A29" s="71" t="s">
        <v>76</v>
      </c>
      <c r="B29" s="72"/>
      <c r="C29" s="8">
        <f>(80*C28)/(SQRT(C12))</f>
        <v>319.17922516632842</v>
      </c>
      <c r="D29" s="8" t="s">
        <v>2</v>
      </c>
      <c r="F29" s="9" t="s">
        <v>73</v>
      </c>
      <c r="G29" s="6">
        <f>H10/(0.85*N25)</f>
        <v>0.22365073088002105</v>
      </c>
      <c r="H29" s="6" t="str">
        <f>IF(G29&lt;=1,"Safe","Unsafe")</f>
        <v>Safe</v>
      </c>
      <c r="I29" s="11"/>
      <c r="J29" s="9" t="s">
        <v>74</v>
      </c>
      <c r="K29" s="6">
        <f>H12/(0.85*0.6*C12*(C16/10)*(C18/10))</f>
        <v>0.14800606232831298</v>
      </c>
      <c r="L29" s="6" t="str">
        <f>IF(K29&lt;=1,"Safe","Unsafe")</f>
        <v>Safe</v>
      </c>
      <c r="M29" s="11"/>
      <c r="N29" s="11"/>
      <c r="O29" s="11"/>
    </row>
    <row r="30" spans="1:33" ht="21" x14ac:dyDescent="0.2">
      <c r="A30" s="71" t="s">
        <v>77</v>
      </c>
      <c r="B30" s="72"/>
      <c r="C30" s="8">
        <f>0.1*SQRT((C19*((C17)^3)/12)/(C17*C19+(1/6)*(C16-2*C19)*C18))</f>
        <v>8.3066441230504005</v>
      </c>
      <c r="D30" s="8" t="s">
        <v>2</v>
      </c>
    </row>
    <row r="31" spans="1:33" x14ac:dyDescent="0.2">
      <c r="A31" s="71" t="s">
        <v>78</v>
      </c>
      <c r="B31" s="72"/>
      <c r="C31" s="8">
        <f>((0.104*C30*0.1*C16)/(0.1*C17*0.1*C19))^2</f>
        <v>0.20205407466393757</v>
      </c>
      <c r="D31" s="8" t="s">
        <v>6</v>
      </c>
    </row>
    <row r="32" spans="1:33" ht="21" x14ac:dyDescent="0.2">
      <c r="A32" s="71" t="s">
        <v>79</v>
      </c>
      <c r="B32" s="72"/>
      <c r="C32" s="8">
        <f>((1380*(C17/10)*(C19/10))/((C16/10)*0.75*C12))*SQRT(0.5*(1+SQRT(1+(2*C31*0.75*C12)^2)))</f>
        <v>1093.8397984204587</v>
      </c>
      <c r="D32" s="8" t="s">
        <v>2</v>
      </c>
    </row>
    <row r="34" ht="21" customHeight="1" x14ac:dyDescent="0.2"/>
  </sheetData>
  <mergeCells count="42">
    <mergeCell ref="A32:B32"/>
    <mergeCell ref="A26:B26"/>
    <mergeCell ref="A27:B27"/>
    <mergeCell ref="A28:B28"/>
    <mergeCell ref="A29:B29"/>
    <mergeCell ref="A30:B30"/>
    <mergeCell ref="A31:B31"/>
    <mergeCell ref="A21:B21"/>
    <mergeCell ref="A22:B22"/>
    <mergeCell ref="A23:B23"/>
    <mergeCell ref="A24:B24"/>
    <mergeCell ref="L24:L25"/>
    <mergeCell ref="A25:B25"/>
    <mergeCell ref="M19:N20"/>
    <mergeCell ref="A20:B20"/>
    <mergeCell ref="H20:I20"/>
    <mergeCell ref="A14:B14"/>
    <mergeCell ref="A15:B15"/>
    <mergeCell ref="C15:D15"/>
    <mergeCell ref="F15:F16"/>
    <mergeCell ref="A16:B16"/>
    <mergeCell ref="A17:B17"/>
    <mergeCell ref="A18:B18"/>
    <mergeCell ref="A19:B19"/>
    <mergeCell ref="H19:I19"/>
    <mergeCell ref="J19:J20"/>
    <mergeCell ref="K19:L20"/>
    <mergeCell ref="A13:B13"/>
    <mergeCell ref="W1:X1"/>
    <mergeCell ref="V2:AA2"/>
    <mergeCell ref="AB2:AD2"/>
    <mergeCell ref="AE2:AG2"/>
    <mergeCell ref="A9:B10"/>
    <mergeCell ref="C9:C10"/>
    <mergeCell ref="D9:D10"/>
    <mergeCell ref="F9:G9"/>
    <mergeCell ref="F10:G10"/>
    <mergeCell ref="A11:B11"/>
    <mergeCell ref="C11:D11"/>
    <mergeCell ref="F11:G11"/>
    <mergeCell ref="A12:B12"/>
    <mergeCell ref="F12:G12"/>
  </mergeCells>
  <conditionalFormatting sqref="H29 L29">
    <cfRule type="cellIs" dxfId="1" priority="1" operator="equal">
      <formula>"Unsafe"</formula>
    </cfRule>
    <cfRule type="cellIs" dxfId="0" priority="2" operator="equal">
      <formula>"Safe"</formula>
    </cfRule>
  </conditionalFormatting>
  <dataValidations count="2">
    <dataValidation type="list" allowBlank="1" showInputMessage="1" showErrorMessage="1" sqref="C15" xr:uid="{6A400BBB-A302-4CDD-AF51-7A9616E290F4}">
      <formula1>$S$4:$S$27</formula1>
    </dataValidation>
    <dataValidation type="list" allowBlank="1" showInputMessage="1" showErrorMessage="1" sqref="C11" xr:uid="{44BBFC2C-EDE0-4552-BB89-3B5E55FAFFDF}">
      <formula1>$B$1:$B$3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AF7E-F530-49CF-816E-7C3535194C3D}">
  <dimension ref="A1:AE34"/>
  <sheetViews>
    <sheetView workbookViewId="0">
      <selection activeCell="E16" sqref="E16"/>
    </sheetView>
  </sheetViews>
  <sheetFormatPr defaultRowHeight="18" x14ac:dyDescent="0.2"/>
  <cols>
    <col min="1" max="3" width="9" style="1"/>
    <col min="4" max="4" width="10.125" style="1" customWidth="1"/>
    <col min="5" max="5" width="9" style="1"/>
    <col min="6" max="6" width="18.625" style="1" customWidth="1"/>
    <col min="7" max="16384" width="9" style="1"/>
  </cols>
  <sheetData>
    <row r="1" spans="1:31" x14ac:dyDescent="0.2">
      <c r="B1" s="1">
        <v>37</v>
      </c>
      <c r="D1" s="1" t="s">
        <v>3</v>
      </c>
      <c r="V1" s="73" t="s">
        <v>84</v>
      </c>
      <c r="W1" s="73"/>
    </row>
    <row r="2" spans="1:31" x14ac:dyDescent="0.2">
      <c r="B2" s="1">
        <v>44</v>
      </c>
      <c r="D2" s="1" t="s">
        <v>4</v>
      </c>
      <c r="R2" s="2" t="s">
        <v>20</v>
      </c>
      <c r="S2" s="2" t="s">
        <v>21</v>
      </c>
      <c r="T2" s="2" t="s">
        <v>22</v>
      </c>
      <c r="U2" s="74" t="s">
        <v>23</v>
      </c>
      <c r="V2" s="74"/>
      <c r="W2" s="74"/>
      <c r="X2" s="74"/>
      <c r="Y2" s="74"/>
      <c r="Z2" s="74" t="s">
        <v>24</v>
      </c>
      <c r="AA2" s="74"/>
      <c r="AB2" s="74"/>
      <c r="AC2" s="74" t="s">
        <v>25</v>
      </c>
      <c r="AD2" s="74"/>
      <c r="AE2" s="74"/>
    </row>
    <row r="3" spans="1:31" ht="42" x14ac:dyDescent="0.2">
      <c r="B3" s="1">
        <v>52</v>
      </c>
      <c r="D3" s="1" t="s">
        <v>5</v>
      </c>
      <c r="R3" s="2" t="s">
        <v>26</v>
      </c>
      <c r="S3" s="2" t="s">
        <v>27</v>
      </c>
      <c r="T3" s="2" t="s">
        <v>28</v>
      </c>
      <c r="U3" s="2" t="s">
        <v>29</v>
      </c>
      <c r="V3" s="2" t="s">
        <v>30</v>
      </c>
      <c r="W3" s="2" t="s">
        <v>31</v>
      </c>
      <c r="X3" s="2" t="s">
        <v>33</v>
      </c>
      <c r="Y3" s="2" t="s">
        <v>32</v>
      </c>
      <c r="Z3" s="2" t="s">
        <v>36</v>
      </c>
      <c r="AA3" s="2" t="s">
        <v>37</v>
      </c>
      <c r="AB3" s="2" t="s">
        <v>38</v>
      </c>
      <c r="AC3" s="2" t="s">
        <v>39</v>
      </c>
      <c r="AD3" s="2" t="s">
        <v>40</v>
      </c>
      <c r="AE3" s="2" t="s">
        <v>41</v>
      </c>
    </row>
    <row r="4" spans="1:31" x14ac:dyDescent="0.2">
      <c r="R4" s="3">
        <v>100</v>
      </c>
      <c r="S4" s="5">
        <v>21.2</v>
      </c>
      <c r="T4" s="5">
        <v>16.7</v>
      </c>
      <c r="U4" s="3">
        <v>96</v>
      </c>
      <c r="V4" s="3">
        <v>100</v>
      </c>
      <c r="W4" s="3">
        <v>5</v>
      </c>
      <c r="X4" s="3">
        <v>8</v>
      </c>
      <c r="Y4" s="3">
        <v>12</v>
      </c>
      <c r="Z4" s="3">
        <v>349</v>
      </c>
      <c r="AA4" s="5">
        <v>72.8</v>
      </c>
      <c r="AB4" s="4">
        <v>4.0599999999999996</v>
      </c>
      <c r="AC4" s="3">
        <v>134</v>
      </c>
      <c r="AD4" s="5">
        <v>26.8</v>
      </c>
      <c r="AE4" s="4">
        <v>2.5099999999999998</v>
      </c>
    </row>
    <row r="5" spans="1:31" x14ac:dyDescent="0.2">
      <c r="R5" s="3">
        <v>120</v>
      </c>
      <c r="S5" s="5">
        <v>25.3</v>
      </c>
      <c r="T5" s="5">
        <v>19.899999999999999</v>
      </c>
      <c r="U5" s="3">
        <v>114</v>
      </c>
      <c r="V5" s="3">
        <v>120</v>
      </c>
      <c r="W5" s="3">
        <v>5</v>
      </c>
      <c r="X5" s="3">
        <v>8</v>
      </c>
      <c r="Y5" s="3">
        <v>12</v>
      </c>
      <c r="Z5" s="3">
        <v>606</v>
      </c>
      <c r="AA5" s="3">
        <v>106</v>
      </c>
      <c r="AB5" s="4">
        <v>4.8899999999999997</v>
      </c>
      <c r="AC5" s="3">
        <v>231</v>
      </c>
      <c r="AD5" s="5">
        <v>38.5</v>
      </c>
      <c r="AE5" s="4">
        <v>3.02</v>
      </c>
    </row>
    <row r="6" spans="1:31" x14ac:dyDescent="0.2">
      <c r="R6" s="3">
        <v>140</v>
      </c>
      <c r="S6" s="5">
        <v>31.4</v>
      </c>
      <c r="T6" s="5">
        <v>24.7</v>
      </c>
      <c r="U6" s="3">
        <v>133</v>
      </c>
      <c r="V6" s="3">
        <v>140</v>
      </c>
      <c r="W6" s="5">
        <v>5.5</v>
      </c>
      <c r="X6" s="5">
        <v>8.5</v>
      </c>
      <c r="Y6" s="3">
        <v>12</v>
      </c>
      <c r="Z6" s="3">
        <v>1030</v>
      </c>
      <c r="AA6" s="3">
        <v>155</v>
      </c>
      <c r="AB6" s="4">
        <v>5.73</v>
      </c>
      <c r="AC6" s="3">
        <v>389</v>
      </c>
      <c r="AD6" s="5">
        <v>55.6</v>
      </c>
      <c r="AE6" s="4">
        <v>3.52</v>
      </c>
    </row>
    <row r="7" spans="1:31" x14ac:dyDescent="0.2">
      <c r="R7" s="3">
        <v>160</v>
      </c>
      <c r="S7" s="5">
        <v>38.799999999999997</v>
      </c>
      <c r="T7" s="5">
        <v>30.4</v>
      </c>
      <c r="U7" s="3">
        <v>152</v>
      </c>
      <c r="V7" s="3">
        <v>160</v>
      </c>
      <c r="W7" s="3">
        <v>6</v>
      </c>
      <c r="X7" s="3">
        <v>9</v>
      </c>
      <c r="Y7" s="3">
        <v>15</v>
      </c>
      <c r="Z7" s="3">
        <v>1670</v>
      </c>
      <c r="AA7" s="3">
        <v>220</v>
      </c>
      <c r="AB7" s="4">
        <v>6.57</v>
      </c>
      <c r="AC7" s="3">
        <v>616</v>
      </c>
      <c r="AD7" s="5">
        <v>76.900000000000006</v>
      </c>
      <c r="AE7" s="4">
        <v>3.98</v>
      </c>
    </row>
    <row r="8" spans="1:31" x14ac:dyDescent="0.2">
      <c r="R8" s="3">
        <v>180</v>
      </c>
      <c r="S8" s="5">
        <v>45.3</v>
      </c>
      <c r="T8" s="5">
        <v>35.5</v>
      </c>
      <c r="U8" s="3">
        <v>171</v>
      </c>
      <c r="V8" s="3">
        <v>180</v>
      </c>
      <c r="W8" s="3">
        <v>6</v>
      </c>
      <c r="X8" s="5">
        <v>9.5</v>
      </c>
      <c r="Y8" s="3">
        <v>15</v>
      </c>
      <c r="Z8" s="3">
        <v>2510</v>
      </c>
      <c r="AA8" s="3">
        <v>294</v>
      </c>
      <c r="AB8" s="4">
        <v>7.45</v>
      </c>
      <c r="AC8" s="3">
        <v>925</v>
      </c>
      <c r="AD8" s="3">
        <v>103</v>
      </c>
      <c r="AE8" s="4">
        <v>4.5199999999999996</v>
      </c>
    </row>
    <row r="9" spans="1:31" x14ac:dyDescent="0.2">
      <c r="A9" s="75" t="s">
        <v>42</v>
      </c>
      <c r="B9" s="75"/>
      <c r="C9" s="76" t="s">
        <v>43</v>
      </c>
      <c r="D9" s="73" t="s">
        <v>44</v>
      </c>
      <c r="F9" s="85" t="s">
        <v>7</v>
      </c>
      <c r="G9" s="11"/>
      <c r="H9" s="11"/>
      <c r="I9" s="11"/>
      <c r="J9" s="11"/>
      <c r="K9" s="11"/>
      <c r="L9" s="11"/>
      <c r="M9" s="11"/>
      <c r="N9" s="11"/>
      <c r="O9" s="11"/>
      <c r="R9" s="3">
        <v>200</v>
      </c>
      <c r="S9" s="5">
        <v>53.8</v>
      </c>
      <c r="T9" s="5">
        <v>42.3</v>
      </c>
      <c r="U9" s="3">
        <v>190</v>
      </c>
      <c r="V9" s="3">
        <v>200</v>
      </c>
      <c r="W9" s="5">
        <v>6.5</v>
      </c>
      <c r="X9" s="3">
        <v>10</v>
      </c>
      <c r="Y9" s="3">
        <v>18</v>
      </c>
      <c r="Z9" s="3">
        <v>3690</v>
      </c>
      <c r="AA9" s="3">
        <v>389</v>
      </c>
      <c r="AB9" s="4">
        <v>8.2799999999999994</v>
      </c>
      <c r="AC9" s="3">
        <v>1340</v>
      </c>
      <c r="AD9" s="3">
        <v>134</v>
      </c>
      <c r="AE9" s="4">
        <v>4.9800000000000004</v>
      </c>
    </row>
    <row r="10" spans="1:31" x14ac:dyDescent="0.2">
      <c r="A10" s="75"/>
      <c r="B10" s="75"/>
      <c r="C10" s="76"/>
      <c r="D10" s="77"/>
      <c r="F10" s="85"/>
      <c r="G10" s="11"/>
      <c r="H10" s="11"/>
      <c r="I10" s="11"/>
      <c r="J10" s="11"/>
      <c r="K10" s="11"/>
      <c r="L10" s="11"/>
      <c r="M10" s="11"/>
      <c r="N10" s="11"/>
      <c r="O10" s="11"/>
      <c r="R10" s="3">
        <v>220</v>
      </c>
      <c r="S10" s="5">
        <v>64.3</v>
      </c>
      <c r="T10" s="5">
        <v>50.5</v>
      </c>
      <c r="U10" s="3">
        <v>210</v>
      </c>
      <c r="V10" s="3">
        <v>220</v>
      </c>
      <c r="W10" s="3">
        <v>7</v>
      </c>
      <c r="X10" s="3">
        <v>11</v>
      </c>
      <c r="Y10" s="3">
        <v>18</v>
      </c>
      <c r="Z10" s="3">
        <v>5410</v>
      </c>
      <c r="AA10" s="3">
        <v>515</v>
      </c>
      <c r="AB10" s="4">
        <v>9.17</v>
      </c>
      <c r="AC10" s="3">
        <v>1950</v>
      </c>
      <c r="AD10" s="3">
        <v>178</v>
      </c>
      <c r="AE10" s="4">
        <v>5.51</v>
      </c>
    </row>
    <row r="11" spans="1:31" x14ac:dyDescent="0.2">
      <c r="A11" s="71" t="s">
        <v>45</v>
      </c>
      <c r="B11" s="72"/>
      <c r="C11" s="88">
        <v>52</v>
      </c>
      <c r="D11" s="89"/>
      <c r="F11" s="11"/>
      <c r="G11" s="11"/>
      <c r="H11" s="11"/>
      <c r="I11" s="11"/>
      <c r="J11" s="11"/>
      <c r="K11" s="11"/>
      <c r="L11" s="11"/>
      <c r="M11" s="11"/>
      <c r="N11" s="11"/>
      <c r="O11" s="11"/>
      <c r="R11" s="3">
        <v>240</v>
      </c>
      <c r="S11" s="5">
        <v>76.8</v>
      </c>
      <c r="T11" s="5">
        <v>60.3</v>
      </c>
      <c r="U11" s="3">
        <v>230</v>
      </c>
      <c r="V11" s="3">
        <v>240</v>
      </c>
      <c r="W11" s="5">
        <v>7.5</v>
      </c>
      <c r="X11" s="3">
        <v>12</v>
      </c>
      <c r="Y11" s="3">
        <v>21</v>
      </c>
      <c r="Z11" s="3">
        <v>7760</v>
      </c>
      <c r="AA11" s="3">
        <v>675</v>
      </c>
      <c r="AB11" s="5">
        <v>10.1</v>
      </c>
      <c r="AC11" s="3">
        <v>2770</v>
      </c>
      <c r="AD11" s="3">
        <v>231</v>
      </c>
      <c r="AE11" s="3">
        <v>6</v>
      </c>
    </row>
    <row r="12" spans="1:31" ht="21" x14ac:dyDescent="0.2">
      <c r="A12" s="71" t="s">
        <v>47</v>
      </c>
      <c r="B12" s="72"/>
      <c r="C12" s="8">
        <f>IF(C11=B1,2.4,IF(C11=B2,2.8,3.6))</f>
        <v>3.6</v>
      </c>
      <c r="D12" s="8" t="s">
        <v>48</v>
      </c>
      <c r="F12" s="14" t="s">
        <v>8</v>
      </c>
      <c r="G12" s="11"/>
      <c r="H12" s="11"/>
      <c r="I12" s="11"/>
      <c r="J12" s="11"/>
      <c r="K12" s="11"/>
      <c r="L12" s="11"/>
      <c r="M12" s="11"/>
      <c r="N12" s="11"/>
      <c r="O12" s="11"/>
      <c r="R12" s="3">
        <v>260</v>
      </c>
      <c r="S12" s="5">
        <v>86.8</v>
      </c>
      <c r="T12" s="5">
        <v>68.2</v>
      </c>
      <c r="U12" s="3">
        <v>250</v>
      </c>
      <c r="V12" s="3">
        <v>260</v>
      </c>
      <c r="W12" s="5">
        <v>7.5</v>
      </c>
      <c r="X12" s="5">
        <v>12.5</v>
      </c>
      <c r="Y12" s="3">
        <v>24</v>
      </c>
      <c r="Z12" s="3">
        <v>10450</v>
      </c>
      <c r="AA12" s="3">
        <v>836</v>
      </c>
      <c r="AB12" s="3">
        <v>11</v>
      </c>
      <c r="AC12" s="3">
        <v>3670</v>
      </c>
      <c r="AD12" s="3">
        <v>282</v>
      </c>
      <c r="AE12" s="5">
        <v>6.5</v>
      </c>
    </row>
    <row r="13" spans="1:31" ht="21" x14ac:dyDescent="0.2">
      <c r="A13" s="71" t="s">
        <v>49</v>
      </c>
      <c r="B13" s="72"/>
      <c r="C13" s="8">
        <f>IF(C11=B1,3.7,IF(C11=B2,4.4,5.2))</f>
        <v>5.2</v>
      </c>
      <c r="D13" s="8" t="s">
        <v>48</v>
      </c>
      <c r="F13" s="9" t="s">
        <v>54</v>
      </c>
      <c r="G13" s="6">
        <f>(C19-2*C22-2*C23)/C21</f>
        <v>26.1</v>
      </c>
      <c r="H13" s="83" t="str">
        <f>IF(G13&lt;=(127/SQRT(C12)),D1,IF(AND(G13&gt;(127/SQRT(C12)),G13&lt;=(222/SQRT(C12))),D2,D3))</f>
        <v>Compact</v>
      </c>
      <c r="I13" s="84"/>
      <c r="J13" s="86" t="s">
        <v>55</v>
      </c>
      <c r="K13" s="86" t="s">
        <v>56</v>
      </c>
      <c r="L13" s="86"/>
      <c r="M13" s="82" t="str">
        <f>IF(AND(H13=D1,H14=D1),D1,IF(AND(H13=D1,H14=D2),D2,IF(AND(H13=D2,H14=D1),D2,D3)))</f>
        <v>Compact</v>
      </c>
      <c r="N13" s="82"/>
      <c r="O13" s="11"/>
      <c r="R13" s="3">
        <v>280</v>
      </c>
      <c r="S13" s="5">
        <v>97.3</v>
      </c>
      <c r="T13" s="5">
        <v>76.400000000000006</v>
      </c>
      <c r="U13" s="3">
        <v>270</v>
      </c>
      <c r="V13" s="3">
        <v>280</v>
      </c>
      <c r="W13" s="3">
        <v>8</v>
      </c>
      <c r="X13" s="3">
        <v>13</v>
      </c>
      <c r="Y13" s="3">
        <v>24</v>
      </c>
      <c r="Z13" s="3">
        <v>13670</v>
      </c>
      <c r="AA13" s="3">
        <v>1010</v>
      </c>
      <c r="AB13" s="5">
        <v>11.9</v>
      </c>
      <c r="AC13" s="3">
        <v>4760</v>
      </c>
      <c r="AD13" s="3">
        <v>340</v>
      </c>
      <c r="AE13" s="3">
        <v>7</v>
      </c>
    </row>
    <row r="14" spans="1:31" ht="21" x14ac:dyDescent="0.2">
      <c r="A14" s="79" t="s">
        <v>81</v>
      </c>
      <c r="B14" s="79"/>
      <c r="C14" s="7">
        <v>1500</v>
      </c>
      <c r="D14" s="8" t="s">
        <v>0</v>
      </c>
      <c r="F14" s="9" t="s">
        <v>57</v>
      </c>
      <c r="G14" s="6">
        <f>(C20-C21-2*C23)/(2*C22)</f>
        <v>6.7428571428571429</v>
      </c>
      <c r="H14" s="83" t="str">
        <f>IF(G14&lt;=(16.9/SQRT(C12)),D1,IF(AND(G14&gt;(16.9/SQRT(C12)),G14&lt;=(33/SQRT(C12))),D2,D3))</f>
        <v>Compact</v>
      </c>
      <c r="I14" s="84"/>
      <c r="J14" s="86"/>
      <c r="K14" s="86"/>
      <c r="L14" s="86"/>
      <c r="M14" s="82"/>
      <c r="N14" s="82"/>
      <c r="O14" s="11"/>
      <c r="R14" s="3">
        <v>300</v>
      </c>
      <c r="S14" s="3">
        <v>112</v>
      </c>
      <c r="T14" s="5">
        <v>88.3</v>
      </c>
      <c r="U14" s="3">
        <v>290</v>
      </c>
      <c r="V14" s="3">
        <v>300</v>
      </c>
      <c r="W14" s="5">
        <v>8.5</v>
      </c>
      <c r="X14" s="3">
        <v>14</v>
      </c>
      <c r="Y14" s="3">
        <v>27</v>
      </c>
      <c r="Z14" s="3">
        <v>18260</v>
      </c>
      <c r="AA14" s="3">
        <v>1260</v>
      </c>
      <c r="AB14" s="5">
        <v>12.7</v>
      </c>
      <c r="AC14" s="3">
        <v>6310</v>
      </c>
      <c r="AD14" s="3">
        <v>421</v>
      </c>
      <c r="AE14" s="4">
        <v>7.49</v>
      </c>
    </row>
    <row r="15" spans="1:31" x14ac:dyDescent="0.2">
      <c r="A15" s="79" t="s">
        <v>46</v>
      </c>
      <c r="B15" s="79"/>
      <c r="C15" s="7">
        <v>10</v>
      </c>
      <c r="D15" s="8" t="s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R15" s="3">
        <v>320</v>
      </c>
      <c r="S15" s="3">
        <v>124</v>
      </c>
      <c r="T15" s="5">
        <v>97.6</v>
      </c>
      <c r="U15" s="3">
        <v>310</v>
      </c>
      <c r="V15" s="3">
        <v>300</v>
      </c>
      <c r="W15" s="3">
        <v>9</v>
      </c>
      <c r="X15" s="5">
        <v>15.5</v>
      </c>
      <c r="Y15" s="3">
        <v>27</v>
      </c>
      <c r="Z15" s="3">
        <v>22930</v>
      </c>
      <c r="AA15" s="3">
        <v>1480</v>
      </c>
      <c r="AB15" s="5">
        <v>13.6</v>
      </c>
      <c r="AC15" s="3">
        <v>6990</v>
      </c>
      <c r="AD15" s="3">
        <v>466</v>
      </c>
      <c r="AE15" s="4">
        <v>7.49</v>
      </c>
    </row>
    <row r="16" spans="1:31" ht="21" x14ac:dyDescent="0.2">
      <c r="A16" s="79" t="s">
        <v>82</v>
      </c>
      <c r="B16" s="79"/>
      <c r="C16" s="7">
        <v>10</v>
      </c>
      <c r="D16" s="8" t="s">
        <v>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R16" s="3">
        <v>340</v>
      </c>
      <c r="S16" s="3">
        <v>133</v>
      </c>
      <c r="T16" s="3">
        <v>105</v>
      </c>
      <c r="U16" s="3">
        <v>330</v>
      </c>
      <c r="V16" s="3">
        <v>300</v>
      </c>
      <c r="W16" s="5">
        <v>9.5</v>
      </c>
      <c r="X16" s="5">
        <v>16.5</v>
      </c>
      <c r="Y16" s="3">
        <v>27</v>
      </c>
      <c r="Z16" s="3">
        <v>27690</v>
      </c>
      <c r="AA16" s="3">
        <v>1680</v>
      </c>
      <c r="AB16" s="5">
        <v>14.4</v>
      </c>
      <c r="AC16" s="3">
        <v>7440</v>
      </c>
      <c r="AD16" s="3">
        <v>496</v>
      </c>
      <c r="AE16" s="4">
        <v>7.46</v>
      </c>
    </row>
    <row r="17" spans="1:31" ht="21" x14ac:dyDescent="0.2">
      <c r="A17" s="71" t="s">
        <v>50</v>
      </c>
      <c r="B17" s="72"/>
      <c r="C17" s="7">
        <v>200</v>
      </c>
      <c r="D17" s="8" t="s">
        <v>2</v>
      </c>
      <c r="F17" s="10" t="s">
        <v>9</v>
      </c>
      <c r="G17" s="11"/>
      <c r="H17" s="11"/>
      <c r="I17" s="11"/>
      <c r="J17" s="9" t="s">
        <v>58</v>
      </c>
      <c r="K17" s="11"/>
      <c r="L17" s="11"/>
      <c r="M17" s="9" t="s">
        <v>62</v>
      </c>
      <c r="N17" s="6">
        <f>C12*C28</f>
        <v>7061.5124999999998</v>
      </c>
      <c r="O17" s="6" t="s">
        <v>0</v>
      </c>
      <c r="R17" s="3">
        <v>360</v>
      </c>
      <c r="S17" s="3">
        <v>143</v>
      </c>
      <c r="T17" s="3">
        <v>112</v>
      </c>
      <c r="U17" s="3">
        <v>350</v>
      </c>
      <c r="V17" s="3">
        <v>300</v>
      </c>
      <c r="W17" s="3">
        <v>10</v>
      </c>
      <c r="X17" s="5">
        <v>17.5</v>
      </c>
      <c r="Y17" s="3">
        <v>27</v>
      </c>
      <c r="Z17" s="3">
        <v>33090</v>
      </c>
      <c r="AA17" s="3">
        <v>1890</v>
      </c>
      <c r="AB17" s="5">
        <v>15.2</v>
      </c>
      <c r="AC17" s="3">
        <v>7890</v>
      </c>
      <c r="AD17" s="3">
        <v>526</v>
      </c>
      <c r="AE17" s="4">
        <v>7.43</v>
      </c>
    </row>
    <row r="18" spans="1:31" ht="21" x14ac:dyDescent="0.2">
      <c r="A18" s="71" t="s">
        <v>51</v>
      </c>
      <c r="B18" s="72"/>
      <c r="C18" s="88">
        <v>360</v>
      </c>
      <c r="D18" s="89"/>
      <c r="F18" s="9" t="s">
        <v>60</v>
      </c>
      <c r="G18" s="9" t="s">
        <v>55</v>
      </c>
      <c r="H18" s="9" t="s">
        <v>61</v>
      </c>
      <c r="I18" s="6"/>
      <c r="J18" s="6"/>
      <c r="K18" s="6" t="s">
        <v>0</v>
      </c>
      <c r="L18" s="11"/>
      <c r="M18" s="11"/>
      <c r="N18" s="11"/>
      <c r="O18" s="11"/>
      <c r="R18" s="3">
        <v>400</v>
      </c>
      <c r="S18" s="3">
        <v>159</v>
      </c>
      <c r="T18" s="3">
        <v>125</v>
      </c>
      <c r="U18" s="3">
        <v>390</v>
      </c>
      <c r="V18" s="3">
        <v>300</v>
      </c>
      <c r="W18" s="3">
        <v>11</v>
      </c>
      <c r="X18" s="3">
        <v>19</v>
      </c>
      <c r="Y18" s="3">
        <v>27</v>
      </c>
      <c r="Z18" s="3">
        <v>45070</v>
      </c>
      <c r="AA18" s="3">
        <v>2310</v>
      </c>
      <c r="AB18" s="5">
        <v>16.8</v>
      </c>
      <c r="AC18" s="3">
        <v>8560</v>
      </c>
      <c r="AD18" s="3">
        <v>571</v>
      </c>
      <c r="AE18" s="4">
        <v>7.34</v>
      </c>
    </row>
    <row r="19" spans="1:31" ht="21" x14ac:dyDescent="0.2">
      <c r="A19" s="71" t="s">
        <v>29</v>
      </c>
      <c r="B19" s="72"/>
      <c r="C19" s="8">
        <f>VLOOKUP(C18,table3,4,FALSE)</f>
        <v>350</v>
      </c>
      <c r="D19" s="13" t="s">
        <v>53</v>
      </c>
      <c r="F19" s="9" t="s">
        <v>65</v>
      </c>
      <c r="G19" s="9" t="s">
        <v>55</v>
      </c>
      <c r="H19" s="9" t="s">
        <v>61</v>
      </c>
      <c r="I19" s="6"/>
      <c r="J19" s="6"/>
      <c r="K19" s="6" t="s">
        <v>0</v>
      </c>
      <c r="L19" s="6" t="s">
        <v>55</v>
      </c>
      <c r="M19" s="9" t="s">
        <v>66</v>
      </c>
      <c r="N19" s="12"/>
      <c r="O19" s="6" t="s">
        <v>0</v>
      </c>
      <c r="R19" s="3">
        <v>450</v>
      </c>
      <c r="S19" s="3">
        <v>178</v>
      </c>
      <c r="T19" s="3">
        <v>140</v>
      </c>
      <c r="U19" s="3">
        <v>440</v>
      </c>
      <c r="V19" s="3">
        <v>300</v>
      </c>
      <c r="W19" s="5">
        <v>11.5</v>
      </c>
      <c r="X19" s="3">
        <v>21</v>
      </c>
      <c r="Y19" s="3">
        <v>27</v>
      </c>
      <c r="Z19" s="3">
        <v>63720</v>
      </c>
      <c r="AA19" s="3">
        <v>2900</v>
      </c>
      <c r="AB19" s="5">
        <v>18.899999999999999</v>
      </c>
      <c r="AC19" s="3">
        <v>9470</v>
      </c>
      <c r="AD19" s="3">
        <v>631</v>
      </c>
      <c r="AE19" s="4">
        <v>7.29</v>
      </c>
    </row>
    <row r="20" spans="1:31" ht="21" x14ac:dyDescent="0.2">
      <c r="A20" s="71" t="s">
        <v>30</v>
      </c>
      <c r="B20" s="72"/>
      <c r="C20" s="8">
        <f>VLOOKUP(C18,table3,5,FALSE)</f>
        <v>300</v>
      </c>
      <c r="D20" s="13" t="s">
        <v>53</v>
      </c>
      <c r="F20" s="9" t="s">
        <v>68</v>
      </c>
      <c r="G20" s="9" t="s">
        <v>55</v>
      </c>
      <c r="H20" s="9" t="s">
        <v>61</v>
      </c>
      <c r="I20" s="6"/>
      <c r="J20" s="6"/>
      <c r="K20" s="6" t="s">
        <v>0</v>
      </c>
      <c r="L20" s="11"/>
      <c r="M20" s="11"/>
      <c r="N20" s="11"/>
      <c r="O20" s="11"/>
      <c r="R20" s="3">
        <v>500</v>
      </c>
      <c r="S20" s="3">
        <v>198</v>
      </c>
      <c r="T20" s="3">
        <v>155</v>
      </c>
      <c r="U20" s="3">
        <v>490</v>
      </c>
      <c r="V20" s="3">
        <v>300</v>
      </c>
      <c r="W20" s="3">
        <v>12</v>
      </c>
      <c r="X20" s="3">
        <v>23</v>
      </c>
      <c r="Y20" s="3">
        <v>27</v>
      </c>
      <c r="Z20" s="3">
        <v>86970</v>
      </c>
      <c r="AA20" s="3">
        <v>3550</v>
      </c>
      <c r="AB20" s="3">
        <v>21</v>
      </c>
      <c r="AC20" s="3">
        <v>10370</v>
      </c>
      <c r="AD20" s="3">
        <v>691</v>
      </c>
      <c r="AE20" s="4">
        <v>7.24</v>
      </c>
    </row>
    <row r="21" spans="1:31" x14ac:dyDescent="0.2">
      <c r="A21" s="71" t="s">
        <v>31</v>
      </c>
      <c r="B21" s="72"/>
      <c r="C21" s="8">
        <f>VLOOKUP(C18,table3,6,FALSE)</f>
        <v>10</v>
      </c>
      <c r="D21" s="13" t="s">
        <v>53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R21" s="3">
        <v>550</v>
      </c>
      <c r="S21" s="3">
        <v>212</v>
      </c>
      <c r="T21" s="3">
        <v>166</v>
      </c>
      <c r="U21" s="3">
        <v>540</v>
      </c>
      <c r="V21" s="3">
        <v>300</v>
      </c>
      <c r="W21" s="5">
        <v>12.5</v>
      </c>
      <c r="X21" s="3">
        <v>24</v>
      </c>
      <c r="Y21" s="3">
        <v>27</v>
      </c>
      <c r="Z21" s="3">
        <v>111900</v>
      </c>
      <c r="AA21" s="3">
        <v>4150</v>
      </c>
      <c r="AB21" s="3">
        <v>23</v>
      </c>
      <c r="AC21" s="3">
        <v>10820</v>
      </c>
      <c r="AD21" s="3">
        <v>721</v>
      </c>
      <c r="AE21" s="4">
        <v>7.15</v>
      </c>
    </row>
    <row r="22" spans="1:31" x14ac:dyDescent="0.2">
      <c r="A22" s="71" t="s">
        <v>33</v>
      </c>
      <c r="B22" s="72"/>
      <c r="C22" s="8">
        <f>VLOOKUP(C18,table3,7,FALSE)</f>
        <v>17.5</v>
      </c>
      <c r="D22" s="13" t="s">
        <v>53</v>
      </c>
      <c r="F22" s="10" t="s">
        <v>10</v>
      </c>
      <c r="G22" s="11"/>
      <c r="H22" s="11"/>
      <c r="I22" s="11"/>
      <c r="J22" s="11"/>
      <c r="K22" s="11"/>
      <c r="L22" s="11"/>
      <c r="M22" s="11"/>
      <c r="N22" s="11"/>
      <c r="O22" s="11"/>
      <c r="R22" s="3">
        <v>600</v>
      </c>
      <c r="S22" s="3">
        <v>226</v>
      </c>
      <c r="T22" s="3">
        <v>178</v>
      </c>
      <c r="U22" s="3">
        <v>590</v>
      </c>
      <c r="V22" s="3">
        <v>300</v>
      </c>
      <c r="W22" s="3">
        <v>13</v>
      </c>
      <c r="X22" s="3">
        <v>25</v>
      </c>
      <c r="Y22" s="3">
        <v>27</v>
      </c>
      <c r="Z22" s="3">
        <v>141200</v>
      </c>
      <c r="AA22" s="3">
        <v>4790</v>
      </c>
      <c r="AB22" s="3">
        <v>25</v>
      </c>
      <c r="AC22" s="3">
        <v>11270</v>
      </c>
      <c r="AD22" s="3">
        <v>751</v>
      </c>
      <c r="AE22" s="4">
        <v>7.05</v>
      </c>
    </row>
    <row r="23" spans="1:31" ht="21" x14ac:dyDescent="0.2">
      <c r="A23" s="71" t="s">
        <v>32</v>
      </c>
      <c r="B23" s="72"/>
      <c r="C23" s="8">
        <f>VLOOKUP(C18,table3,8,FALSE)</f>
        <v>27</v>
      </c>
      <c r="D23" s="13" t="s">
        <v>53</v>
      </c>
      <c r="F23" s="9" t="s">
        <v>73</v>
      </c>
      <c r="G23" s="6"/>
      <c r="H23" s="6"/>
      <c r="I23" s="11"/>
      <c r="J23" s="11"/>
      <c r="K23" s="11"/>
      <c r="L23" s="11"/>
      <c r="M23" s="11"/>
      <c r="N23" s="11"/>
      <c r="O23" s="11"/>
      <c r="R23" s="3">
        <v>650</v>
      </c>
      <c r="S23" s="3">
        <v>242</v>
      </c>
      <c r="T23" s="3">
        <v>190</v>
      </c>
      <c r="U23" s="3">
        <v>640</v>
      </c>
      <c r="V23" s="3">
        <v>300</v>
      </c>
      <c r="W23" s="5">
        <v>13.5</v>
      </c>
      <c r="X23" s="3">
        <v>26</v>
      </c>
      <c r="Y23" s="3">
        <v>27</v>
      </c>
      <c r="Z23" s="3">
        <v>175200</v>
      </c>
      <c r="AA23" s="3">
        <v>5470</v>
      </c>
      <c r="AB23" s="5">
        <v>26.9</v>
      </c>
      <c r="AC23" s="3">
        <v>11720</v>
      </c>
      <c r="AD23" s="3">
        <v>782</v>
      </c>
      <c r="AE23" s="4">
        <v>6.96</v>
      </c>
    </row>
    <row r="24" spans="1:31" ht="21" x14ac:dyDescent="0.2">
      <c r="A24" s="71" t="s">
        <v>21</v>
      </c>
      <c r="B24" s="72"/>
      <c r="C24" s="8">
        <f>VLOOKUP(C18,table3,2,FALSE)</f>
        <v>143</v>
      </c>
      <c r="D24" s="8" t="s">
        <v>59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R24" s="3">
        <v>700</v>
      </c>
      <c r="S24" s="3">
        <v>260</v>
      </c>
      <c r="T24" s="3">
        <v>204</v>
      </c>
      <c r="U24" s="3">
        <v>690</v>
      </c>
      <c r="V24" s="3">
        <v>300</v>
      </c>
      <c r="W24" s="5">
        <v>14.5</v>
      </c>
      <c r="X24" s="3">
        <v>27</v>
      </c>
      <c r="Y24" s="3">
        <v>27</v>
      </c>
      <c r="Z24" s="3">
        <v>215300</v>
      </c>
      <c r="AA24" s="3">
        <v>6240</v>
      </c>
      <c r="AB24" s="5">
        <v>28.8</v>
      </c>
      <c r="AC24" s="3">
        <v>12180</v>
      </c>
      <c r="AD24" s="3">
        <v>812</v>
      </c>
      <c r="AE24" s="4">
        <v>6.84</v>
      </c>
    </row>
    <row r="25" spans="1:31" ht="21" x14ac:dyDescent="0.2">
      <c r="A25" s="71" t="s">
        <v>63</v>
      </c>
      <c r="B25" s="72"/>
      <c r="C25" s="8">
        <f>VLOOKUP(C18,table3,9,FALSE)</f>
        <v>33090</v>
      </c>
      <c r="D25" s="8" t="s">
        <v>64</v>
      </c>
      <c r="F25" s="10" t="s">
        <v>11</v>
      </c>
      <c r="G25" s="11"/>
      <c r="H25" s="11"/>
      <c r="I25" s="11"/>
      <c r="J25" s="11"/>
      <c r="K25" s="11"/>
      <c r="L25" s="11"/>
      <c r="M25" s="11"/>
      <c r="N25" s="11"/>
      <c r="O25" s="11"/>
      <c r="R25" s="3">
        <v>800</v>
      </c>
      <c r="S25" s="3">
        <v>286</v>
      </c>
      <c r="T25" s="3">
        <v>224</v>
      </c>
      <c r="U25" s="3">
        <v>790</v>
      </c>
      <c r="V25" s="3">
        <v>300</v>
      </c>
      <c r="W25" s="3">
        <v>15</v>
      </c>
      <c r="X25" s="3">
        <v>28</v>
      </c>
      <c r="Y25" s="3">
        <v>30</v>
      </c>
      <c r="Z25" s="3">
        <v>303400</v>
      </c>
      <c r="AA25" s="3">
        <v>7680</v>
      </c>
      <c r="AB25" s="5">
        <v>32.6</v>
      </c>
      <c r="AC25" s="3">
        <v>12640</v>
      </c>
      <c r="AD25" s="3">
        <v>843</v>
      </c>
      <c r="AE25" s="4">
        <v>6.65</v>
      </c>
    </row>
    <row r="26" spans="1:31" ht="21" x14ac:dyDescent="0.2">
      <c r="A26" s="71" t="s">
        <v>67</v>
      </c>
      <c r="B26" s="72"/>
      <c r="C26" s="8">
        <f>VLOOKUP(C18,table3,12,FALSE)</f>
        <v>7890</v>
      </c>
      <c r="D26" s="8" t="s">
        <v>64</v>
      </c>
      <c r="F26" s="9" t="s">
        <v>74</v>
      </c>
      <c r="G26" s="6"/>
      <c r="H26" s="6"/>
      <c r="I26" s="11"/>
      <c r="J26" s="11"/>
      <c r="K26" s="11"/>
      <c r="L26" s="11"/>
      <c r="M26" s="11"/>
      <c r="N26" s="11"/>
      <c r="O26" s="11"/>
      <c r="R26" s="3">
        <v>900</v>
      </c>
      <c r="S26" s="3">
        <v>320</v>
      </c>
      <c r="T26" s="3">
        <v>252</v>
      </c>
      <c r="U26" s="3">
        <v>890</v>
      </c>
      <c r="V26" s="3">
        <v>300</v>
      </c>
      <c r="W26" s="3">
        <v>16</v>
      </c>
      <c r="X26" s="3">
        <v>30</v>
      </c>
      <c r="Y26" s="3">
        <v>30</v>
      </c>
      <c r="Z26" s="3">
        <v>422100</v>
      </c>
      <c r="AA26" s="3">
        <v>9480</v>
      </c>
      <c r="AB26" s="5">
        <v>36.299999999999997</v>
      </c>
      <c r="AC26" s="3">
        <v>13550</v>
      </c>
      <c r="AD26" s="3">
        <v>903</v>
      </c>
      <c r="AE26" s="5">
        <v>6.5</v>
      </c>
    </row>
    <row r="27" spans="1:31" ht="21" x14ac:dyDescent="0.2">
      <c r="A27" s="71" t="s">
        <v>69</v>
      </c>
      <c r="B27" s="72"/>
      <c r="C27" s="8">
        <f>VLOOKUP(C18,table3,10,FALSE)</f>
        <v>1890</v>
      </c>
      <c r="D27" s="8" t="s">
        <v>70</v>
      </c>
      <c r="R27" s="3">
        <v>1000</v>
      </c>
      <c r="S27" s="3">
        <v>347</v>
      </c>
      <c r="T27" s="3">
        <v>272</v>
      </c>
      <c r="U27" s="3">
        <v>990</v>
      </c>
      <c r="V27" s="3">
        <v>300</v>
      </c>
      <c r="W27" s="5">
        <v>16.5</v>
      </c>
      <c r="X27" s="3">
        <v>31</v>
      </c>
      <c r="Y27" s="3">
        <v>30</v>
      </c>
      <c r="Z27" s="3">
        <v>553800</v>
      </c>
      <c r="AA27" s="3">
        <v>11190</v>
      </c>
      <c r="AB27" s="3">
        <v>40</v>
      </c>
      <c r="AC27" s="3">
        <v>14000</v>
      </c>
      <c r="AD27" s="3">
        <v>934</v>
      </c>
      <c r="AE27" s="4">
        <v>6.35</v>
      </c>
    </row>
    <row r="28" spans="1:31" ht="21" x14ac:dyDescent="0.2">
      <c r="A28" s="71" t="s">
        <v>71</v>
      </c>
      <c r="B28" s="72"/>
      <c r="C28" s="8">
        <f>2*((C20/10)*(C22/10)*0.5*(C19/10))+((0.5*(C19/10)-(C22/10))*(C21/10)*0.5*(0.5*(C19/10)-(C22/10)))</f>
        <v>1961.53125</v>
      </c>
      <c r="D28" s="8" t="s">
        <v>70</v>
      </c>
    </row>
    <row r="29" spans="1:31" ht="21" x14ac:dyDescent="0.2">
      <c r="A29" s="71" t="s">
        <v>72</v>
      </c>
      <c r="B29" s="72"/>
      <c r="C29" s="8">
        <f>VLOOKUP(C18,table3,11,FALSE)</f>
        <v>15.2</v>
      </c>
      <c r="D29" s="8" t="s">
        <v>2</v>
      </c>
    </row>
    <row r="30" spans="1:31" ht="21" x14ac:dyDescent="0.2">
      <c r="A30" s="71" t="s">
        <v>75</v>
      </c>
      <c r="B30" s="72"/>
      <c r="C30" s="8">
        <f>VLOOKUP(C18,table3,14,FALSE)</f>
        <v>7.43</v>
      </c>
      <c r="D30" s="8" t="s">
        <v>2</v>
      </c>
    </row>
    <row r="31" spans="1:31" ht="21" x14ac:dyDescent="0.2">
      <c r="A31" s="71" t="s">
        <v>76</v>
      </c>
      <c r="B31" s="72"/>
      <c r="C31" s="8"/>
      <c r="D31" s="8" t="s">
        <v>2</v>
      </c>
    </row>
    <row r="32" spans="1:31" ht="21" x14ac:dyDescent="0.2">
      <c r="A32" s="71" t="s">
        <v>77</v>
      </c>
      <c r="B32" s="72"/>
      <c r="C32" s="8"/>
      <c r="D32" s="8" t="s">
        <v>2</v>
      </c>
    </row>
    <row r="33" spans="1:4" x14ac:dyDescent="0.2">
      <c r="A33" s="71" t="s">
        <v>78</v>
      </c>
      <c r="B33" s="72"/>
      <c r="C33" s="8"/>
      <c r="D33" s="8" t="s">
        <v>6</v>
      </c>
    </row>
    <row r="34" spans="1:4" ht="21" x14ac:dyDescent="0.2">
      <c r="A34" s="71" t="s">
        <v>79</v>
      </c>
      <c r="B34" s="72"/>
      <c r="C34" s="8"/>
      <c r="D34" s="8" t="s">
        <v>2</v>
      </c>
    </row>
  </sheetData>
  <mergeCells count="39">
    <mergeCell ref="A34:B34"/>
    <mergeCell ref="A28:B28"/>
    <mergeCell ref="A29:B29"/>
    <mergeCell ref="A30:B30"/>
    <mergeCell ref="A31:B31"/>
    <mergeCell ref="A32:B32"/>
    <mergeCell ref="A33:B33"/>
    <mergeCell ref="A27:B27"/>
    <mergeCell ref="A17:B17"/>
    <mergeCell ref="A18:B18"/>
    <mergeCell ref="C18:D18"/>
    <mergeCell ref="A19:B19"/>
    <mergeCell ref="A20:B20"/>
    <mergeCell ref="A21:B21"/>
    <mergeCell ref="A22:B22"/>
    <mergeCell ref="A23:B23"/>
    <mergeCell ref="A24:B24"/>
    <mergeCell ref="A25:B25"/>
    <mergeCell ref="A26:B26"/>
    <mergeCell ref="K13:L14"/>
    <mergeCell ref="M13:N14"/>
    <mergeCell ref="A14:B14"/>
    <mergeCell ref="H14:I14"/>
    <mergeCell ref="A15:B15"/>
    <mergeCell ref="H13:I13"/>
    <mergeCell ref="J13:J14"/>
    <mergeCell ref="A16:B16"/>
    <mergeCell ref="A11:B11"/>
    <mergeCell ref="C11:D11"/>
    <mergeCell ref="A12:B12"/>
    <mergeCell ref="A13:B13"/>
    <mergeCell ref="V1:W1"/>
    <mergeCell ref="U2:Y2"/>
    <mergeCell ref="Z2:AB2"/>
    <mergeCell ref="AC2:AE2"/>
    <mergeCell ref="A9:B10"/>
    <mergeCell ref="C9:C10"/>
    <mergeCell ref="D9:D10"/>
    <mergeCell ref="F9:F10"/>
  </mergeCells>
  <dataValidations count="2">
    <dataValidation type="list" allowBlank="1" showInputMessage="1" showErrorMessage="1" sqref="C18" xr:uid="{C3A22598-3668-4BE7-9548-96F807A9496E}">
      <formula1>$R$4:$R$27</formula1>
    </dataValidation>
    <dataValidation type="list" allowBlank="1" showInputMessage="1" showErrorMessage="1" sqref="C11" xr:uid="{7E8F82CB-A184-4005-B961-85C623F4B77E}">
      <formula1>$B$1:$B$3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3AF5-3D10-477C-BCA2-25A996C0A948}">
  <dimension ref="A1:AF29"/>
  <sheetViews>
    <sheetView workbookViewId="0">
      <selection activeCell="E16" sqref="E16"/>
    </sheetView>
  </sheetViews>
  <sheetFormatPr defaultRowHeight="18" x14ac:dyDescent="0.2"/>
  <cols>
    <col min="1" max="3" width="9" style="1"/>
    <col min="4" max="4" width="10.125" style="1" customWidth="1"/>
    <col min="5" max="5" width="9" style="1"/>
    <col min="6" max="6" width="18.25" style="1" customWidth="1"/>
    <col min="7" max="16384" width="9" style="1"/>
  </cols>
  <sheetData>
    <row r="1" spans="1:32" x14ac:dyDescent="0.2">
      <c r="B1" s="1">
        <v>37</v>
      </c>
      <c r="D1" s="1" t="s">
        <v>3</v>
      </c>
      <c r="W1" s="73" t="s">
        <v>85</v>
      </c>
      <c r="X1" s="73"/>
    </row>
    <row r="2" spans="1:32" x14ac:dyDescent="0.2">
      <c r="B2" s="1">
        <v>44</v>
      </c>
      <c r="D2" s="15" t="s">
        <v>4</v>
      </c>
      <c r="S2" s="2" t="s">
        <v>20</v>
      </c>
      <c r="T2" s="2" t="s">
        <v>21</v>
      </c>
      <c r="U2" s="2" t="s">
        <v>22</v>
      </c>
      <c r="V2" s="74" t="s">
        <v>23</v>
      </c>
      <c r="W2" s="74"/>
      <c r="X2" s="74"/>
      <c r="Y2" s="74"/>
      <c r="Z2" s="74"/>
      <c r="AA2" s="74" t="s">
        <v>24</v>
      </c>
      <c r="AB2" s="74"/>
      <c r="AC2" s="74"/>
      <c r="AD2" s="74" t="s">
        <v>25</v>
      </c>
      <c r="AE2" s="74"/>
      <c r="AF2" s="74"/>
    </row>
    <row r="3" spans="1:32" ht="42" x14ac:dyDescent="0.2">
      <c r="B3" s="1">
        <v>52</v>
      </c>
      <c r="D3" s="1" t="s">
        <v>5</v>
      </c>
      <c r="S3" s="2" t="s">
        <v>26</v>
      </c>
      <c r="T3" s="2" t="s">
        <v>27</v>
      </c>
      <c r="U3" s="2" t="s">
        <v>28</v>
      </c>
      <c r="V3" s="2" t="s">
        <v>29</v>
      </c>
      <c r="W3" s="2" t="s">
        <v>30</v>
      </c>
      <c r="X3" s="2" t="s">
        <v>31</v>
      </c>
      <c r="Y3" s="2" t="s">
        <v>33</v>
      </c>
      <c r="Z3" s="2" t="s">
        <v>32</v>
      </c>
      <c r="AA3" s="2" t="s">
        <v>36</v>
      </c>
      <c r="AB3" s="2" t="s">
        <v>37</v>
      </c>
      <c r="AC3" s="2" t="s">
        <v>38</v>
      </c>
      <c r="AD3" s="2" t="s">
        <v>39</v>
      </c>
      <c r="AE3" s="2" t="s">
        <v>40</v>
      </c>
      <c r="AF3" s="2" t="s">
        <v>41</v>
      </c>
    </row>
    <row r="4" spans="1:32" x14ac:dyDescent="0.2">
      <c r="S4" s="3">
        <v>100</v>
      </c>
      <c r="T4" s="5">
        <v>53.2</v>
      </c>
      <c r="U4" s="5">
        <v>41.8</v>
      </c>
      <c r="V4" s="3">
        <v>120</v>
      </c>
      <c r="W4" s="3">
        <v>106</v>
      </c>
      <c r="X4" s="3">
        <v>12</v>
      </c>
      <c r="Y4" s="3">
        <v>20</v>
      </c>
      <c r="Z4" s="3">
        <v>12</v>
      </c>
      <c r="AA4" s="3">
        <v>1140</v>
      </c>
      <c r="AB4" s="3">
        <v>190</v>
      </c>
      <c r="AC4" s="4">
        <v>4.63</v>
      </c>
      <c r="AD4" s="3">
        <v>399</v>
      </c>
      <c r="AE4" s="5">
        <v>75.3</v>
      </c>
      <c r="AF4" s="4">
        <v>2.74</v>
      </c>
    </row>
    <row r="5" spans="1:32" x14ac:dyDescent="0.2">
      <c r="S5" s="3">
        <v>120</v>
      </c>
      <c r="T5" s="5">
        <v>66.400000000000006</v>
      </c>
      <c r="U5" s="5">
        <v>52.1</v>
      </c>
      <c r="V5" s="3">
        <v>140</v>
      </c>
      <c r="W5" s="3">
        <v>126</v>
      </c>
      <c r="X5" s="5">
        <v>12.5</v>
      </c>
      <c r="Y5" s="3">
        <v>21</v>
      </c>
      <c r="Z5" s="3">
        <v>12</v>
      </c>
      <c r="AA5" s="3">
        <v>2020</v>
      </c>
      <c r="AB5" s="3">
        <v>288</v>
      </c>
      <c r="AC5" s="4">
        <v>5.51</v>
      </c>
      <c r="AD5" s="3">
        <v>703</v>
      </c>
      <c r="AE5" s="3">
        <v>112</v>
      </c>
      <c r="AF5" s="4">
        <v>3.25</v>
      </c>
    </row>
    <row r="6" spans="1:32" x14ac:dyDescent="0.2">
      <c r="S6" s="3">
        <v>140</v>
      </c>
      <c r="T6" s="5">
        <v>80.599999999999994</v>
      </c>
      <c r="U6" s="5">
        <v>63.2</v>
      </c>
      <c r="V6" s="3">
        <v>160</v>
      </c>
      <c r="W6" s="3">
        <v>146</v>
      </c>
      <c r="X6" s="3">
        <v>13</v>
      </c>
      <c r="Y6" s="3">
        <v>22</v>
      </c>
      <c r="Z6" s="3">
        <v>12</v>
      </c>
      <c r="AA6" s="3">
        <v>3290</v>
      </c>
      <c r="AB6" s="3">
        <v>411</v>
      </c>
      <c r="AC6" s="4">
        <v>6.39</v>
      </c>
      <c r="AD6" s="3">
        <v>1140</v>
      </c>
      <c r="AE6" s="3">
        <v>157</v>
      </c>
      <c r="AF6" s="4">
        <v>3.77</v>
      </c>
    </row>
    <row r="7" spans="1:32" x14ac:dyDescent="0.2">
      <c r="S7" s="3">
        <v>160</v>
      </c>
      <c r="T7" s="5">
        <v>97.1</v>
      </c>
      <c r="U7" s="5">
        <v>76.2</v>
      </c>
      <c r="V7" s="3">
        <v>180</v>
      </c>
      <c r="W7" s="3">
        <v>166</v>
      </c>
      <c r="X7" s="3">
        <v>14</v>
      </c>
      <c r="Y7" s="3">
        <v>23</v>
      </c>
      <c r="Z7" s="3">
        <v>15</v>
      </c>
      <c r="AA7" s="3">
        <v>5100</v>
      </c>
      <c r="AB7" s="3">
        <v>566</v>
      </c>
      <c r="AC7" s="4">
        <v>7.25</v>
      </c>
      <c r="AD7" s="3">
        <v>1760</v>
      </c>
      <c r="AE7" s="3">
        <v>212</v>
      </c>
      <c r="AF7" s="4">
        <v>4.26</v>
      </c>
    </row>
    <row r="8" spans="1:32" x14ac:dyDescent="0.2">
      <c r="S8" s="3">
        <v>180</v>
      </c>
      <c r="T8" s="3">
        <v>113</v>
      </c>
      <c r="U8" s="5">
        <v>88.9</v>
      </c>
      <c r="V8" s="3">
        <v>200</v>
      </c>
      <c r="W8" s="3">
        <v>186</v>
      </c>
      <c r="X8" s="5">
        <v>14.5</v>
      </c>
      <c r="Y8" s="3">
        <v>24</v>
      </c>
      <c r="Z8" s="3">
        <v>15</v>
      </c>
      <c r="AA8" s="3">
        <v>7480</v>
      </c>
      <c r="AB8" s="3">
        <v>748</v>
      </c>
      <c r="AC8" s="4">
        <v>8.1300000000000008</v>
      </c>
      <c r="AD8" s="3">
        <v>2580</v>
      </c>
      <c r="AE8" s="3">
        <v>277</v>
      </c>
      <c r="AF8" s="4">
        <v>4.7699999999999996</v>
      </c>
    </row>
    <row r="9" spans="1:32" x14ac:dyDescent="0.2">
      <c r="A9" s="90" t="s">
        <v>42</v>
      </c>
      <c r="B9" s="90"/>
      <c r="C9" s="91" t="s">
        <v>43</v>
      </c>
      <c r="D9" s="92" t="s">
        <v>44</v>
      </c>
      <c r="F9" s="85" t="s">
        <v>7</v>
      </c>
      <c r="G9" s="11"/>
      <c r="H9" s="11"/>
      <c r="I9" s="11"/>
      <c r="J9" s="11"/>
      <c r="K9" s="11"/>
      <c r="L9" s="11"/>
      <c r="M9" s="11"/>
      <c r="N9" s="11"/>
      <c r="O9" s="11"/>
      <c r="S9" s="3">
        <v>200</v>
      </c>
      <c r="T9" s="3">
        <v>131</v>
      </c>
      <c r="U9" s="3">
        <v>103</v>
      </c>
      <c r="V9" s="3">
        <v>220</v>
      </c>
      <c r="W9" s="3">
        <v>206</v>
      </c>
      <c r="X9" s="3">
        <v>15</v>
      </c>
      <c r="Y9" s="3">
        <v>25</v>
      </c>
      <c r="Z9" s="3">
        <v>18</v>
      </c>
      <c r="AA9" s="3">
        <v>10640</v>
      </c>
      <c r="AB9" s="3">
        <v>967</v>
      </c>
      <c r="AC9" s="3">
        <v>9</v>
      </c>
      <c r="AD9" s="3">
        <v>3650</v>
      </c>
      <c r="AE9" s="3">
        <v>354</v>
      </c>
      <c r="AF9" s="4">
        <v>5.27</v>
      </c>
    </row>
    <row r="10" spans="1:32" x14ac:dyDescent="0.2">
      <c r="A10" s="90"/>
      <c r="B10" s="90"/>
      <c r="C10" s="91"/>
      <c r="D10" s="93"/>
      <c r="F10" s="85"/>
      <c r="G10" s="11"/>
      <c r="H10" s="11"/>
      <c r="I10" s="11"/>
      <c r="J10" s="11"/>
      <c r="K10" s="11"/>
      <c r="L10" s="11"/>
      <c r="M10" s="11"/>
      <c r="N10" s="11"/>
      <c r="O10" s="11"/>
      <c r="S10" s="3">
        <v>220</v>
      </c>
      <c r="T10" s="3">
        <v>149</v>
      </c>
      <c r="U10" s="3">
        <v>117</v>
      </c>
      <c r="V10" s="3">
        <v>240</v>
      </c>
      <c r="W10" s="3">
        <v>226</v>
      </c>
      <c r="X10" s="5">
        <v>15.5</v>
      </c>
      <c r="Y10" s="3">
        <v>26</v>
      </c>
      <c r="Z10" s="3">
        <v>18</v>
      </c>
      <c r="AA10" s="3">
        <v>14600</v>
      </c>
      <c r="AB10" s="3">
        <v>1220</v>
      </c>
      <c r="AC10" s="4">
        <v>9.89</v>
      </c>
      <c r="AD10" s="3">
        <v>5010</v>
      </c>
      <c r="AE10" s="3">
        <v>444</v>
      </c>
      <c r="AF10" s="4">
        <v>5.79</v>
      </c>
    </row>
    <row r="11" spans="1:32" x14ac:dyDescent="0.2">
      <c r="A11" s="94" t="s">
        <v>45</v>
      </c>
      <c r="B11" s="95"/>
      <c r="C11" s="88">
        <v>52</v>
      </c>
      <c r="D11" s="89"/>
      <c r="F11" s="11"/>
      <c r="G11" s="11"/>
      <c r="H11" s="11"/>
      <c r="I11" s="11"/>
      <c r="J11" s="11"/>
      <c r="K11" s="11"/>
      <c r="L11" s="11"/>
      <c r="M11" s="11"/>
      <c r="N11" s="11"/>
      <c r="O11" s="11"/>
      <c r="S11" s="3">
        <v>240</v>
      </c>
      <c r="T11" s="3">
        <v>200</v>
      </c>
      <c r="U11" s="3">
        <v>157</v>
      </c>
      <c r="V11" s="3">
        <v>270</v>
      </c>
      <c r="W11" s="3">
        <v>248</v>
      </c>
      <c r="X11" s="3">
        <v>18</v>
      </c>
      <c r="Y11" s="3">
        <v>32</v>
      </c>
      <c r="Z11" s="3">
        <v>21</v>
      </c>
      <c r="AA11" s="3">
        <v>24290</v>
      </c>
      <c r="AB11" s="3">
        <v>1800</v>
      </c>
      <c r="AC11" s="3">
        <v>11</v>
      </c>
      <c r="AD11" s="3">
        <v>8150</v>
      </c>
      <c r="AE11" s="3">
        <v>657</v>
      </c>
      <c r="AF11" s="4">
        <v>6.39</v>
      </c>
    </row>
    <row r="12" spans="1:32" ht="21" x14ac:dyDescent="0.2">
      <c r="A12" s="94" t="s">
        <v>47</v>
      </c>
      <c r="B12" s="95"/>
      <c r="C12" s="8">
        <f>IF(C11=B1,2.4,IF(C11=B2,2.8,3.6))</f>
        <v>3.6</v>
      </c>
      <c r="D12" s="8" t="s">
        <v>48</v>
      </c>
      <c r="F12" s="14" t="s">
        <v>8</v>
      </c>
      <c r="G12" s="11"/>
      <c r="H12" s="11"/>
      <c r="I12" s="11"/>
      <c r="J12" s="11"/>
      <c r="K12" s="11"/>
      <c r="L12" s="11"/>
      <c r="M12" s="11"/>
      <c r="N12" s="11"/>
      <c r="O12" s="11"/>
      <c r="S12" s="3">
        <v>260</v>
      </c>
      <c r="T12" s="3">
        <v>220</v>
      </c>
      <c r="U12" s="3">
        <v>172</v>
      </c>
      <c r="V12" s="3">
        <v>290</v>
      </c>
      <c r="W12" s="3">
        <v>268</v>
      </c>
      <c r="X12" s="3">
        <v>18</v>
      </c>
      <c r="Y12" s="3">
        <v>33</v>
      </c>
      <c r="Z12" s="3">
        <v>24</v>
      </c>
      <c r="AA12" s="3">
        <v>31310</v>
      </c>
      <c r="AB12" s="3">
        <v>2160</v>
      </c>
      <c r="AC12" s="5">
        <v>11.9</v>
      </c>
      <c r="AD12" s="3">
        <v>10450</v>
      </c>
      <c r="AE12" s="3">
        <v>780</v>
      </c>
      <c r="AF12" s="5">
        <v>6.9</v>
      </c>
    </row>
    <row r="13" spans="1:32" ht="21" x14ac:dyDescent="0.2">
      <c r="A13" s="94" t="s">
        <v>49</v>
      </c>
      <c r="B13" s="95"/>
      <c r="C13" s="8">
        <f>IF(C11=B1,3.7,IF(C11=B2,4.4,5.2))</f>
        <v>5.2</v>
      </c>
      <c r="D13" s="8" t="s">
        <v>48</v>
      </c>
      <c r="F13" s="16" t="s">
        <v>54</v>
      </c>
      <c r="G13" s="6"/>
      <c r="H13" s="83"/>
      <c r="I13" s="84"/>
      <c r="J13" s="86" t="s">
        <v>55</v>
      </c>
      <c r="K13" s="86" t="s">
        <v>56</v>
      </c>
      <c r="L13" s="86"/>
      <c r="M13" s="82"/>
      <c r="N13" s="82"/>
      <c r="O13" s="11"/>
      <c r="S13" s="3">
        <v>280</v>
      </c>
      <c r="T13" s="3">
        <v>240</v>
      </c>
      <c r="U13" s="3">
        <v>189</v>
      </c>
      <c r="V13" s="3">
        <v>310</v>
      </c>
      <c r="W13" s="3">
        <v>288</v>
      </c>
      <c r="X13" s="5">
        <v>18.5</v>
      </c>
      <c r="Y13" s="3">
        <v>33</v>
      </c>
      <c r="Z13" s="3">
        <v>24</v>
      </c>
      <c r="AA13" s="3">
        <v>39550</v>
      </c>
      <c r="AB13" s="3">
        <v>2550</v>
      </c>
      <c r="AC13" s="5">
        <v>12.8</v>
      </c>
      <c r="AD13" s="3">
        <v>13160</v>
      </c>
      <c r="AE13" s="3">
        <v>914</v>
      </c>
      <c r="AF13" s="5">
        <v>7.4</v>
      </c>
    </row>
    <row r="14" spans="1:32" ht="21" x14ac:dyDescent="0.2">
      <c r="A14" s="96" t="s">
        <v>81</v>
      </c>
      <c r="B14" s="96"/>
      <c r="C14" s="7">
        <v>1500</v>
      </c>
      <c r="D14" s="8" t="s">
        <v>0</v>
      </c>
      <c r="F14" s="16" t="s">
        <v>57</v>
      </c>
      <c r="G14" s="6"/>
      <c r="H14" s="83"/>
      <c r="I14" s="84"/>
      <c r="J14" s="86"/>
      <c r="K14" s="86"/>
      <c r="L14" s="86"/>
      <c r="M14" s="82"/>
      <c r="N14" s="82"/>
      <c r="O14" s="11"/>
      <c r="S14" s="3">
        <v>300</v>
      </c>
      <c r="T14" s="3">
        <v>303</v>
      </c>
      <c r="U14" s="3">
        <v>233</v>
      </c>
      <c r="V14" s="3">
        <v>340</v>
      </c>
      <c r="W14" s="3">
        <v>310</v>
      </c>
      <c r="X14" s="3">
        <v>21</v>
      </c>
      <c r="Y14" s="3">
        <v>39</v>
      </c>
      <c r="Z14" s="3">
        <v>27</v>
      </c>
      <c r="AA14" s="3">
        <v>59200</v>
      </c>
      <c r="AB14" s="3">
        <v>3480</v>
      </c>
      <c r="AC14" s="3">
        <v>14</v>
      </c>
      <c r="AD14" s="3">
        <v>19400</v>
      </c>
      <c r="AE14" s="3">
        <v>1250</v>
      </c>
      <c r="AF14" s="3">
        <v>8</v>
      </c>
    </row>
    <row r="15" spans="1:32" ht="36" x14ac:dyDescent="0.2">
      <c r="A15" s="96" t="s">
        <v>46</v>
      </c>
      <c r="B15" s="96"/>
      <c r="C15" s="7">
        <v>10</v>
      </c>
      <c r="D15" s="8" t="s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S15" s="17" t="s">
        <v>86</v>
      </c>
      <c r="T15" s="3">
        <v>225</v>
      </c>
      <c r="U15" s="3">
        <v>177</v>
      </c>
      <c r="V15" s="3">
        <v>320</v>
      </c>
      <c r="W15" s="3">
        <v>305</v>
      </c>
      <c r="X15" s="3">
        <v>16</v>
      </c>
      <c r="Y15" s="3">
        <v>29</v>
      </c>
      <c r="Z15" s="3">
        <v>27</v>
      </c>
      <c r="AA15" s="3">
        <v>40950</v>
      </c>
      <c r="AB15" s="3">
        <v>2560</v>
      </c>
      <c r="AC15" s="5">
        <v>13.5</v>
      </c>
      <c r="AD15" s="3">
        <v>13740</v>
      </c>
      <c r="AE15" s="3">
        <v>901</v>
      </c>
      <c r="AF15" s="4">
        <v>7.81</v>
      </c>
    </row>
    <row r="16" spans="1:32" ht="21" x14ac:dyDescent="0.2">
      <c r="A16" s="96" t="s">
        <v>82</v>
      </c>
      <c r="B16" s="96"/>
      <c r="C16" s="7">
        <v>10</v>
      </c>
      <c r="D16" s="8" t="s">
        <v>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S16" s="3">
        <v>320</v>
      </c>
      <c r="T16" s="3">
        <v>312</v>
      </c>
      <c r="U16" s="3">
        <v>245</v>
      </c>
      <c r="V16" s="3">
        <v>359</v>
      </c>
      <c r="W16" s="3">
        <v>309</v>
      </c>
      <c r="X16" s="3">
        <v>21</v>
      </c>
      <c r="Y16" s="3">
        <v>40</v>
      </c>
      <c r="Z16" s="3">
        <v>27</v>
      </c>
      <c r="AA16" s="3">
        <v>68130</v>
      </c>
      <c r="AB16" s="3">
        <v>3800</v>
      </c>
      <c r="AC16" s="5">
        <v>14.8</v>
      </c>
      <c r="AD16" s="3">
        <v>19710</v>
      </c>
      <c r="AE16" s="3">
        <v>1280</v>
      </c>
      <c r="AF16" s="4">
        <v>7.95</v>
      </c>
    </row>
    <row r="17" spans="1:32" ht="21" x14ac:dyDescent="0.2">
      <c r="A17" s="96" t="s">
        <v>51</v>
      </c>
      <c r="B17" s="96"/>
      <c r="C17" s="88">
        <v>300</v>
      </c>
      <c r="D17" s="89"/>
      <c r="F17" s="10" t="s">
        <v>9</v>
      </c>
      <c r="G17" s="11"/>
      <c r="H17" s="11"/>
      <c r="I17" s="11"/>
      <c r="J17" s="9" t="s">
        <v>58</v>
      </c>
      <c r="K17" s="11"/>
      <c r="L17" s="11"/>
      <c r="M17" s="9" t="s">
        <v>62</v>
      </c>
      <c r="N17" s="6"/>
      <c r="O17" s="6" t="s">
        <v>0</v>
      </c>
      <c r="S17" s="3">
        <v>340</v>
      </c>
      <c r="T17" s="3">
        <v>316</v>
      </c>
      <c r="U17" s="3">
        <v>248</v>
      </c>
      <c r="V17" s="3">
        <v>377</v>
      </c>
      <c r="W17" s="3">
        <v>309</v>
      </c>
      <c r="X17" s="3">
        <v>21</v>
      </c>
      <c r="Y17" s="3">
        <v>40</v>
      </c>
      <c r="Z17" s="3">
        <v>27</v>
      </c>
      <c r="AA17" s="3">
        <v>76370</v>
      </c>
      <c r="AB17" s="3">
        <v>4050</v>
      </c>
      <c r="AC17" s="5">
        <v>15.6</v>
      </c>
      <c r="AD17" s="3">
        <v>19710</v>
      </c>
      <c r="AE17" s="3">
        <v>1280</v>
      </c>
      <c r="AF17" s="5">
        <v>7.9</v>
      </c>
    </row>
    <row r="18" spans="1:32" ht="21" x14ac:dyDescent="0.2">
      <c r="A18" s="94" t="s">
        <v>21</v>
      </c>
      <c r="B18" s="95"/>
      <c r="C18" s="8"/>
      <c r="D18" s="8" t="s">
        <v>59</v>
      </c>
      <c r="F18" s="16" t="s">
        <v>60</v>
      </c>
      <c r="G18" s="9" t="s">
        <v>55</v>
      </c>
      <c r="H18" s="9" t="s">
        <v>61</v>
      </c>
      <c r="I18" s="6"/>
      <c r="J18" s="6"/>
      <c r="K18" s="6" t="s">
        <v>0</v>
      </c>
      <c r="L18" s="11"/>
      <c r="M18" s="11"/>
      <c r="N18" s="11"/>
      <c r="O18" s="11"/>
      <c r="S18" s="3">
        <v>360</v>
      </c>
      <c r="T18" s="3">
        <v>319</v>
      </c>
      <c r="U18" s="3">
        <v>250</v>
      </c>
      <c r="V18" s="3">
        <v>395</v>
      </c>
      <c r="W18" s="3">
        <v>308</v>
      </c>
      <c r="X18" s="3">
        <v>21</v>
      </c>
      <c r="Y18" s="3">
        <v>40</v>
      </c>
      <c r="Z18" s="3">
        <v>27</v>
      </c>
      <c r="AA18" s="3">
        <v>84870</v>
      </c>
      <c r="AB18" s="3">
        <v>4300</v>
      </c>
      <c r="AC18" s="5">
        <v>16.3</v>
      </c>
      <c r="AD18" s="3">
        <v>19520</v>
      </c>
      <c r="AE18" s="3">
        <v>1270</v>
      </c>
      <c r="AF18" s="4">
        <v>7.83</v>
      </c>
    </row>
    <row r="19" spans="1:32" ht="21" x14ac:dyDescent="0.2">
      <c r="A19" s="94" t="s">
        <v>63</v>
      </c>
      <c r="B19" s="95"/>
      <c r="C19" s="8"/>
      <c r="D19" s="8" t="s">
        <v>64</v>
      </c>
      <c r="F19" s="16" t="s">
        <v>65</v>
      </c>
      <c r="G19" s="9" t="s">
        <v>55</v>
      </c>
      <c r="H19" s="9" t="s">
        <v>61</v>
      </c>
      <c r="I19" s="6"/>
      <c r="J19" s="6"/>
      <c r="K19" s="6" t="s">
        <v>0</v>
      </c>
      <c r="L19" s="6" t="s">
        <v>55</v>
      </c>
      <c r="M19" s="12" t="s">
        <v>66</v>
      </c>
      <c r="N19" s="12"/>
      <c r="O19" s="6" t="s">
        <v>0</v>
      </c>
      <c r="S19" s="3">
        <v>400</v>
      </c>
      <c r="T19" s="3">
        <v>326</v>
      </c>
      <c r="U19" s="3">
        <v>256</v>
      </c>
      <c r="V19" s="3">
        <v>432</v>
      </c>
      <c r="W19" s="3">
        <v>307</v>
      </c>
      <c r="X19" s="3">
        <v>21</v>
      </c>
      <c r="Y19" s="3">
        <v>40</v>
      </c>
      <c r="Z19" s="3">
        <v>27</v>
      </c>
      <c r="AA19" s="3">
        <v>104100</v>
      </c>
      <c r="AB19" s="3">
        <v>4820</v>
      </c>
      <c r="AC19" s="5">
        <v>17.899999999999999</v>
      </c>
      <c r="AD19" s="3">
        <v>19330</v>
      </c>
      <c r="AE19" s="3">
        <v>1260</v>
      </c>
      <c r="AF19" s="5">
        <v>7.7</v>
      </c>
    </row>
    <row r="20" spans="1:32" ht="21" x14ac:dyDescent="0.2">
      <c r="A20" s="94" t="s">
        <v>67</v>
      </c>
      <c r="B20" s="95"/>
      <c r="C20" s="8"/>
      <c r="D20" s="8" t="s">
        <v>64</v>
      </c>
      <c r="F20" s="16" t="s">
        <v>68</v>
      </c>
      <c r="G20" s="9" t="s">
        <v>55</v>
      </c>
      <c r="H20" s="9" t="s">
        <v>61</v>
      </c>
      <c r="I20" s="6"/>
      <c r="J20" s="6"/>
      <c r="K20" s="6" t="s">
        <v>0</v>
      </c>
      <c r="L20" s="11"/>
      <c r="M20" s="11"/>
      <c r="N20" s="11"/>
      <c r="O20" s="11"/>
      <c r="S20" s="3">
        <v>450</v>
      </c>
      <c r="T20" s="3">
        <v>335</v>
      </c>
      <c r="U20" s="3">
        <v>263</v>
      </c>
      <c r="V20" s="3">
        <v>478</v>
      </c>
      <c r="W20" s="3">
        <v>307</v>
      </c>
      <c r="X20" s="3">
        <v>21</v>
      </c>
      <c r="Y20" s="3">
        <v>40</v>
      </c>
      <c r="Z20" s="3">
        <v>27</v>
      </c>
      <c r="AA20" s="3">
        <v>131500</v>
      </c>
      <c r="AB20" s="3">
        <v>5500</v>
      </c>
      <c r="AC20" s="5">
        <v>19.8</v>
      </c>
      <c r="AD20" s="3">
        <v>19340</v>
      </c>
      <c r="AE20" s="3">
        <v>1260</v>
      </c>
      <c r="AF20" s="4">
        <v>7.59</v>
      </c>
    </row>
    <row r="21" spans="1:32" ht="21" x14ac:dyDescent="0.2">
      <c r="A21" s="94" t="s">
        <v>69</v>
      </c>
      <c r="B21" s="95"/>
      <c r="C21" s="8"/>
      <c r="D21" s="8" t="s">
        <v>70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S21" s="3">
        <v>500</v>
      </c>
      <c r="T21" s="3">
        <v>344</v>
      </c>
      <c r="U21" s="3">
        <v>270</v>
      </c>
      <c r="V21" s="3">
        <v>524</v>
      </c>
      <c r="W21" s="3">
        <v>306</v>
      </c>
      <c r="X21" s="3">
        <v>21</v>
      </c>
      <c r="Y21" s="3">
        <v>40</v>
      </c>
      <c r="Z21" s="3">
        <v>27</v>
      </c>
      <c r="AA21" s="3">
        <v>161900</v>
      </c>
      <c r="AB21" s="3">
        <v>6180</v>
      </c>
      <c r="AC21" s="5">
        <v>21.7</v>
      </c>
      <c r="AD21" s="3">
        <v>19150</v>
      </c>
      <c r="AE21" s="3">
        <v>1250</v>
      </c>
      <c r="AF21" s="4">
        <v>7.46</v>
      </c>
    </row>
    <row r="22" spans="1:32" ht="21" x14ac:dyDescent="0.2">
      <c r="A22" s="94" t="s">
        <v>71</v>
      </c>
      <c r="B22" s="95"/>
      <c r="C22" s="8"/>
      <c r="D22" s="8" t="s">
        <v>70</v>
      </c>
      <c r="F22" s="10" t="s">
        <v>10</v>
      </c>
      <c r="G22" s="11"/>
      <c r="H22" s="11"/>
      <c r="I22" s="11"/>
      <c r="J22" s="11"/>
      <c r="K22" s="11"/>
      <c r="L22" s="11"/>
      <c r="M22" s="11"/>
      <c r="N22" s="11"/>
      <c r="O22" s="11"/>
      <c r="S22" s="3">
        <v>550</v>
      </c>
      <c r="T22" s="3">
        <v>354</v>
      </c>
      <c r="U22" s="3">
        <v>278</v>
      </c>
      <c r="V22" s="3">
        <v>572</v>
      </c>
      <c r="W22" s="3">
        <v>306</v>
      </c>
      <c r="X22" s="3">
        <v>21</v>
      </c>
      <c r="Y22" s="3">
        <v>40</v>
      </c>
      <c r="Z22" s="3">
        <v>27</v>
      </c>
      <c r="AA22" s="3">
        <v>198000</v>
      </c>
      <c r="AB22" s="3">
        <v>6920</v>
      </c>
      <c r="AC22" s="5">
        <v>23.6</v>
      </c>
      <c r="AD22" s="3">
        <v>19160</v>
      </c>
      <c r="AE22" s="3">
        <v>1250</v>
      </c>
      <c r="AF22" s="4">
        <v>7.35</v>
      </c>
    </row>
    <row r="23" spans="1:32" ht="21" x14ac:dyDescent="0.2">
      <c r="A23" s="94" t="s">
        <v>72</v>
      </c>
      <c r="B23" s="95"/>
      <c r="C23" s="8"/>
      <c r="D23" s="8" t="s">
        <v>2</v>
      </c>
      <c r="F23" s="16" t="s">
        <v>73</v>
      </c>
      <c r="G23" s="6"/>
      <c r="H23" s="6"/>
      <c r="I23" s="11"/>
      <c r="J23" s="11"/>
      <c r="K23" s="11"/>
      <c r="L23" s="11"/>
      <c r="M23" s="11"/>
      <c r="N23" s="11"/>
      <c r="O23" s="11"/>
      <c r="S23" s="3">
        <v>600</v>
      </c>
      <c r="T23" s="3">
        <v>364</v>
      </c>
      <c r="U23" s="3">
        <v>285</v>
      </c>
      <c r="V23" s="3">
        <v>620</v>
      </c>
      <c r="W23" s="3">
        <v>305</v>
      </c>
      <c r="X23" s="3">
        <v>21</v>
      </c>
      <c r="Y23" s="3">
        <v>40</v>
      </c>
      <c r="Z23" s="3">
        <v>27</v>
      </c>
      <c r="AA23" s="3">
        <v>237400</v>
      </c>
      <c r="AB23" s="3">
        <v>7660</v>
      </c>
      <c r="AC23" s="5">
        <v>25.6</v>
      </c>
      <c r="AD23" s="3">
        <v>18970</v>
      </c>
      <c r="AE23" s="3">
        <v>1240</v>
      </c>
      <c r="AF23" s="4">
        <v>7.22</v>
      </c>
    </row>
    <row r="24" spans="1:32" ht="21" x14ac:dyDescent="0.2">
      <c r="A24" s="94" t="s">
        <v>75</v>
      </c>
      <c r="B24" s="95"/>
      <c r="C24" s="8"/>
      <c r="D24" s="8" t="s">
        <v>2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S24" s="3">
        <v>650</v>
      </c>
      <c r="T24" s="3">
        <v>374</v>
      </c>
      <c r="U24" s="3">
        <v>293</v>
      </c>
      <c r="V24" s="3">
        <v>668</v>
      </c>
      <c r="W24" s="3">
        <v>305</v>
      </c>
      <c r="X24" s="3">
        <v>21</v>
      </c>
      <c r="Y24" s="3">
        <v>40</v>
      </c>
      <c r="Z24" s="3">
        <v>27</v>
      </c>
      <c r="AA24" s="3">
        <v>281700</v>
      </c>
      <c r="AB24" s="3">
        <v>8430</v>
      </c>
      <c r="AC24" s="5">
        <v>27.5</v>
      </c>
      <c r="AD24" s="3">
        <v>18980</v>
      </c>
      <c r="AE24" s="3">
        <v>1240</v>
      </c>
      <c r="AF24" s="4">
        <v>7.13</v>
      </c>
    </row>
    <row r="25" spans="1:32" ht="21" x14ac:dyDescent="0.2">
      <c r="A25" s="94" t="s">
        <v>50</v>
      </c>
      <c r="B25" s="95"/>
      <c r="C25" s="8"/>
      <c r="D25" s="8" t="s">
        <v>87</v>
      </c>
      <c r="F25" s="10" t="s">
        <v>11</v>
      </c>
      <c r="G25" s="11"/>
      <c r="H25" s="11"/>
      <c r="I25" s="11"/>
      <c r="J25" s="11"/>
      <c r="K25" s="11"/>
      <c r="L25" s="11"/>
      <c r="M25" s="11"/>
      <c r="N25" s="11"/>
      <c r="O25" s="11"/>
      <c r="S25" s="3">
        <v>700</v>
      </c>
      <c r="T25" s="3">
        <v>383</v>
      </c>
      <c r="U25" s="3">
        <v>301</v>
      </c>
      <c r="V25" s="3">
        <v>716</v>
      </c>
      <c r="W25" s="3">
        <v>304</v>
      </c>
      <c r="X25" s="3">
        <v>21</v>
      </c>
      <c r="Y25" s="3">
        <v>40</v>
      </c>
      <c r="Z25" s="3">
        <v>27</v>
      </c>
      <c r="AA25" s="3">
        <v>329300</v>
      </c>
      <c r="AB25" s="3">
        <v>9200</v>
      </c>
      <c r="AC25" s="5">
        <v>29.3</v>
      </c>
      <c r="AD25" s="3">
        <v>18800</v>
      </c>
      <c r="AE25" s="3">
        <v>1240</v>
      </c>
      <c r="AF25" s="4">
        <v>7.01</v>
      </c>
    </row>
    <row r="26" spans="1:32" ht="21" x14ac:dyDescent="0.2">
      <c r="A26" s="94" t="s">
        <v>76</v>
      </c>
      <c r="B26" s="95"/>
      <c r="C26" s="8"/>
      <c r="D26" s="8" t="s">
        <v>2</v>
      </c>
      <c r="F26" s="16" t="s">
        <v>74</v>
      </c>
      <c r="G26" s="6"/>
      <c r="H26" s="6"/>
      <c r="I26" s="11"/>
      <c r="J26" s="11"/>
      <c r="K26" s="11"/>
      <c r="L26" s="11"/>
      <c r="M26" s="11"/>
      <c r="N26" s="11"/>
      <c r="O26" s="11"/>
      <c r="S26" s="3">
        <v>800</v>
      </c>
      <c r="T26" s="3">
        <v>404</v>
      </c>
      <c r="U26" s="3">
        <v>317</v>
      </c>
      <c r="V26" s="3">
        <v>814</v>
      </c>
      <c r="W26" s="3">
        <v>303</v>
      </c>
      <c r="X26" s="3">
        <v>21</v>
      </c>
      <c r="Y26" s="3">
        <v>40</v>
      </c>
      <c r="Z26" s="3">
        <v>30</v>
      </c>
      <c r="AA26" s="3">
        <v>442600</v>
      </c>
      <c r="AB26" s="3">
        <v>10870</v>
      </c>
      <c r="AC26" s="5">
        <v>33.1</v>
      </c>
      <c r="AD26" s="3">
        <v>18630</v>
      </c>
      <c r="AE26" s="3">
        <v>1230</v>
      </c>
      <c r="AF26" s="4">
        <v>6.79</v>
      </c>
    </row>
    <row r="27" spans="1:32" ht="21" x14ac:dyDescent="0.2">
      <c r="A27" s="94" t="s">
        <v>77</v>
      </c>
      <c r="B27" s="95"/>
      <c r="C27" s="8"/>
      <c r="D27" s="8" t="s">
        <v>2</v>
      </c>
      <c r="S27" s="3">
        <v>900</v>
      </c>
      <c r="T27" s="3">
        <v>424</v>
      </c>
      <c r="U27" s="3">
        <v>333</v>
      </c>
      <c r="V27" s="3">
        <v>910</v>
      </c>
      <c r="W27" s="3">
        <v>302</v>
      </c>
      <c r="X27" s="3">
        <v>21</v>
      </c>
      <c r="Y27" s="3">
        <v>40</v>
      </c>
      <c r="Z27" s="3">
        <v>30</v>
      </c>
      <c r="AA27" s="3">
        <v>570400</v>
      </c>
      <c r="AB27" s="3">
        <v>12540</v>
      </c>
      <c r="AC27" s="5">
        <v>36.700000000000003</v>
      </c>
      <c r="AD27" s="3">
        <v>18450</v>
      </c>
      <c r="AE27" s="3">
        <v>1220</v>
      </c>
      <c r="AF27" s="5">
        <v>6.6</v>
      </c>
    </row>
    <row r="28" spans="1:32" x14ac:dyDescent="0.2">
      <c r="A28" s="94" t="s">
        <v>78</v>
      </c>
      <c r="B28" s="95"/>
      <c r="C28" s="8"/>
      <c r="D28" s="8" t="s">
        <v>6</v>
      </c>
      <c r="S28" s="3">
        <v>1000</v>
      </c>
      <c r="T28" s="3">
        <v>444</v>
      </c>
      <c r="U28" s="3">
        <v>349</v>
      </c>
      <c r="V28" s="3">
        <v>1008</v>
      </c>
      <c r="W28" s="3">
        <v>302</v>
      </c>
      <c r="X28" s="3">
        <v>21</v>
      </c>
      <c r="Y28" s="3">
        <v>40</v>
      </c>
      <c r="Z28" s="3">
        <v>30</v>
      </c>
      <c r="AA28" s="3">
        <v>722300</v>
      </c>
      <c r="AB28" s="3">
        <v>14330</v>
      </c>
      <c r="AC28" s="5">
        <v>40.299999999999997</v>
      </c>
      <c r="AD28" s="3">
        <v>18460</v>
      </c>
      <c r="AE28" s="3">
        <v>1220</v>
      </c>
      <c r="AF28" s="4">
        <v>6.45</v>
      </c>
    </row>
    <row r="29" spans="1:32" ht="21" x14ac:dyDescent="0.2">
      <c r="A29" s="94" t="s">
        <v>79</v>
      </c>
      <c r="B29" s="95"/>
      <c r="C29" s="8"/>
      <c r="D29" s="8" t="s">
        <v>2</v>
      </c>
    </row>
  </sheetData>
  <mergeCells count="34">
    <mergeCell ref="A28:B28"/>
    <mergeCell ref="A29:B29"/>
    <mergeCell ref="A22:B22"/>
    <mergeCell ref="A23:B23"/>
    <mergeCell ref="A24:B24"/>
    <mergeCell ref="A25:B25"/>
    <mergeCell ref="A26:B26"/>
    <mergeCell ref="A27:B27"/>
    <mergeCell ref="A21:B21"/>
    <mergeCell ref="K13:L14"/>
    <mergeCell ref="M13:N14"/>
    <mergeCell ref="A14:B14"/>
    <mergeCell ref="H14:I14"/>
    <mergeCell ref="A15:B15"/>
    <mergeCell ref="A16:B16"/>
    <mergeCell ref="J13:J14"/>
    <mergeCell ref="A17:B17"/>
    <mergeCell ref="C17:D17"/>
    <mergeCell ref="A18:B18"/>
    <mergeCell ref="A19:B19"/>
    <mergeCell ref="A20:B20"/>
    <mergeCell ref="A11:B11"/>
    <mergeCell ref="C11:D11"/>
    <mergeCell ref="A12:B12"/>
    <mergeCell ref="A13:B13"/>
    <mergeCell ref="H13:I13"/>
    <mergeCell ref="W1:X1"/>
    <mergeCell ref="V2:Z2"/>
    <mergeCell ref="AA2:AC2"/>
    <mergeCell ref="AD2:AF2"/>
    <mergeCell ref="A9:B10"/>
    <mergeCell ref="C9:C10"/>
    <mergeCell ref="D9:D10"/>
    <mergeCell ref="F9:F10"/>
  </mergeCells>
  <dataValidations count="2">
    <dataValidation type="list" allowBlank="1" showInputMessage="1" showErrorMessage="1" sqref="C17" xr:uid="{38F8462F-5B37-492B-9580-2EF1639D7351}">
      <formula1>$S$4:$S$28</formula1>
    </dataValidation>
    <dataValidation type="list" allowBlank="1" showInputMessage="1" showErrorMessage="1" sqref="C11" xr:uid="{093B1E41-D4FD-4FC3-B603-8D896A50DD05}">
      <formula1>$B$1:$B$3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IPE</vt:lpstr>
      <vt:lpstr>IPE sheet answer</vt:lpstr>
      <vt:lpstr>Haunch</vt:lpstr>
      <vt:lpstr>BUS</vt:lpstr>
      <vt:lpstr>HEB</vt:lpstr>
      <vt:lpstr>HEA</vt:lpstr>
      <vt:lpstr>HEM</vt:lpstr>
      <vt:lpstr>BUS!Print_Area</vt:lpstr>
      <vt:lpstr>Haunch!Print_Area</vt:lpstr>
      <vt:lpstr>IPE!Print_Area</vt:lpstr>
      <vt:lpstr>'IPE sheet answer'!Print_Area</vt:lpstr>
      <vt:lpstr>Haunch!table</vt:lpstr>
      <vt:lpstr>'IPE sheet answer'!table</vt:lpstr>
      <vt:lpstr>table</vt:lpstr>
      <vt:lpstr>table2</vt:lpstr>
      <vt:lpstr>table3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Uranus</dc:creator>
  <cp:lastModifiedBy>Windows User</cp:lastModifiedBy>
  <cp:lastPrinted>2022-03-12T08:25:13Z</cp:lastPrinted>
  <dcterms:created xsi:type="dcterms:W3CDTF">2019-08-27T15:35:18Z</dcterms:created>
  <dcterms:modified xsi:type="dcterms:W3CDTF">2022-05-13T13:48:30Z</dcterms:modified>
</cp:coreProperties>
</file>