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GINEERING\all about steel structure\Excel Sheets\my sheets\"/>
    </mc:Choice>
  </mc:AlternateContent>
  <xr:revisionPtr revIDLastSave="0" documentId="13_ncr:1_{77AE076F-9238-4DD6-908A-13231E321AB5}" xr6:coauthVersionLast="45" xr6:coauthVersionMax="45" xr10:uidLastSave="{00000000-0000-0000-0000-000000000000}"/>
  <bookViews>
    <workbookView xWindow="-120" yWindow="-120" windowWidth="19800" windowHeight="11760" activeTab="3" xr2:uid="{F19D9E5A-7757-4FD2-8E06-DAF3D5BC8C3E}"/>
  </bookViews>
  <sheets>
    <sheet name="hot rolled UPN" sheetId="1" r:id="rId1"/>
    <sheet name="hot rolled IPE" sheetId="3" r:id="rId2"/>
    <sheet name="Cold formed unstiffened C" sheetId="2" r:id="rId3"/>
    <sheet name="Cold formed stiffened C" sheetId="4" r:id="rId4"/>
    <sheet name="Cold Formed Stiffened Z" sheetId="5" r:id="rId5"/>
  </sheets>
  <definedNames>
    <definedName name="table">'hot rolled UPN'!$R$2:$AH$29</definedName>
    <definedName name="table1">'Cold formed unstiffened C'!$R$2:$AE$33</definedName>
    <definedName name="table2">'hot rolled IPE'!$R$2:$AG$21</definedName>
    <definedName name="table3">'Cold formed stiffened C'!$S$2:$AG$24</definedName>
    <definedName name="table5">'Cold Formed Stiffened Z'!$S$2:$AF$10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3" l="1"/>
  <c r="H24" i="3"/>
  <c r="H22" i="3"/>
  <c r="H22" i="1" l="1"/>
  <c r="H26" i="1" s="1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G7" i="5" s="1"/>
  <c r="I42" i="5"/>
  <c r="C11" i="5"/>
  <c r="O10" i="5"/>
  <c r="C10" i="5"/>
  <c r="M35" i="5" s="1"/>
  <c r="O9" i="5"/>
  <c r="O8" i="5"/>
  <c r="K8" i="5"/>
  <c r="K9" i="5" s="1"/>
  <c r="K11" i="5" s="1"/>
  <c r="K13" i="5" s="1"/>
  <c r="H24" i="1" l="1"/>
  <c r="G43" i="5"/>
  <c r="J52" i="5"/>
  <c r="K52" i="5" s="1"/>
  <c r="G9" i="5"/>
  <c r="G11" i="5" s="1"/>
  <c r="G8" i="5"/>
  <c r="K10" i="5"/>
  <c r="H29" i="5"/>
  <c r="I29" i="5" s="1"/>
  <c r="H27" i="5"/>
  <c r="I27" i="5" s="1"/>
  <c r="H28" i="5"/>
  <c r="I28" i="5" s="1"/>
  <c r="G36" i="5"/>
  <c r="G37" i="5" s="1"/>
  <c r="M37" i="5"/>
  <c r="M39" i="5"/>
  <c r="M36" i="5"/>
  <c r="G55" i="3"/>
  <c r="L55" i="3"/>
  <c r="L56" i="1"/>
  <c r="G38" i="5" l="1"/>
  <c r="G39" i="5" s="1"/>
  <c r="I37" i="5"/>
  <c r="M38" i="5"/>
  <c r="M40" i="5"/>
  <c r="M41" i="5" s="1"/>
  <c r="M42" i="5" s="1"/>
  <c r="K12" i="5"/>
  <c r="K14" i="5"/>
  <c r="K27" i="5"/>
  <c r="G10" i="5"/>
  <c r="G12" i="5"/>
  <c r="G56" i="1"/>
  <c r="O42" i="5" l="1"/>
  <c r="M43" i="5"/>
  <c r="M44" i="5" s="1"/>
  <c r="O15" i="5"/>
  <c r="I20" i="5" s="1"/>
  <c r="J53" i="5" s="1"/>
  <c r="K53" i="5" s="1"/>
  <c r="O14" i="5"/>
  <c r="I19" i="5" s="1"/>
  <c r="O13" i="5"/>
  <c r="I18" i="5" s="1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G7" i="4" s="1"/>
  <c r="G9" i="4" s="1"/>
  <c r="I42" i="4"/>
  <c r="O10" i="4"/>
  <c r="O9" i="4"/>
  <c r="O8" i="4"/>
  <c r="K8" i="4"/>
  <c r="K9" i="4" s="1"/>
  <c r="K10" i="4" s="1"/>
  <c r="C11" i="4"/>
  <c r="C10" i="4"/>
  <c r="M35" i="4" s="1"/>
  <c r="O10" i="3"/>
  <c r="O9" i="3"/>
  <c r="O8" i="3"/>
  <c r="K8" i="3"/>
  <c r="O9" i="1"/>
  <c r="O10" i="1"/>
  <c r="O8" i="1"/>
  <c r="K8" i="1"/>
  <c r="O10" i="2"/>
  <c r="O9" i="2"/>
  <c r="O8" i="2"/>
  <c r="K8" i="2"/>
  <c r="K9" i="2" s="1"/>
  <c r="K11" i="2" s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G7" i="2" s="1"/>
  <c r="G8" i="2" s="1"/>
  <c r="J47" i="5" l="1"/>
  <c r="N52" i="5" s="1"/>
  <c r="P52" i="5" s="1"/>
  <c r="J48" i="5"/>
  <c r="G43" i="4"/>
  <c r="M37" i="4"/>
  <c r="M39" i="4"/>
  <c r="M36" i="4"/>
  <c r="H28" i="4"/>
  <c r="I28" i="4" s="1"/>
  <c r="H29" i="4"/>
  <c r="I29" i="4" s="1"/>
  <c r="K10" i="2"/>
  <c r="L47" i="2"/>
  <c r="G9" i="2"/>
  <c r="G11" i="2" s="1"/>
  <c r="G11" i="4"/>
  <c r="J52" i="4"/>
  <c r="K52" i="4" s="1"/>
  <c r="K11" i="4"/>
  <c r="K13" i="4" s="1"/>
  <c r="K14" i="4"/>
  <c r="G36" i="4"/>
  <c r="H27" i="4"/>
  <c r="I27" i="4" s="1"/>
  <c r="G8" i="4"/>
  <c r="H27" i="2"/>
  <c r="I27" i="2" s="1"/>
  <c r="H28" i="2"/>
  <c r="I28" i="2" s="1"/>
  <c r="G12" i="2"/>
  <c r="G10" i="2"/>
  <c r="D87" i="2"/>
  <c r="K13" i="2"/>
  <c r="C11" i="2"/>
  <c r="C10" i="2"/>
  <c r="G36" i="2" s="1"/>
  <c r="G37" i="2" s="1"/>
  <c r="F52" i="5" l="1"/>
  <c r="G52" i="5" s="1"/>
  <c r="G37" i="4"/>
  <c r="I37" i="4" s="1"/>
  <c r="M38" i="4"/>
  <c r="M40" i="4" s="1"/>
  <c r="M41" i="4" s="1"/>
  <c r="M42" i="4" s="1"/>
  <c r="M47" i="2"/>
  <c r="M36" i="2"/>
  <c r="M37" i="2" s="1"/>
  <c r="M38" i="2" s="1"/>
  <c r="M39" i="2" s="1"/>
  <c r="J43" i="2" s="1"/>
  <c r="K27" i="4"/>
  <c r="K12" i="4"/>
  <c r="O15" i="4" s="1"/>
  <c r="G12" i="4"/>
  <c r="G10" i="4"/>
  <c r="G38" i="2"/>
  <c r="G39" i="2" s="1"/>
  <c r="I37" i="2"/>
  <c r="K27" i="2"/>
  <c r="D86" i="2"/>
  <c r="B81" i="2"/>
  <c r="B82" i="2"/>
  <c r="D85" i="2"/>
  <c r="K12" i="2"/>
  <c r="H85" i="2"/>
  <c r="I85" i="2" s="1"/>
  <c r="F82" i="2"/>
  <c r="G82" i="2" s="1"/>
  <c r="K9" i="1"/>
  <c r="K9" i="3"/>
  <c r="G38" i="4" l="1"/>
  <c r="G39" i="4" s="1"/>
  <c r="M43" i="4"/>
  <c r="M44" i="4" s="1"/>
  <c r="O42" i="4"/>
  <c r="O37" i="2"/>
  <c r="K10" i="3"/>
  <c r="K11" i="3"/>
  <c r="K13" i="3" s="1"/>
  <c r="J42" i="2"/>
  <c r="J52" i="2" s="1"/>
  <c r="L52" i="2" s="1"/>
  <c r="K11" i="1"/>
  <c r="K13" i="1" s="1"/>
  <c r="K10" i="1"/>
  <c r="O13" i="2"/>
  <c r="I18" i="2" s="1"/>
  <c r="O14" i="2"/>
  <c r="I19" i="2" s="1"/>
  <c r="O14" i="4"/>
  <c r="I19" i="4" s="1"/>
  <c r="O13" i="4"/>
  <c r="I18" i="4" s="1"/>
  <c r="I20" i="4"/>
  <c r="J53" i="4" s="1"/>
  <c r="K53" i="4" s="1"/>
  <c r="K14" i="2"/>
  <c r="O15" i="2" s="1"/>
  <c r="J48" i="4" l="1"/>
  <c r="J47" i="4"/>
  <c r="N52" i="4" s="1"/>
  <c r="P52" i="4" s="1"/>
  <c r="G47" i="2"/>
  <c r="H47" i="2" s="1"/>
  <c r="I20" i="2"/>
  <c r="L48" i="2" s="1"/>
  <c r="M48" i="2" s="1"/>
  <c r="C91" i="2"/>
  <c r="D91" i="2" s="1"/>
  <c r="F81" i="2"/>
  <c r="G81" i="2" s="1"/>
  <c r="H84" i="2"/>
  <c r="I84" i="2" s="1"/>
  <c r="K12" i="3"/>
  <c r="K14" i="3"/>
  <c r="K14" i="1"/>
  <c r="K12" i="1"/>
  <c r="F52" i="4" l="1"/>
  <c r="G52" i="4" s="1"/>
  <c r="O13" i="3"/>
  <c r="O15" i="3"/>
  <c r="O14" i="3"/>
  <c r="O13" i="1"/>
  <c r="O14" i="1"/>
  <c r="O15" i="1"/>
  <c r="C18" i="3"/>
  <c r="G7" i="3" s="1"/>
  <c r="L56" i="3" l="1"/>
  <c r="G56" i="3"/>
  <c r="G9" i="3"/>
  <c r="G11" i="3" s="1"/>
  <c r="G8" i="3"/>
  <c r="C18" i="1"/>
  <c r="G7" i="1" s="1"/>
  <c r="G8" i="1" l="1"/>
  <c r="G9" i="1"/>
  <c r="L26" i="3"/>
  <c r="L21" i="3"/>
  <c r="G12" i="3"/>
  <c r="L22" i="3" s="1"/>
  <c r="G10" i="3"/>
  <c r="C34" i="3"/>
  <c r="C32" i="3"/>
  <c r="C33" i="3" s="1"/>
  <c r="C31" i="3"/>
  <c r="C30" i="3"/>
  <c r="C28" i="3"/>
  <c r="C27" i="3"/>
  <c r="L50" i="3" s="1"/>
  <c r="N50" i="3" s="1"/>
  <c r="C26" i="3"/>
  <c r="C25" i="3"/>
  <c r="C24" i="3"/>
  <c r="C23" i="3"/>
  <c r="C22" i="3"/>
  <c r="C21" i="3"/>
  <c r="C20" i="3"/>
  <c r="C19" i="3"/>
  <c r="C31" i="1"/>
  <c r="C30" i="1"/>
  <c r="C29" i="1"/>
  <c r="C28" i="1"/>
  <c r="C27" i="1"/>
  <c r="C26" i="1"/>
  <c r="L50" i="1" s="1"/>
  <c r="N50" i="1" s="1"/>
  <c r="C25" i="1"/>
  <c r="C24" i="1"/>
  <c r="C23" i="1"/>
  <c r="C22" i="1"/>
  <c r="C21" i="1"/>
  <c r="C20" i="1"/>
  <c r="C19" i="1"/>
  <c r="C11" i="3"/>
  <c r="C10" i="3"/>
  <c r="C11" i="1"/>
  <c r="C10" i="1"/>
  <c r="G11" i="1" l="1"/>
  <c r="M21" i="1" s="1"/>
  <c r="G57" i="1"/>
  <c r="L57" i="1"/>
  <c r="N58" i="1" s="1"/>
  <c r="G58" i="1"/>
  <c r="L58" i="1"/>
  <c r="G59" i="1"/>
  <c r="L59" i="1"/>
  <c r="N59" i="1" s="1"/>
  <c r="G57" i="3"/>
  <c r="I57" i="3" s="1"/>
  <c r="L57" i="3"/>
  <c r="N57" i="3" s="1"/>
  <c r="C35" i="3"/>
  <c r="L58" i="3"/>
  <c r="N58" i="3" s="1"/>
  <c r="G58" i="3"/>
  <c r="I58" i="3" s="1"/>
  <c r="G41" i="3"/>
  <c r="K41" i="3" s="1"/>
  <c r="L41" i="3" s="1"/>
  <c r="H50" i="3"/>
  <c r="I50" i="3" s="1"/>
  <c r="C29" i="3"/>
  <c r="G41" i="1"/>
  <c r="C32" i="1"/>
  <c r="C33" i="1"/>
  <c r="C34" i="1" s="1"/>
  <c r="C35" i="1" s="1"/>
  <c r="G40" i="1"/>
  <c r="I44" i="1"/>
  <c r="H35" i="3"/>
  <c r="I35" i="3" s="1"/>
  <c r="H34" i="3"/>
  <c r="I34" i="3" s="1"/>
  <c r="C36" i="3"/>
  <c r="C37" i="3" s="1"/>
  <c r="C38" i="3" s="1"/>
  <c r="L20" i="3"/>
  <c r="L25" i="3"/>
  <c r="G12" i="1"/>
  <c r="M22" i="1" s="1"/>
  <c r="H50" i="1" s="1"/>
  <c r="I50" i="1" s="1"/>
  <c r="G10" i="1"/>
  <c r="H35" i="1"/>
  <c r="I35" i="1" s="1"/>
  <c r="H34" i="1"/>
  <c r="I34" i="1" s="1"/>
  <c r="I59" i="1" l="1"/>
  <c r="M26" i="1"/>
  <c r="I58" i="1"/>
  <c r="M45" i="3"/>
  <c r="N45" i="3" s="1"/>
  <c r="K41" i="1"/>
  <c r="L41" i="1" s="1"/>
  <c r="I46" i="3"/>
  <c r="G40" i="3"/>
  <c r="K40" i="3" s="1"/>
  <c r="L40" i="3" s="1"/>
  <c r="I45" i="3"/>
  <c r="I44" i="3"/>
  <c r="M45" i="1"/>
  <c r="N45" i="1" s="1"/>
  <c r="I45" i="1"/>
  <c r="I46" i="1"/>
  <c r="M20" i="1"/>
  <c r="K40" i="1" s="1"/>
  <c r="L40" i="1" s="1"/>
  <c r="M25" i="1"/>
  <c r="N34" i="3"/>
  <c r="N34" i="1"/>
  <c r="M44" i="3" l="1"/>
  <c r="N44" i="3" s="1"/>
  <c r="M44" i="1"/>
  <c r="N44" i="1" s="1"/>
</calcChain>
</file>

<file path=xl/sharedStrings.xml><?xml version="1.0" encoding="utf-8"?>
<sst xmlns="http://schemas.openxmlformats.org/spreadsheetml/2006/main" count="1067" uniqueCount="308">
  <si>
    <t>Input Data :</t>
  </si>
  <si>
    <t>Value</t>
  </si>
  <si>
    <t>Unit</t>
  </si>
  <si>
    <t xml:space="preserve"> </t>
  </si>
  <si>
    <t>steel type</t>
  </si>
  <si>
    <t>UPN</t>
  </si>
  <si>
    <t>IPE</t>
  </si>
  <si>
    <t>cm</t>
  </si>
  <si>
    <t>section</t>
  </si>
  <si>
    <t>mm</t>
  </si>
  <si>
    <t>h</t>
  </si>
  <si>
    <t>b</t>
  </si>
  <si>
    <t>s</t>
  </si>
  <si>
    <t>r=t</t>
  </si>
  <si>
    <t>c</t>
  </si>
  <si>
    <t>h-2c</t>
  </si>
  <si>
    <t>Area</t>
  </si>
  <si>
    <t>Tie rod</t>
  </si>
  <si>
    <t>r</t>
  </si>
  <si>
    <t>t</t>
  </si>
  <si>
    <t>cm.t</t>
  </si>
  <si>
    <t>ton</t>
  </si>
  <si>
    <t>Checks :</t>
  </si>
  <si>
    <t>i- compactness</t>
  </si>
  <si>
    <t>compact</t>
  </si>
  <si>
    <t>non-compact</t>
  </si>
  <si>
    <t>slender</t>
  </si>
  <si>
    <t>&gt;&gt;&gt;&gt;</t>
  </si>
  <si>
    <t>The Section is</t>
  </si>
  <si>
    <t>i- Dead Load</t>
  </si>
  <si>
    <t>Weight</t>
  </si>
  <si>
    <t>kg/m'</t>
  </si>
  <si>
    <t>Weight of sheet</t>
  </si>
  <si>
    <t>a</t>
  </si>
  <si>
    <r>
      <t xml:space="preserve"> </t>
    </r>
    <r>
      <rPr>
        <sz val="14"/>
        <rFont val="Symbol"/>
        <family val="1"/>
        <charset val="2"/>
      </rPr>
      <t>a</t>
    </r>
  </si>
  <si>
    <t>degree</t>
  </si>
  <si>
    <t>t/cm'</t>
  </si>
  <si>
    <t>ii- Live Load</t>
  </si>
  <si>
    <t>1- Distributed</t>
  </si>
  <si>
    <t>L.L =</t>
  </si>
  <si>
    <t>2- Concentrated</t>
  </si>
  <si>
    <t>Final</t>
  </si>
  <si>
    <t>iii- Wind Load</t>
  </si>
  <si>
    <t>Ce (suction side)</t>
  </si>
  <si>
    <t>Ce (pressure side)</t>
  </si>
  <si>
    <t>k</t>
  </si>
  <si>
    <t>q</t>
  </si>
  <si>
    <t>unitless</t>
  </si>
  <si>
    <t>Straining actions</t>
  </si>
  <si>
    <t>dead+live+wind (pressure)</t>
  </si>
  <si>
    <t>dead+wind (suction)</t>
  </si>
  <si>
    <t>Case I</t>
  </si>
  <si>
    <t>Case II</t>
  </si>
  <si>
    <t>ii- Bending</t>
  </si>
  <si>
    <t>Case I  (No L.T.B)</t>
  </si>
  <si>
    <t>X</t>
  </si>
  <si>
    <t>iii- Shear</t>
  </si>
  <si>
    <t>iv- Deflection</t>
  </si>
  <si>
    <t>δ =</t>
  </si>
  <si>
    <t>Accessible</t>
  </si>
  <si>
    <t>Inaccessible</t>
  </si>
  <si>
    <t>Roof Type</t>
  </si>
  <si>
    <t>v- Tie Rod</t>
  </si>
  <si>
    <t>T=</t>
  </si>
  <si>
    <t>unstiffened C</t>
  </si>
  <si>
    <t>Section</t>
  </si>
  <si>
    <t>30x25x4</t>
  </si>
  <si>
    <t>40x20x4</t>
  </si>
  <si>
    <t>40x24x4</t>
  </si>
  <si>
    <t>50x25x4</t>
  </si>
  <si>
    <t>50x35x4</t>
  </si>
  <si>
    <t>60x30x4</t>
  </si>
  <si>
    <t>65x38x4</t>
  </si>
  <si>
    <t>70x25x4</t>
  </si>
  <si>
    <t>80x45x4</t>
  </si>
  <si>
    <t>100x50x4</t>
  </si>
  <si>
    <t>120x60x4</t>
  </si>
  <si>
    <t>140x65x4</t>
  </si>
  <si>
    <t>160x65x4</t>
  </si>
  <si>
    <t>180x80x4</t>
  </si>
  <si>
    <t>200x80x4</t>
  </si>
  <si>
    <t>200x100x4</t>
  </si>
  <si>
    <t>60x40x3.6</t>
  </si>
  <si>
    <t>60x40x4</t>
  </si>
  <si>
    <t>80x40x2.25</t>
  </si>
  <si>
    <t>80x40x2.5</t>
  </si>
  <si>
    <t>80x40x3</t>
  </si>
  <si>
    <t>80x40x4</t>
  </si>
  <si>
    <t>80x50x5</t>
  </si>
  <si>
    <t>100x40x3</t>
  </si>
  <si>
    <t>100x40x4</t>
  </si>
  <si>
    <t>100x50x5</t>
  </si>
  <si>
    <t>140x63x4</t>
  </si>
  <si>
    <t>160x63x4</t>
  </si>
  <si>
    <t>180x75x4</t>
  </si>
  <si>
    <t>1- web</t>
  </si>
  <si>
    <t>e</t>
  </si>
  <si>
    <t>Ok</t>
  </si>
  <si>
    <t>ii- Effective Section</t>
  </si>
  <si>
    <t>Kσ =</t>
  </si>
  <si>
    <t>ρ =</t>
  </si>
  <si>
    <t>2- Flange</t>
  </si>
  <si>
    <t>H</t>
  </si>
  <si>
    <t>B</t>
  </si>
  <si>
    <t>reduced</t>
  </si>
  <si>
    <t xml:space="preserve"> Effective Section Prop.</t>
  </si>
  <si>
    <t>iii- Bending</t>
  </si>
  <si>
    <t>iv- Shear</t>
  </si>
  <si>
    <t xml:space="preserve">h/t = </t>
  </si>
  <si>
    <t>v- Deflection</t>
  </si>
  <si>
    <t>3- Lip</t>
  </si>
  <si>
    <t>100x40x15x3</t>
  </si>
  <si>
    <t>140x70x30x3</t>
  </si>
  <si>
    <t>160x70x30x3</t>
  </si>
  <si>
    <t>160x80x34x3</t>
  </si>
  <si>
    <t>160x80x34x3.65</t>
  </si>
  <si>
    <t>160x80x30x4</t>
  </si>
  <si>
    <t>160x80x35x4</t>
  </si>
  <si>
    <t>180x80x25x3.6</t>
  </si>
  <si>
    <t>180x80x25x4</t>
  </si>
  <si>
    <t>100x50x20x2</t>
  </si>
  <si>
    <t>200x60x20x2</t>
  </si>
  <si>
    <t>250x70x20x2</t>
  </si>
  <si>
    <t>185x60x25x1.5</t>
  </si>
  <si>
    <t>185x60x26.4x2</t>
  </si>
  <si>
    <t>185x60x27.7x2.5</t>
  </si>
  <si>
    <t>185x60x29.1x3</t>
  </si>
  <si>
    <t>215x60x25x1.5</t>
  </si>
  <si>
    <t>215x60x26.4x2</t>
  </si>
  <si>
    <t>215x60x27.7x2.5</t>
  </si>
  <si>
    <t>215x60x29.1x3</t>
  </si>
  <si>
    <t>stiffened C</t>
  </si>
  <si>
    <t>D</t>
  </si>
  <si>
    <t>no. of tie rods</t>
  </si>
  <si>
    <t>one tie rod</t>
  </si>
  <si>
    <t>two tie rods</t>
  </si>
  <si>
    <t>ѳ</t>
  </si>
  <si>
    <r>
      <t xml:space="preserve"> </t>
    </r>
    <r>
      <rPr>
        <sz val="16"/>
        <rFont val="Symbol"/>
        <family val="1"/>
        <charset val="2"/>
      </rPr>
      <t>a</t>
    </r>
  </si>
  <si>
    <t>d / t =</t>
  </si>
  <si>
    <t>S =</t>
  </si>
  <si>
    <t>b/t</t>
  </si>
  <si>
    <t>b / t =</t>
  </si>
  <si>
    <t>h / t =</t>
  </si>
  <si>
    <t>Ia</t>
  </si>
  <si>
    <t>Is</t>
  </si>
  <si>
    <t>D/b</t>
  </si>
  <si>
    <t>stiffened Z</t>
  </si>
  <si>
    <t>y-y</t>
  </si>
  <si>
    <t>150x60x20x2</t>
  </si>
  <si>
    <t>150x60x20x2.5</t>
  </si>
  <si>
    <t>200x60x20x2.5</t>
  </si>
  <si>
    <t>250x70x20x2.5</t>
  </si>
  <si>
    <t>Dimensions (mm)</t>
  </si>
  <si>
    <t>x-x</t>
  </si>
  <si>
    <t>d</t>
  </si>
  <si>
    <r>
      <t>(cm</t>
    </r>
    <r>
      <rPr>
        <b/>
        <vertAlign val="superscript"/>
        <sz val="14"/>
        <rFont val="Times New Roman"/>
        <family val="1"/>
        <scheme val="major"/>
      </rPr>
      <t>2</t>
    </r>
    <r>
      <rPr>
        <b/>
        <sz val="14"/>
        <rFont val="Times New Roman"/>
        <family val="1"/>
        <scheme val="major"/>
      </rPr>
      <t>)</t>
    </r>
  </si>
  <si>
    <t>(kg/m`)</t>
  </si>
  <si>
    <r>
      <t>I</t>
    </r>
    <r>
      <rPr>
        <b/>
        <vertAlign val="subscript"/>
        <sz val="14"/>
        <rFont val="Times New Roman"/>
        <family val="1"/>
        <scheme val="major"/>
      </rPr>
      <t>x</t>
    </r>
    <r>
      <rPr>
        <b/>
        <sz val="14"/>
        <rFont val="Times New Roman"/>
        <family val="1"/>
        <scheme val="major"/>
      </rPr>
      <t xml:space="preserve"> (cm</t>
    </r>
    <r>
      <rPr>
        <b/>
        <vertAlign val="superscript"/>
        <sz val="14"/>
        <rFont val="Times New Roman"/>
        <family val="1"/>
        <scheme val="major"/>
      </rPr>
      <t>4</t>
    </r>
    <r>
      <rPr>
        <b/>
        <sz val="14"/>
        <rFont val="Times New Roman"/>
        <family val="1"/>
        <scheme val="major"/>
      </rPr>
      <t>)</t>
    </r>
  </si>
  <si>
    <r>
      <t>S</t>
    </r>
    <r>
      <rPr>
        <b/>
        <vertAlign val="subscript"/>
        <sz val="14"/>
        <rFont val="Times New Roman"/>
        <family val="1"/>
        <scheme val="major"/>
      </rPr>
      <t>x</t>
    </r>
    <r>
      <rPr>
        <b/>
        <sz val="14"/>
        <rFont val="Times New Roman"/>
        <family val="1"/>
        <scheme val="major"/>
      </rPr>
      <t xml:space="preserve"> (cm</t>
    </r>
    <r>
      <rPr>
        <b/>
        <vertAlign val="superscript"/>
        <sz val="14"/>
        <rFont val="Times New Roman"/>
        <family val="1"/>
        <scheme val="major"/>
      </rPr>
      <t>3</t>
    </r>
    <r>
      <rPr>
        <b/>
        <sz val="14"/>
        <rFont val="Times New Roman"/>
        <family val="1"/>
        <scheme val="major"/>
      </rPr>
      <t>)</t>
    </r>
  </si>
  <si>
    <r>
      <t>r</t>
    </r>
    <r>
      <rPr>
        <b/>
        <vertAlign val="subscript"/>
        <sz val="14"/>
        <rFont val="Times New Roman"/>
        <family val="1"/>
        <scheme val="major"/>
      </rPr>
      <t>x</t>
    </r>
    <r>
      <rPr>
        <b/>
        <sz val="14"/>
        <rFont val="Times New Roman"/>
        <family val="1"/>
        <scheme val="major"/>
      </rPr>
      <t xml:space="preserve"> (cm)</t>
    </r>
  </si>
  <si>
    <r>
      <t>I</t>
    </r>
    <r>
      <rPr>
        <b/>
        <vertAlign val="subscript"/>
        <sz val="14"/>
        <rFont val="Times New Roman"/>
        <family val="1"/>
        <scheme val="major"/>
      </rPr>
      <t>y</t>
    </r>
    <r>
      <rPr>
        <b/>
        <sz val="14"/>
        <rFont val="Times New Roman"/>
        <family val="1"/>
        <scheme val="major"/>
      </rPr>
      <t xml:space="preserve"> (cm</t>
    </r>
    <r>
      <rPr>
        <b/>
        <vertAlign val="superscript"/>
        <sz val="14"/>
        <rFont val="Times New Roman"/>
        <family val="1"/>
        <scheme val="major"/>
      </rPr>
      <t>4</t>
    </r>
    <r>
      <rPr>
        <b/>
        <sz val="14"/>
        <rFont val="Times New Roman"/>
        <family val="1"/>
        <scheme val="major"/>
      </rPr>
      <t>)</t>
    </r>
  </si>
  <si>
    <r>
      <t>S</t>
    </r>
    <r>
      <rPr>
        <b/>
        <vertAlign val="subscript"/>
        <sz val="14"/>
        <rFont val="Times New Roman"/>
        <family val="1"/>
        <scheme val="major"/>
      </rPr>
      <t>y</t>
    </r>
    <r>
      <rPr>
        <b/>
        <sz val="14"/>
        <rFont val="Times New Roman"/>
        <family val="1"/>
        <scheme val="major"/>
      </rPr>
      <t xml:space="preserve"> (cm</t>
    </r>
    <r>
      <rPr>
        <b/>
        <vertAlign val="superscript"/>
        <sz val="14"/>
        <rFont val="Times New Roman"/>
        <family val="1"/>
        <scheme val="major"/>
      </rPr>
      <t>3</t>
    </r>
    <r>
      <rPr>
        <b/>
        <sz val="14"/>
        <rFont val="Times New Roman"/>
        <family val="1"/>
        <scheme val="major"/>
      </rPr>
      <t>)</t>
    </r>
  </si>
  <si>
    <r>
      <t>r</t>
    </r>
    <r>
      <rPr>
        <b/>
        <vertAlign val="subscript"/>
        <sz val="14"/>
        <rFont val="Times New Roman"/>
        <family val="1"/>
        <scheme val="major"/>
      </rPr>
      <t>y</t>
    </r>
    <r>
      <rPr>
        <b/>
        <sz val="14"/>
        <rFont val="Times New Roman"/>
        <family val="1"/>
        <scheme val="major"/>
      </rPr>
      <t xml:space="preserve"> (cm)</t>
    </r>
  </si>
  <si>
    <t>(cm)</t>
  </si>
  <si>
    <r>
      <t>W</t>
    </r>
    <r>
      <rPr>
        <vertAlign val="subscript"/>
        <sz val="14"/>
        <color theme="1"/>
        <rFont val="Times New Roman"/>
        <family val="1"/>
        <scheme val="major"/>
      </rPr>
      <t>D.L</t>
    </r>
    <r>
      <rPr>
        <sz val="14"/>
        <color theme="1"/>
        <rFont val="Times New Roman"/>
        <family val="1"/>
        <scheme val="major"/>
      </rPr>
      <t xml:space="preserve"> =</t>
    </r>
  </si>
  <si>
    <r>
      <t>W</t>
    </r>
    <r>
      <rPr>
        <vertAlign val="subscript"/>
        <sz val="14"/>
        <color theme="1"/>
        <rFont val="Times New Roman"/>
        <family val="1"/>
        <scheme val="major"/>
      </rPr>
      <t xml:space="preserve">D.Lx </t>
    </r>
    <r>
      <rPr>
        <sz val="14"/>
        <color theme="1"/>
        <rFont val="Times New Roman"/>
        <family val="1"/>
        <scheme val="major"/>
      </rPr>
      <t>=</t>
    </r>
  </si>
  <si>
    <r>
      <t>t/cm</t>
    </r>
    <r>
      <rPr>
        <vertAlign val="superscript"/>
        <sz val="14"/>
        <color theme="1"/>
        <rFont val="Times New Roman"/>
        <family val="1"/>
        <scheme val="major"/>
      </rPr>
      <t>2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</si>
  <si>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L.Lx</t>
    </r>
    <r>
      <rPr>
        <sz val="14"/>
        <color theme="1"/>
        <rFont val="Times New Roman"/>
        <family val="1"/>
        <scheme val="major"/>
      </rPr>
      <t xml:space="preserve"> =</t>
    </r>
  </si>
  <si>
    <r>
      <t>W</t>
    </r>
    <r>
      <rPr>
        <vertAlign val="subscript"/>
        <sz val="14"/>
        <color theme="1"/>
        <rFont val="Times New Roman"/>
        <family val="1"/>
        <scheme val="major"/>
      </rPr>
      <t>D.Ly</t>
    </r>
    <r>
      <rPr>
        <sz val="14"/>
        <color theme="1"/>
        <rFont val="Times New Roman"/>
        <family val="1"/>
        <scheme val="major"/>
      </rPr>
      <t>=</t>
    </r>
  </si>
  <si>
    <r>
      <t>W</t>
    </r>
    <r>
      <rPr>
        <vertAlign val="subscript"/>
        <sz val="14"/>
        <color theme="1"/>
        <rFont val="Times New Roman"/>
        <family val="1"/>
        <scheme val="major"/>
      </rPr>
      <t>L.L</t>
    </r>
    <r>
      <rPr>
        <sz val="14"/>
        <color theme="1"/>
        <rFont val="Times New Roman"/>
        <family val="1"/>
        <scheme val="major"/>
      </rPr>
      <t xml:space="preserve"> =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</si>
  <si>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L.Ly</t>
    </r>
    <r>
      <rPr>
        <sz val="14"/>
        <color theme="1"/>
        <rFont val="Times New Roman"/>
        <family val="1"/>
        <scheme val="major"/>
      </rPr>
      <t xml:space="preserve"> =</t>
    </r>
  </si>
  <si>
    <r>
      <t>F</t>
    </r>
    <r>
      <rPr>
        <vertAlign val="subscript"/>
        <sz val="14"/>
        <color theme="1"/>
        <rFont val="Times New Roman"/>
        <family val="1"/>
        <scheme val="major"/>
      </rPr>
      <t>y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</si>
  <si>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D.Lx</t>
    </r>
    <r>
      <rPr>
        <sz val="14"/>
        <color theme="1"/>
        <rFont val="Times New Roman"/>
        <family val="1"/>
        <scheme val="major"/>
      </rPr>
      <t xml:space="preserve"> =</t>
    </r>
  </si>
  <si>
    <r>
      <t>W</t>
    </r>
    <r>
      <rPr>
        <vertAlign val="subscript"/>
        <sz val="14"/>
        <color theme="1"/>
        <rFont val="Times New Roman"/>
        <family val="1"/>
        <scheme val="major"/>
      </rPr>
      <t>L.Lx</t>
    </r>
    <r>
      <rPr>
        <sz val="14"/>
        <color theme="1"/>
        <rFont val="Times New Roman"/>
        <family val="1"/>
        <scheme val="major"/>
      </rPr>
      <t xml:space="preserve"> =</t>
    </r>
  </si>
  <si>
    <r>
      <t>Q</t>
    </r>
    <r>
      <rPr>
        <vertAlign val="subscript"/>
        <sz val="14"/>
        <color theme="1"/>
        <rFont val="Times New Roman"/>
        <family val="1"/>
        <scheme val="major"/>
      </rPr>
      <t>L.Lx</t>
    </r>
    <r>
      <rPr>
        <sz val="14"/>
        <color theme="1"/>
        <rFont val="Times New Roman"/>
        <family val="1"/>
        <scheme val="major"/>
      </rPr>
      <t xml:space="preserve"> =</t>
    </r>
  </si>
  <si>
    <r>
      <t>F</t>
    </r>
    <r>
      <rPr>
        <vertAlign val="subscript"/>
        <sz val="14"/>
        <color theme="1"/>
        <rFont val="Times New Roman"/>
        <family val="1"/>
        <scheme val="major"/>
      </rPr>
      <t>u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</si>
  <si>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D.Ly</t>
    </r>
    <r>
      <rPr>
        <sz val="14"/>
        <color theme="1"/>
        <rFont val="Times New Roman"/>
        <family val="1"/>
        <scheme val="major"/>
      </rPr>
      <t xml:space="preserve"> =</t>
    </r>
  </si>
  <si>
    <r>
      <t>W</t>
    </r>
    <r>
      <rPr>
        <vertAlign val="subscript"/>
        <sz val="14"/>
        <color theme="1"/>
        <rFont val="Times New Roman"/>
        <family val="1"/>
        <scheme val="major"/>
      </rPr>
      <t>L.Ly</t>
    </r>
    <r>
      <rPr>
        <sz val="14"/>
        <color theme="1"/>
        <rFont val="Times New Roman"/>
        <family val="1"/>
        <scheme val="major"/>
      </rPr>
      <t xml:space="preserve"> =</t>
    </r>
  </si>
  <si>
    <r>
      <t>Q</t>
    </r>
    <r>
      <rPr>
        <vertAlign val="subscript"/>
        <sz val="14"/>
        <color theme="1"/>
        <rFont val="Times New Roman"/>
        <family val="1"/>
        <scheme val="major"/>
      </rPr>
      <t>D.Lx</t>
    </r>
    <r>
      <rPr>
        <sz val="14"/>
        <color theme="1"/>
        <rFont val="Times New Roman"/>
        <family val="1"/>
        <scheme val="major"/>
      </rPr>
      <t xml:space="preserve"> =</t>
    </r>
  </si>
  <si>
    <r>
      <t>span = L</t>
    </r>
    <r>
      <rPr>
        <vertAlign val="subscript"/>
        <sz val="14"/>
        <color theme="1"/>
        <rFont val="Times New Roman"/>
        <family val="1"/>
        <scheme val="major"/>
      </rPr>
      <t>b</t>
    </r>
  </si>
  <si>
    <r>
      <t>kg/m</t>
    </r>
    <r>
      <rPr>
        <vertAlign val="superscript"/>
        <sz val="14"/>
        <color theme="1"/>
        <rFont val="Times New Roman"/>
        <family val="1"/>
        <scheme val="major"/>
      </rPr>
      <t>2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</si>
  <si>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x</t>
    </r>
  </si>
  <si>
    <r>
      <t>cm</t>
    </r>
    <r>
      <rPr>
        <vertAlign val="superscript"/>
        <sz val="14"/>
        <color theme="1"/>
        <rFont val="Times New Roman"/>
        <family val="1"/>
        <scheme val="major"/>
      </rPr>
      <t>2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</si>
  <si>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y</t>
    </r>
  </si>
  <si>
    <r>
      <t>Q</t>
    </r>
    <r>
      <rPr>
        <vertAlign val="subscript"/>
        <sz val="14"/>
        <color theme="1"/>
        <rFont val="Times New Roman"/>
        <family val="1"/>
        <scheme val="major"/>
      </rPr>
      <t>x</t>
    </r>
  </si>
  <si>
    <r>
      <t>I</t>
    </r>
    <r>
      <rPr>
        <vertAlign val="subscript"/>
        <sz val="14"/>
        <color theme="1"/>
        <rFont val="Times New Roman"/>
        <family val="1"/>
        <scheme val="major"/>
      </rPr>
      <t>x</t>
    </r>
  </si>
  <si>
    <r>
      <t>cm</t>
    </r>
    <r>
      <rPr>
        <vertAlign val="superscript"/>
        <sz val="14"/>
        <color theme="1"/>
        <rFont val="Times New Roman"/>
        <family val="1"/>
        <scheme val="major"/>
      </rPr>
      <t>4</t>
    </r>
  </si>
  <si>
    <r>
      <t>S</t>
    </r>
    <r>
      <rPr>
        <vertAlign val="subscript"/>
        <sz val="14"/>
        <color theme="1"/>
        <rFont val="Times New Roman"/>
        <family val="1"/>
        <scheme val="major"/>
      </rPr>
      <t>x</t>
    </r>
  </si>
  <si>
    <r>
      <t>cm</t>
    </r>
    <r>
      <rPr>
        <vertAlign val="superscript"/>
        <sz val="14"/>
        <color theme="1"/>
        <rFont val="Times New Roman"/>
        <family val="1"/>
        <scheme val="major"/>
      </rPr>
      <t>3</t>
    </r>
  </si>
  <si>
    <r>
      <t>r</t>
    </r>
    <r>
      <rPr>
        <vertAlign val="subscript"/>
        <sz val="14"/>
        <color theme="1"/>
        <rFont val="Times New Roman"/>
        <family val="1"/>
        <scheme val="major"/>
      </rPr>
      <t>x</t>
    </r>
  </si>
  <si>
    <r>
      <t>I</t>
    </r>
    <r>
      <rPr>
        <vertAlign val="subscript"/>
        <sz val="14"/>
        <color theme="1"/>
        <rFont val="Times New Roman"/>
        <family val="1"/>
        <scheme val="major"/>
      </rPr>
      <t>y</t>
    </r>
  </si>
  <si>
    <r>
      <t>S</t>
    </r>
    <r>
      <rPr>
        <vertAlign val="subscript"/>
        <sz val="14"/>
        <color theme="1"/>
        <rFont val="Times New Roman"/>
        <family val="1"/>
        <scheme val="major"/>
      </rPr>
      <t>y</t>
    </r>
  </si>
  <si>
    <r>
      <t>r</t>
    </r>
    <r>
      <rPr>
        <vertAlign val="subscript"/>
        <sz val="14"/>
        <color theme="1"/>
        <rFont val="Times New Roman"/>
        <family val="1"/>
        <scheme val="major"/>
      </rPr>
      <t>y</t>
    </r>
  </si>
  <si>
    <t>Ψ =</t>
  </si>
  <si>
    <r>
      <rPr>
        <b/>
        <sz val="14"/>
        <color theme="1"/>
        <rFont val="Times New Roman"/>
        <family val="1"/>
        <scheme val="major"/>
      </rPr>
      <t>λ</t>
    </r>
    <r>
      <rPr>
        <b/>
        <vertAlign val="subscript"/>
        <sz val="14"/>
        <color theme="1"/>
        <rFont val="Times New Roman"/>
        <family val="1"/>
        <scheme val="major"/>
      </rPr>
      <t>p</t>
    </r>
    <r>
      <rPr>
        <sz val="14"/>
        <color theme="1"/>
        <rFont val="Times New Roman"/>
        <family val="1"/>
        <scheme val="major"/>
      </rPr>
      <t xml:space="preserve"> =</t>
    </r>
  </si>
  <si>
    <r>
      <t>h</t>
    </r>
    <r>
      <rPr>
        <vertAlign val="subscript"/>
        <sz val="14"/>
        <color theme="1"/>
        <rFont val="Times New Roman"/>
        <family val="1"/>
        <scheme val="major"/>
      </rPr>
      <t>eff</t>
    </r>
    <r>
      <rPr>
        <sz val="14"/>
        <color theme="1"/>
        <rFont val="Times New Roman"/>
        <family val="1"/>
        <scheme val="major"/>
      </rPr>
      <t xml:space="preserve"> =</t>
    </r>
  </si>
  <si>
    <r>
      <t>mm</t>
    </r>
    <r>
      <rPr>
        <vertAlign val="superscript"/>
        <sz val="14"/>
        <color theme="1"/>
        <rFont val="Times New Roman"/>
        <family val="1"/>
        <scheme val="major"/>
      </rPr>
      <t>4</t>
    </r>
  </si>
  <si>
    <r>
      <t>d</t>
    </r>
    <r>
      <rPr>
        <vertAlign val="subscript"/>
        <sz val="14"/>
        <color theme="1"/>
        <rFont val="Times New Roman"/>
        <family val="1"/>
        <scheme val="major"/>
      </rPr>
      <t>eff</t>
    </r>
    <r>
      <rPr>
        <sz val="14"/>
        <color theme="1"/>
        <rFont val="Times New Roman"/>
        <family val="1"/>
        <scheme val="major"/>
      </rPr>
      <t xml:space="preserve"> =</t>
    </r>
  </si>
  <si>
    <r>
      <t>b</t>
    </r>
    <r>
      <rPr>
        <vertAlign val="subscript"/>
        <sz val="14"/>
        <color theme="1"/>
        <rFont val="Times New Roman"/>
        <family val="1"/>
        <scheme val="major"/>
      </rPr>
      <t>eff</t>
    </r>
    <r>
      <rPr>
        <sz val="14"/>
        <color theme="1"/>
        <rFont val="Times New Roman"/>
        <family val="1"/>
        <scheme val="major"/>
      </rPr>
      <t xml:space="preserve"> =</t>
    </r>
  </si>
  <si>
    <r>
      <t>I</t>
    </r>
    <r>
      <rPr>
        <vertAlign val="subscript"/>
        <sz val="14"/>
        <color theme="1"/>
        <rFont val="Times New Roman"/>
        <family val="1"/>
        <scheme val="major"/>
      </rPr>
      <t>xeff</t>
    </r>
  </si>
  <si>
    <r>
      <t>I</t>
    </r>
    <r>
      <rPr>
        <vertAlign val="subscript"/>
        <sz val="14"/>
        <color theme="1"/>
        <rFont val="Times New Roman"/>
        <family val="1"/>
        <scheme val="major"/>
      </rPr>
      <t>yeff</t>
    </r>
  </si>
  <si>
    <r>
      <t>f</t>
    </r>
    <r>
      <rPr>
        <vertAlign val="subscript"/>
        <sz val="14"/>
        <color theme="1"/>
        <rFont val="Times New Roman"/>
        <family val="1"/>
        <scheme val="major"/>
      </rPr>
      <t>b</t>
    </r>
    <r>
      <rPr>
        <sz val="14"/>
        <color theme="1"/>
        <rFont val="Times New Roman"/>
        <family val="1"/>
        <scheme val="major"/>
      </rPr>
      <t xml:space="preserve"> / ΦF</t>
    </r>
    <r>
      <rPr>
        <vertAlign val="subscript"/>
        <sz val="14"/>
        <color theme="1"/>
        <rFont val="Times New Roman"/>
        <family val="1"/>
        <scheme val="major"/>
      </rPr>
      <t>y</t>
    </r>
  </si>
  <si>
    <r>
      <t>Q</t>
    </r>
    <r>
      <rPr>
        <vertAlign val="subscript"/>
        <sz val="14"/>
        <color theme="1"/>
        <rFont val="Times New Roman"/>
        <family val="1"/>
        <scheme val="major"/>
      </rPr>
      <t>x</t>
    </r>
    <r>
      <rPr>
        <sz val="14"/>
        <color theme="1"/>
        <rFont val="Times New Roman"/>
        <family val="1"/>
        <scheme val="major"/>
      </rPr>
      <t xml:space="preserve"> / V</t>
    </r>
    <r>
      <rPr>
        <vertAlign val="subscript"/>
        <sz val="14"/>
        <color theme="1"/>
        <rFont val="Times New Roman"/>
        <family val="1"/>
        <scheme val="major"/>
      </rPr>
      <t>r</t>
    </r>
  </si>
  <si>
    <r>
      <t>h</t>
    </r>
    <r>
      <rPr>
        <vertAlign val="subscript"/>
        <sz val="14"/>
        <color theme="1"/>
        <rFont val="Times New Roman"/>
        <family val="1"/>
        <scheme val="major"/>
      </rPr>
      <t>w</t>
    </r>
    <r>
      <rPr>
        <sz val="14"/>
        <color theme="1"/>
        <rFont val="Times New Roman"/>
        <family val="1"/>
        <scheme val="major"/>
      </rPr>
      <t xml:space="preserve"> / t</t>
    </r>
    <r>
      <rPr>
        <vertAlign val="subscript"/>
        <sz val="14"/>
        <color theme="1"/>
        <rFont val="Times New Roman"/>
        <family val="1"/>
        <scheme val="major"/>
      </rPr>
      <t>w</t>
    </r>
    <r>
      <rPr>
        <sz val="14"/>
        <color theme="1"/>
        <rFont val="Times New Roman"/>
        <family val="1"/>
        <scheme val="major"/>
      </rPr>
      <t xml:space="preserve"> =</t>
    </r>
  </si>
  <si>
    <r>
      <t>C / t</t>
    </r>
    <r>
      <rPr>
        <vertAlign val="subscript"/>
        <sz val="14"/>
        <color theme="1"/>
        <rFont val="Times New Roman"/>
        <family val="1"/>
        <scheme val="major"/>
      </rPr>
      <t>f</t>
    </r>
    <r>
      <rPr>
        <sz val="14"/>
        <color theme="1"/>
        <rFont val="Times New Roman"/>
        <family val="1"/>
        <scheme val="major"/>
      </rPr>
      <t xml:space="preserve"> =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</si>
  <si>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nx</t>
    </r>
    <r>
      <rPr>
        <sz val="14"/>
        <color theme="1"/>
        <rFont val="Times New Roman"/>
        <family val="1"/>
        <scheme val="major"/>
      </rPr>
      <t xml:space="preserve"> =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</si>
  <si>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x</t>
    </r>
    <r>
      <rPr>
        <sz val="14"/>
        <color theme="1"/>
        <rFont val="Times New Roman"/>
        <family val="1"/>
        <scheme val="major"/>
      </rPr>
      <t xml:space="preserve"> / ΦM</t>
    </r>
    <r>
      <rPr>
        <vertAlign val="subscript"/>
        <sz val="14"/>
        <color theme="1"/>
        <rFont val="Times New Roman"/>
        <family val="1"/>
        <scheme val="major"/>
      </rPr>
      <t>nx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</si>
  <si>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ny</t>
    </r>
    <r>
      <rPr>
        <sz val="14"/>
        <color theme="1"/>
        <rFont val="Times New Roman"/>
        <family val="1"/>
        <scheme val="major"/>
      </rPr>
      <t xml:space="preserve"> =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</si>
  <si>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y</t>
    </r>
    <r>
      <rPr>
        <sz val="14"/>
        <color theme="1"/>
        <rFont val="Times New Roman"/>
        <family val="1"/>
        <scheme val="major"/>
      </rPr>
      <t xml:space="preserve"> / ΦM</t>
    </r>
    <r>
      <rPr>
        <vertAlign val="subscript"/>
        <sz val="14"/>
        <color theme="1"/>
        <rFont val="Times New Roman"/>
        <family val="1"/>
        <scheme val="major"/>
      </rPr>
      <t>ny</t>
    </r>
  </si>
  <si>
    <r>
      <t>L</t>
    </r>
    <r>
      <rPr>
        <vertAlign val="subscript"/>
        <sz val="14"/>
        <color theme="1"/>
        <rFont val="Times New Roman"/>
        <family val="1"/>
        <scheme val="major"/>
      </rPr>
      <t xml:space="preserve">b </t>
    </r>
    <r>
      <rPr>
        <sz val="14"/>
        <color theme="1"/>
        <rFont val="Times New Roman"/>
        <family val="1"/>
        <scheme val="major"/>
      </rPr>
      <t>&lt;= L</t>
    </r>
    <r>
      <rPr>
        <vertAlign val="subscript"/>
        <sz val="14"/>
        <color theme="1"/>
        <rFont val="Times New Roman"/>
        <family val="1"/>
        <scheme val="major"/>
      </rPr>
      <t>p</t>
    </r>
  </si>
  <si>
    <r>
      <t>L</t>
    </r>
    <r>
      <rPr>
        <vertAlign val="subscript"/>
        <sz val="14"/>
        <color theme="1"/>
        <rFont val="Times New Roman"/>
        <family val="1"/>
        <scheme val="major"/>
      </rPr>
      <t>p</t>
    </r>
    <r>
      <rPr>
        <sz val="14"/>
        <color theme="1"/>
        <rFont val="Times New Roman"/>
        <family val="1"/>
        <scheme val="major"/>
      </rPr>
      <t>&lt; L</t>
    </r>
    <r>
      <rPr>
        <vertAlign val="subscript"/>
        <sz val="14"/>
        <color theme="1"/>
        <rFont val="Times New Roman"/>
        <family val="1"/>
        <scheme val="major"/>
      </rPr>
      <t xml:space="preserve">b </t>
    </r>
    <r>
      <rPr>
        <sz val="14"/>
        <color theme="1"/>
        <rFont val="Times New Roman"/>
        <family val="1"/>
        <scheme val="major"/>
      </rPr>
      <t>&lt;= L</t>
    </r>
    <r>
      <rPr>
        <vertAlign val="subscript"/>
        <sz val="14"/>
        <color theme="1"/>
        <rFont val="Times New Roman"/>
        <family val="1"/>
        <scheme val="major"/>
      </rPr>
      <t>r</t>
    </r>
  </si>
  <si>
    <r>
      <t>L</t>
    </r>
    <r>
      <rPr>
        <vertAlign val="subscript"/>
        <sz val="14"/>
        <color theme="1"/>
        <rFont val="Times New Roman"/>
        <family val="1"/>
        <scheme val="major"/>
      </rPr>
      <t xml:space="preserve">b </t>
    </r>
    <r>
      <rPr>
        <sz val="14"/>
        <color theme="1"/>
        <rFont val="Times New Roman"/>
        <family val="1"/>
        <scheme val="major"/>
      </rPr>
      <t>&gt; L</t>
    </r>
    <r>
      <rPr>
        <vertAlign val="subscript"/>
        <sz val="14"/>
        <color theme="1"/>
        <rFont val="Times New Roman"/>
        <family val="1"/>
        <scheme val="major"/>
      </rPr>
      <t>r</t>
    </r>
  </si>
  <si>
    <r>
      <t>Q</t>
    </r>
    <r>
      <rPr>
        <vertAlign val="subscript"/>
        <sz val="14"/>
        <color theme="1"/>
        <rFont val="Times New Roman"/>
        <family val="1"/>
        <scheme val="major"/>
      </rPr>
      <t xml:space="preserve">x </t>
    </r>
    <r>
      <rPr>
        <sz val="14"/>
        <color theme="1"/>
        <rFont val="Times New Roman"/>
        <family val="1"/>
        <scheme val="major"/>
      </rPr>
      <t>/ ΦQ</t>
    </r>
    <r>
      <rPr>
        <vertAlign val="subscript"/>
        <sz val="14"/>
        <color theme="1"/>
        <rFont val="Times New Roman"/>
        <family val="1"/>
        <scheme val="major"/>
      </rPr>
      <t>nx</t>
    </r>
    <r>
      <rPr>
        <sz val="14"/>
        <color theme="1"/>
        <rFont val="Times New Roman"/>
        <family val="1"/>
        <scheme val="major"/>
      </rPr>
      <t xml:space="preserve"> =</t>
    </r>
  </si>
  <si>
    <r>
      <t>P</t>
    </r>
    <r>
      <rPr>
        <vertAlign val="subscript"/>
        <sz val="14"/>
        <color theme="1"/>
        <rFont val="Times New Roman"/>
        <family val="1"/>
        <scheme val="major"/>
      </rPr>
      <t>r1</t>
    </r>
    <r>
      <rPr>
        <sz val="14"/>
        <color theme="1"/>
        <rFont val="Times New Roman"/>
        <family val="1"/>
        <scheme val="major"/>
      </rPr>
      <t xml:space="preserve"> =</t>
    </r>
  </si>
  <si>
    <r>
      <t>P</t>
    </r>
    <r>
      <rPr>
        <vertAlign val="subscript"/>
        <sz val="14"/>
        <color theme="1"/>
        <rFont val="Times New Roman"/>
        <family val="1"/>
        <scheme val="major"/>
      </rPr>
      <t>r2</t>
    </r>
    <r>
      <rPr>
        <sz val="14"/>
        <color theme="1"/>
        <rFont val="Times New Roman"/>
        <family val="1"/>
        <scheme val="major"/>
      </rPr>
      <t xml:space="preserve"> =</t>
    </r>
  </si>
  <si>
    <t>Wt.</t>
  </si>
  <si>
    <r>
      <t>KN/m</t>
    </r>
    <r>
      <rPr>
        <vertAlign val="superscript"/>
        <sz val="14"/>
        <color theme="1"/>
        <rFont val="Times New Roman"/>
        <family val="1"/>
        <scheme val="major"/>
      </rPr>
      <t>2</t>
    </r>
  </si>
  <si>
    <r>
      <t>W</t>
    </r>
    <r>
      <rPr>
        <vertAlign val="subscript"/>
        <sz val="14"/>
        <color theme="1"/>
        <rFont val="Times New Roman"/>
        <family val="1"/>
        <scheme val="major"/>
      </rPr>
      <t>W.Lx</t>
    </r>
    <r>
      <rPr>
        <sz val="14"/>
        <color theme="1"/>
        <rFont val="Times New Roman"/>
        <family val="1"/>
        <scheme val="major"/>
      </rPr>
      <t xml:space="preserve"> ( suction )</t>
    </r>
  </si>
  <si>
    <r>
      <t>W</t>
    </r>
    <r>
      <rPr>
        <vertAlign val="subscript"/>
        <sz val="14"/>
        <color theme="1"/>
        <rFont val="Times New Roman"/>
        <family val="1"/>
        <scheme val="major"/>
      </rPr>
      <t>W.Lx</t>
    </r>
    <r>
      <rPr>
        <sz val="14"/>
        <color theme="1"/>
        <rFont val="Times New Roman"/>
        <family val="1"/>
        <scheme val="major"/>
      </rPr>
      <t xml:space="preserve"> ( pressure )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</si>
  <si>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W.Lx</t>
    </r>
    <r>
      <rPr>
        <sz val="14"/>
        <color theme="1"/>
        <rFont val="Times New Roman"/>
        <family val="1"/>
        <scheme val="major"/>
      </rPr>
      <t xml:space="preserve"> ( suction )</t>
    </r>
  </si>
  <si>
    <r>
      <t>M</t>
    </r>
    <r>
      <rPr>
        <vertAlign val="subscript"/>
        <sz val="14"/>
        <color theme="1"/>
        <rFont val="Times New Roman"/>
        <family val="1"/>
        <scheme val="major"/>
      </rPr>
      <t>W.Lx</t>
    </r>
    <r>
      <rPr>
        <sz val="14"/>
        <color theme="1"/>
        <rFont val="Times New Roman"/>
        <family val="1"/>
        <scheme val="major"/>
      </rPr>
      <t xml:space="preserve"> ( pressure )</t>
    </r>
  </si>
  <si>
    <r>
      <t>Q</t>
    </r>
    <r>
      <rPr>
        <vertAlign val="subscript"/>
        <sz val="14"/>
        <color theme="1"/>
        <rFont val="Times New Roman"/>
        <family val="1"/>
        <scheme val="major"/>
      </rPr>
      <t>W.Lx</t>
    </r>
    <r>
      <rPr>
        <sz val="14"/>
        <color theme="1"/>
        <rFont val="Times New Roman"/>
        <family val="1"/>
        <scheme val="major"/>
      </rPr>
      <t xml:space="preserve"> ( suction )</t>
    </r>
  </si>
  <si>
    <r>
      <t>Q</t>
    </r>
    <r>
      <rPr>
        <vertAlign val="subscript"/>
        <sz val="14"/>
        <color theme="1"/>
        <rFont val="Times New Roman"/>
        <family val="1"/>
        <scheme val="major"/>
      </rPr>
      <t>W.Lx</t>
    </r>
    <r>
      <rPr>
        <sz val="14"/>
        <color theme="1"/>
        <rFont val="Times New Roman"/>
        <family val="1"/>
        <scheme val="major"/>
      </rPr>
      <t xml:space="preserve"> ( pressure )</t>
    </r>
  </si>
  <si>
    <r>
      <t>Z</t>
    </r>
    <r>
      <rPr>
        <vertAlign val="subscript"/>
        <sz val="14"/>
        <color theme="1"/>
        <rFont val="Times New Roman"/>
        <family val="1"/>
        <scheme val="major"/>
      </rPr>
      <t>x</t>
    </r>
  </si>
  <si>
    <r>
      <t>Z</t>
    </r>
    <r>
      <rPr>
        <vertAlign val="subscript"/>
        <sz val="14"/>
        <color theme="1"/>
        <rFont val="Times New Roman"/>
        <family val="1"/>
        <scheme val="major"/>
      </rPr>
      <t>y</t>
    </r>
  </si>
  <si>
    <r>
      <t>L</t>
    </r>
    <r>
      <rPr>
        <vertAlign val="subscript"/>
        <sz val="14"/>
        <color theme="1"/>
        <rFont val="Times New Roman"/>
        <family val="1"/>
        <scheme val="major"/>
      </rPr>
      <t>p</t>
    </r>
  </si>
  <si>
    <r>
      <t>r</t>
    </r>
    <r>
      <rPr>
        <vertAlign val="subscript"/>
        <sz val="14"/>
        <color theme="1"/>
        <rFont val="Times New Roman"/>
        <family val="1"/>
        <scheme val="major"/>
      </rPr>
      <t>t</t>
    </r>
  </si>
  <si>
    <r>
      <t>L</t>
    </r>
    <r>
      <rPr>
        <vertAlign val="subscript"/>
        <sz val="14"/>
        <color theme="1"/>
        <rFont val="Times New Roman"/>
        <family val="1"/>
        <scheme val="major"/>
      </rPr>
      <t>r</t>
    </r>
  </si>
  <si>
    <t>Sec.</t>
  </si>
  <si>
    <t>No.</t>
  </si>
  <si>
    <r>
      <t>Kg/m</t>
    </r>
    <r>
      <rPr>
        <vertAlign val="superscript"/>
        <sz val="14"/>
        <color theme="1"/>
        <rFont val="Times New Roman"/>
        <family val="1"/>
        <scheme val="major"/>
      </rPr>
      <t>2</t>
    </r>
  </si>
  <si>
    <t>For Details</t>
  </si>
  <si>
    <r>
      <t>t=r</t>
    </r>
    <r>
      <rPr>
        <b/>
        <vertAlign val="subscript"/>
        <sz val="14"/>
        <rFont val="Times New Roman"/>
        <family val="1"/>
        <scheme val="major"/>
      </rPr>
      <t>2</t>
    </r>
  </si>
  <si>
    <r>
      <t>I</t>
    </r>
    <r>
      <rPr>
        <b/>
        <vertAlign val="subscript"/>
        <sz val="14"/>
        <rFont val="Times New Roman"/>
        <family val="1"/>
        <scheme val="major"/>
      </rPr>
      <t>x</t>
    </r>
    <r>
      <rPr>
        <b/>
        <sz val="14"/>
        <rFont val="Times New Roman"/>
        <family val="1"/>
        <scheme val="major"/>
      </rPr>
      <t>(cm</t>
    </r>
    <r>
      <rPr>
        <b/>
        <vertAlign val="superscript"/>
        <sz val="14"/>
        <rFont val="Times New Roman"/>
        <family val="1"/>
        <scheme val="major"/>
      </rPr>
      <t>4</t>
    </r>
    <r>
      <rPr>
        <b/>
        <sz val="14"/>
        <rFont val="Times New Roman"/>
        <family val="1"/>
        <scheme val="major"/>
      </rPr>
      <t>)</t>
    </r>
  </si>
  <si>
    <r>
      <t>S</t>
    </r>
    <r>
      <rPr>
        <b/>
        <vertAlign val="subscript"/>
        <sz val="14"/>
        <rFont val="Times New Roman"/>
        <family val="1"/>
        <scheme val="major"/>
      </rPr>
      <t>x</t>
    </r>
    <r>
      <rPr>
        <b/>
        <sz val="14"/>
        <rFont val="Times New Roman"/>
        <family val="1"/>
        <scheme val="major"/>
      </rPr>
      <t>(cm</t>
    </r>
    <r>
      <rPr>
        <b/>
        <vertAlign val="superscript"/>
        <sz val="14"/>
        <rFont val="Times New Roman"/>
        <family val="1"/>
        <scheme val="major"/>
      </rPr>
      <t>3</t>
    </r>
    <r>
      <rPr>
        <b/>
        <sz val="14"/>
        <rFont val="Times New Roman"/>
        <family val="1"/>
        <scheme val="major"/>
      </rPr>
      <t>)</t>
    </r>
  </si>
  <si>
    <r>
      <t>r</t>
    </r>
    <r>
      <rPr>
        <b/>
        <vertAlign val="subscript"/>
        <sz val="14"/>
        <rFont val="Times New Roman"/>
        <family val="1"/>
        <scheme val="major"/>
      </rPr>
      <t>x</t>
    </r>
    <r>
      <rPr>
        <b/>
        <sz val="14"/>
        <rFont val="Times New Roman"/>
        <family val="1"/>
        <scheme val="major"/>
      </rPr>
      <t>(cm)</t>
    </r>
  </si>
  <si>
    <r>
      <t>I</t>
    </r>
    <r>
      <rPr>
        <b/>
        <vertAlign val="subscript"/>
        <sz val="14"/>
        <rFont val="Times New Roman"/>
        <family val="1"/>
        <scheme val="major"/>
      </rPr>
      <t>y</t>
    </r>
    <r>
      <rPr>
        <b/>
        <sz val="14"/>
        <rFont val="Times New Roman"/>
        <family val="1"/>
        <scheme val="major"/>
      </rPr>
      <t>(cm</t>
    </r>
    <r>
      <rPr>
        <b/>
        <vertAlign val="superscript"/>
        <sz val="14"/>
        <rFont val="Times New Roman"/>
        <family val="1"/>
        <scheme val="major"/>
      </rPr>
      <t>4</t>
    </r>
    <r>
      <rPr>
        <b/>
        <sz val="14"/>
        <rFont val="Times New Roman"/>
        <family val="1"/>
        <scheme val="major"/>
      </rPr>
      <t>)</t>
    </r>
  </si>
  <si>
    <r>
      <t>S</t>
    </r>
    <r>
      <rPr>
        <b/>
        <vertAlign val="subscript"/>
        <sz val="14"/>
        <rFont val="Times New Roman"/>
        <family val="1"/>
        <scheme val="major"/>
      </rPr>
      <t>y</t>
    </r>
    <r>
      <rPr>
        <b/>
        <sz val="14"/>
        <rFont val="Times New Roman"/>
        <family val="1"/>
        <scheme val="major"/>
      </rPr>
      <t>(cm</t>
    </r>
    <r>
      <rPr>
        <b/>
        <vertAlign val="superscript"/>
        <sz val="14"/>
        <rFont val="Times New Roman"/>
        <family val="1"/>
        <scheme val="major"/>
      </rPr>
      <t>3</t>
    </r>
    <r>
      <rPr>
        <b/>
        <sz val="14"/>
        <rFont val="Times New Roman"/>
        <family val="1"/>
        <scheme val="major"/>
      </rPr>
      <t>)</t>
    </r>
  </si>
  <si>
    <r>
      <t>r</t>
    </r>
    <r>
      <rPr>
        <b/>
        <vertAlign val="subscript"/>
        <sz val="14"/>
        <rFont val="Times New Roman"/>
        <family val="1"/>
        <scheme val="major"/>
      </rPr>
      <t>y</t>
    </r>
    <r>
      <rPr>
        <b/>
        <sz val="14"/>
        <rFont val="Times New Roman"/>
        <family val="1"/>
        <scheme val="major"/>
      </rPr>
      <t>(cm)</t>
    </r>
  </si>
  <si>
    <r>
      <t>e</t>
    </r>
    <r>
      <rPr>
        <b/>
        <vertAlign val="subscript"/>
        <sz val="14"/>
        <rFont val="Times New Roman"/>
        <family val="1"/>
        <scheme val="major"/>
      </rPr>
      <t>y</t>
    </r>
    <r>
      <rPr>
        <b/>
        <sz val="14"/>
        <rFont val="Times New Roman"/>
        <family val="1"/>
        <scheme val="major"/>
      </rPr>
      <t>(cm)</t>
    </r>
  </si>
  <si>
    <r>
      <t>X</t>
    </r>
    <r>
      <rPr>
        <b/>
        <vertAlign val="subscript"/>
        <sz val="14"/>
        <rFont val="Times New Roman"/>
        <family val="1"/>
        <scheme val="major"/>
      </rPr>
      <t>m</t>
    </r>
    <r>
      <rPr>
        <b/>
        <sz val="14"/>
        <rFont val="Times New Roman"/>
        <family val="1"/>
        <scheme val="major"/>
      </rPr>
      <t>(cm)</t>
    </r>
  </si>
  <si>
    <t>30x15</t>
  </si>
  <si>
    <t>40x20</t>
  </si>
  <si>
    <t>50x25</t>
  </si>
  <si>
    <r>
      <t>(cm</t>
    </r>
    <r>
      <rPr>
        <b/>
        <vertAlign val="superscript"/>
        <sz val="12"/>
        <rFont val="Times New Roman"/>
        <family val="1"/>
        <scheme val="major"/>
      </rPr>
      <t>2</t>
    </r>
    <r>
      <rPr>
        <b/>
        <sz val="12"/>
        <rFont val="Times New Roman"/>
        <family val="1"/>
        <scheme val="major"/>
      </rPr>
      <t>)</t>
    </r>
  </si>
  <si>
    <r>
      <t>I</t>
    </r>
    <r>
      <rPr>
        <b/>
        <vertAlign val="subscript"/>
        <sz val="12"/>
        <rFont val="Times New Roman"/>
        <family val="1"/>
        <scheme val="major"/>
      </rPr>
      <t>x</t>
    </r>
    <r>
      <rPr>
        <b/>
        <sz val="12"/>
        <rFont val="Times New Roman"/>
        <family val="1"/>
        <scheme val="major"/>
      </rPr>
      <t>(cm</t>
    </r>
    <r>
      <rPr>
        <b/>
        <vertAlign val="superscript"/>
        <sz val="12"/>
        <rFont val="Times New Roman"/>
        <family val="1"/>
        <scheme val="major"/>
      </rPr>
      <t>4</t>
    </r>
    <r>
      <rPr>
        <b/>
        <sz val="12"/>
        <rFont val="Times New Roman"/>
        <family val="1"/>
        <scheme val="major"/>
      </rPr>
      <t>)</t>
    </r>
  </si>
  <si>
    <r>
      <t>S</t>
    </r>
    <r>
      <rPr>
        <b/>
        <vertAlign val="subscript"/>
        <sz val="12"/>
        <rFont val="Times New Roman"/>
        <family val="1"/>
        <scheme val="major"/>
      </rPr>
      <t>x</t>
    </r>
    <r>
      <rPr>
        <b/>
        <sz val="12"/>
        <rFont val="Times New Roman"/>
        <family val="1"/>
        <scheme val="major"/>
      </rPr>
      <t>(cm</t>
    </r>
    <r>
      <rPr>
        <b/>
        <vertAlign val="superscript"/>
        <sz val="12"/>
        <rFont val="Times New Roman"/>
        <family val="1"/>
        <scheme val="major"/>
      </rPr>
      <t>3</t>
    </r>
    <r>
      <rPr>
        <b/>
        <sz val="12"/>
        <rFont val="Times New Roman"/>
        <family val="1"/>
        <scheme val="major"/>
      </rPr>
      <t>)</t>
    </r>
  </si>
  <si>
    <r>
      <t>r</t>
    </r>
    <r>
      <rPr>
        <b/>
        <vertAlign val="subscript"/>
        <sz val="12"/>
        <rFont val="Times New Roman"/>
        <family val="1"/>
        <scheme val="major"/>
      </rPr>
      <t>x</t>
    </r>
    <r>
      <rPr>
        <b/>
        <sz val="12"/>
        <rFont val="Times New Roman"/>
        <family val="1"/>
        <scheme val="major"/>
      </rPr>
      <t>(cm)</t>
    </r>
  </si>
  <si>
    <r>
      <t>I</t>
    </r>
    <r>
      <rPr>
        <b/>
        <vertAlign val="subscript"/>
        <sz val="12"/>
        <rFont val="Times New Roman"/>
        <family val="1"/>
        <scheme val="major"/>
      </rPr>
      <t>y</t>
    </r>
    <r>
      <rPr>
        <b/>
        <sz val="12"/>
        <rFont val="Times New Roman"/>
        <family val="1"/>
        <scheme val="major"/>
      </rPr>
      <t>(cm</t>
    </r>
    <r>
      <rPr>
        <b/>
        <vertAlign val="superscript"/>
        <sz val="12"/>
        <rFont val="Times New Roman"/>
        <family val="1"/>
        <scheme val="major"/>
      </rPr>
      <t>4</t>
    </r>
    <r>
      <rPr>
        <b/>
        <sz val="12"/>
        <rFont val="Times New Roman"/>
        <family val="1"/>
        <scheme val="major"/>
      </rPr>
      <t>)</t>
    </r>
  </si>
  <si>
    <r>
      <t>S</t>
    </r>
    <r>
      <rPr>
        <b/>
        <vertAlign val="subscript"/>
        <sz val="12"/>
        <rFont val="Times New Roman"/>
        <family val="1"/>
        <scheme val="major"/>
      </rPr>
      <t>y</t>
    </r>
    <r>
      <rPr>
        <b/>
        <sz val="12"/>
        <rFont val="Times New Roman"/>
        <family val="1"/>
        <scheme val="major"/>
      </rPr>
      <t>(cm</t>
    </r>
    <r>
      <rPr>
        <b/>
        <vertAlign val="superscript"/>
        <sz val="12"/>
        <rFont val="Times New Roman"/>
        <family val="1"/>
        <scheme val="major"/>
      </rPr>
      <t>3</t>
    </r>
    <r>
      <rPr>
        <b/>
        <sz val="12"/>
        <rFont val="Times New Roman"/>
        <family val="1"/>
        <scheme val="major"/>
      </rPr>
      <t>)</t>
    </r>
  </si>
  <si>
    <r>
      <t>r</t>
    </r>
    <r>
      <rPr>
        <b/>
        <vertAlign val="subscript"/>
        <sz val="12"/>
        <rFont val="Times New Roman"/>
        <family val="1"/>
        <scheme val="major"/>
      </rPr>
      <t>y</t>
    </r>
    <r>
      <rPr>
        <b/>
        <sz val="12"/>
        <rFont val="Times New Roman"/>
        <family val="1"/>
        <scheme val="major"/>
      </rPr>
      <t>(cm)</t>
    </r>
  </si>
  <si>
    <r>
      <t>kg/m</t>
    </r>
    <r>
      <rPr>
        <vertAlign val="superscript"/>
        <sz val="14"/>
        <color theme="1"/>
        <rFont val="Agency FB"/>
        <family val="2"/>
      </rPr>
      <t>2</t>
    </r>
  </si>
  <si>
    <r>
      <t>M</t>
    </r>
    <r>
      <rPr>
        <vertAlign val="subscript"/>
        <sz val="14"/>
        <color theme="1"/>
        <rFont val="Agency FB"/>
        <family val="2"/>
      </rPr>
      <t>x</t>
    </r>
  </si>
  <si>
    <r>
      <t>cm</t>
    </r>
    <r>
      <rPr>
        <vertAlign val="superscript"/>
        <sz val="14"/>
        <color theme="1"/>
        <rFont val="Agency FB"/>
        <family val="2"/>
      </rPr>
      <t>2</t>
    </r>
  </si>
  <si>
    <r>
      <t>M</t>
    </r>
    <r>
      <rPr>
        <vertAlign val="subscript"/>
        <sz val="14"/>
        <color theme="1"/>
        <rFont val="Agency FB"/>
        <family val="2"/>
      </rPr>
      <t>y</t>
    </r>
  </si>
  <si>
    <r>
      <t>Q</t>
    </r>
    <r>
      <rPr>
        <vertAlign val="subscript"/>
        <sz val="14"/>
        <color theme="1"/>
        <rFont val="Agency FB"/>
        <family val="2"/>
      </rPr>
      <t>x</t>
    </r>
  </si>
  <si>
    <r>
      <t>I</t>
    </r>
    <r>
      <rPr>
        <vertAlign val="subscript"/>
        <sz val="14"/>
        <color theme="1"/>
        <rFont val="Agency FB"/>
        <family val="2"/>
      </rPr>
      <t>x</t>
    </r>
  </si>
  <si>
    <r>
      <t>cm</t>
    </r>
    <r>
      <rPr>
        <vertAlign val="superscript"/>
        <sz val="14"/>
        <color theme="1"/>
        <rFont val="Agency FB"/>
        <family val="2"/>
      </rPr>
      <t>4</t>
    </r>
  </si>
  <si>
    <r>
      <t>S</t>
    </r>
    <r>
      <rPr>
        <vertAlign val="subscript"/>
        <sz val="14"/>
        <color theme="1"/>
        <rFont val="Agency FB"/>
        <family val="2"/>
      </rPr>
      <t>x</t>
    </r>
  </si>
  <si>
    <r>
      <t>cm</t>
    </r>
    <r>
      <rPr>
        <vertAlign val="superscript"/>
        <sz val="14"/>
        <color theme="1"/>
        <rFont val="Agency FB"/>
        <family val="2"/>
      </rPr>
      <t>3</t>
    </r>
  </si>
  <si>
    <r>
      <t>r</t>
    </r>
    <r>
      <rPr>
        <vertAlign val="subscript"/>
        <sz val="14"/>
        <color theme="1"/>
        <rFont val="Agency FB"/>
        <family val="2"/>
      </rPr>
      <t>x</t>
    </r>
  </si>
  <si>
    <r>
      <t>I</t>
    </r>
    <r>
      <rPr>
        <vertAlign val="subscript"/>
        <sz val="14"/>
        <color theme="1"/>
        <rFont val="Agency FB"/>
        <family val="2"/>
      </rPr>
      <t>y</t>
    </r>
  </si>
  <si>
    <r>
      <t>h</t>
    </r>
    <r>
      <rPr>
        <vertAlign val="subscript"/>
        <sz val="14"/>
        <color theme="1"/>
        <rFont val="Agency FB"/>
        <family val="2"/>
      </rPr>
      <t>w</t>
    </r>
    <r>
      <rPr>
        <sz val="14"/>
        <color theme="1"/>
        <rFont val="Agency FB"/>
        <family val="2"/>
      </rPr>
      <t xml:space="preserve"> / t</t>
    </r>
    <r>
      <rPr>
        <vertAlign val="subscript"/>
        <sz val="14"/>
        <color theme="1"/>
        <rFont val="Agency FB"/>
        <family val="2"/>
      </rPr>
      <t>w</t>
    </r>
    <r>
      <rPr>
        <sz val="14"/>
        <color theme="1"/>
        <rFont val="Agency FB"/>
        <family val="2"/>
      </rPr>
      <t xml:space="preserve"> =</t>
    </r>
  </si>
  <si>
    <r>
      <t>S</t>
    </r>
    <r>
      <rPr>
        <vertAlign val="subscript"/>
        <sz val="14"/>
        <color theme="1"/>
        <rFont val="Agency FB"/>
        <family val="2"/>
      </rPr>
      <t>y</t>
    </r>
  </si>
  <si>
    <r>
      <t>C / t</t>
    </r>
    <r>
      <rPr>
        <vertAlign val="subscript"/>
        <sz val="14"/>
        <color theme="1"/>
        <rFont val="Agency FB"/>
        <family val="2"/>
      </rPr>
      <t>f</t>
    </r>
    <r>
      <rPr>
        <sz val="14"/>
        <color theme="1"/>
        <rFont val="Agency FB"/>
        <family val="2"/>
      </rPr>
      <t xml:space="preserve"> =</t>
    </r>
  </si>
  <si>
    <r>
      <t>r</t>
    </r>
    <r>
      <rPr>
        <vertAlign val="subscript"/>
        <sz val="14"/>
        <color theme="1"/>
        <rFont val="Agency FB"/>
        <family val="2"/>
      </rPr>
      <t>y</t>
    </r>
  </si>
  <si>
    <r>
      <rPr>
        <b/>
        <sz val="14"/>
        <color theme="1"/>
        <rFont val="Agency FB"/>
        <family val="2"/>
      </rPr>
      <t>λ</t>
    </r>
    <r>
      <rPr>
        <b/>
        <vertAlign val="subscript"/>
        <sz val="14"/>
        <color theme="1"/>
        <rFont val="Agency FB"/>
        <family val="2"/>
      </rPr>
      <t>p</t>
    </r>
    <r>
      <rPr>
        <sz val="14"/>
        <color theme="1"/>
        <rFont val="Agency FB"/>
        <family val="2"/>
      </rPr>
      <t xml:space="preserve"> =</t>
    </r>
  </si>
  <si>
    <r>
      <t>h</t>
    </r>
    <r>
      <rPr>
        <vertAlign val="subscript"/>
        <sz val="14"/>
        <color theme="1"/>
        <rFont val="Agency FB"/>
        <family val="2"/>
      </rPr>
      <t>eff</t>
    </r>
    <r>
      <rPr>
        <sz val="14"/>
        <color theme="1"/>
        <rFont val="Agency FB"/>
        <family val="2"/>
      </rPr>
      <t xml:space="preserve"> =</t>
    </r>
  </si>
  <si>
    <r>
      <t>b</t>
    </r>
    <r>
      <rPr>
        <vertAlign val="subscript"/>
        <sz val="14"/>
        <color theme="1"/>
        <rFont val="Agency FB"/>
        <family val="2"/>
      </rPr>
      <t>eff</t>
    </r>
    <r>
      <rPr>
        <sz val="14"/>
        <color theme="1"/>
        <rFont val="Agency FB"/>
        <family val="2"/>
      </rPr>
      <t xml:space="preserve"> =</t>
    </r>
  </si>
  <si>
    <r>
      <t>I</t>
    </r>
    <r>
      <rPr>
        <vertAlign val="subscript"/>
        <sz val="14"/>
        <color theme="1"/>
        <rFont val="Agency FB"/>
        <family val="2"/>
      </rPr>
      <t>xeff</t>
    </r>
  </si>
  <si>
    <r>
      <t>I</t>
    </r>
    <r>
      <rPr>
        <vertAlign val="subscript"/>
        <sz val="14"/>
        <color theme="1"/>
        <rFont val="Agency FB"/>
        <family val="2"/>
      </rPr>
      <t>yeff</t>
    </r>
  </si>
  <si>
    <r>
      <t>f</t>
    </r>
    <r>
      <rPr>
        <vertAlign val="subscript"/>
        <sz val="14"/>
        <color theme="1"/>
        <rFont val="Agency FB"/>
        <family val="2"/>
      </rPr>
      <t>b</t>
    </r>
    <r>
      <rPr>
        <sz val="14"/>
        <color theme="1"/>
        <rFont val="Agency FB"/>
        <family val="2"/>
      </rPr>
      <t xml:space="preserve"> / ΦF</t>
    </r>
    <r>
      <rPr>
        <vertAlign val="subscript"/>
        <sz val="14"/>
        <color theme="1"/>
        <rFont val="Agency FB"/>
        <family val="2"/>
      </rPr>
      <t>y</t>
    </r>
  </si>
  <si>
    <r>
      <t>Q</t>
    </r>
    <r>
      <rPr>
        <vertAlign val="subscript"/>
        <sz val="14"/>
        <color theme="1"/>
        <rFont val="Agency FB"/>
        <family val="2"/>
      </rPr>
      <t>x</t>
    </r>
    <r>
      <rPr>
        <sz val="14"/>
        <color theme="1"/>
        <rFont val="Agency FB"/>
        <family val="2"/>
      </rPr>
      <t xml:space="preserve"> / V</t>
    </r>
    <r>
      <rPr>
        <vertAlign val="subscript"/>
        <sz val="14"/>
        <color theme="1"/>
        <rFont val="Agency FB"/>
        <family val="2"/>
      </rPr>
      <t>r</t>
    </r>
  </si>
  <si>
    <r>
      <t>M</t>
    </r>
    <r>
      <rPr>
        <vertAlign val="subscript"/>
        <sz val="14"/>
        <color theme="1"/>
        <rFont val="Agency FB"/>
        <family val="2"/>
      </rPr>
      <t>nx</t>
    </r>
    <r>
      <rPr>
        <sz val="14"/>
        <color theme="1"/>
        <rFont val="Agency FB"/>
        <family val="2"/>
      </rPr>
      <t xml:space="preserve"> =</t>
    </r>
  </si>
  <si>
    <r>
      <t>M</t>
    </r>
    <r>
      <rPr>
        <vertAlign val="subscript"/>
        <sz val="14"/>
        <color theme="1"/>
        <rFont val="Agency FB"/>
        <family val="2"/>
      </rPr>
      <t>x</t>
    </r>
    <r>
      <rPr>
        <sz val="14"/>
        <color theme="1"/>
        <rFont val="Agency FB"/>
        <family val="2"/>
      </rPr>
      <t xml:space="preserve"> / ΦM</t>
    </r>
    <r>
      <rPr>
        <vertAlign val="subscript"/>
        <sz val="14"/>
        <color theme="1"/>
        <rFont val="Agency FB"/>
        <family val="2"/>
      </rPr>
      <t>nx</t>
    </r>
  </si>
  <si>
    <r>
      <t>M</t>
    </r>
    <r>
      <rPr>
        <vertAlign val="subscript"/>
        <sz val="14"/>
        <color theme="1"/>
        <rFont val="Agency FB"/>
        <family val="2"/>
      </rPr>
      <t>ny</t>
    </r>
    <r>
      <rPr>
        <sz val="14"/>
        <color theme="1"/>
        <rFont val="Agency FB"/>
        <family val="2"/>
      </rPr>
      <t xml:space="preserve"> =</t>
    </r>
  </si>
  <si>
    <r>
      <t>M</t>
    </r>
    <r>
      <rPr>
        <vertAlign val="subscript"/>
        <sz val="14"/>
        <color theme="1"/>
        <rFont val="Agency FB"/>
        <family val="2"/>
      </rPr>
      <t>y</t>
    </r>
    <r>
      <rPr>
        <sz val="14"/>
        <color theme="1"/>
        <rFont val="Agency FB"/>
        <family val="2"/>
      </rPr>
      <t xml:space="preserve"> / ΦM</t>
    </r>
    <r>
      <rPr>
        <vertAlign val="subscript"/>
        <sz val="14"/>
        <color theme="1"/>
        <rFont val="Agency FB"/>
        <family val="2"/>
      </rPr>
      <t>ny</t>
    </r>
  </si>
  <si>
    <r>
      <t>L</t>
    </r>
    <r>
      <rPr>
        <vertAlign val="subscript"/>
        <sz val="14"/>
        <color theme="1"/>
        <rFont val="Agency FB"/>
        <family val="2"/>
      </rPr>
      <t xml:space="preserve">b </t>
    </r>
    <r>
      <rPr>
        <sz val="14"/>
        <color theme="1"/>
        <rFont val="Agency FB"/>
        <family val="2"/>
      </rPr>
      <t>&lt;= L</t>
    </r>
    <r>
      <rPr>
        <vertAlign val="subscript"/>
        <sz val="14"/>
        <color theme="1"/>
        <rFont val="Agency FB"/>
        <family val="2"/>
      </rPr>
      <t>p</t>
    </r>
  </si>
  <si>
    <r>
      <t>L</t>
    </r>
    <r>
      <rPr>
        <vertAlign val="subscript"/>
        <sz val="14"/>
        <color theme="1"/>
        <rFont val="Agency FB"/>
        <family val="2"/>
      </rPr>
      <t>p</t>
    </r>
    <r>
      <rPr>
        <sz val="14"/>
        <color theme="1"/>
        <rFont val="Agency FB"/>
        <family val="2"/>
      </rPr>
      <t>&lt; L</t>
    </r>
    <r>
      <rPr>
        <vertAlign val="subscript"/>
        <sz val="14"/>
        <color theme="1"/>
        <rFont val="Agency FB"/>
        <family val="2"/>
      </rPr>
      <t xml:space="preserve">b </t>
    </r>
    <r>
      <rPr>
        <sz val="14"/>
        <color theme="1"/>
        <rFont val="Agency FB"/>
        <family val="2"/>
      </rPr>
      <t>&lt;= L</t>
    </r>
    <r>
      <rPr>
        <vertAlign val="subscript"/>
        <sz val="14"/>
        <color theme="1"/>
        <rFont val="Agency FB"/>
        <family val="2"/>
      </rPr>
      <t>r</t>
    </r>
  </si>
  <si>
    <r>
      <t>L</t>
    </r>
    <r>
      <rPr>
        <vertAlign val="subscript"/>
        <sz val="14"/>
        <color theme="1"/>
        <rFont val="Agency FB"/>
        <family val="2"/>
      </rPr>
      <t xml:space="preserve">b </t>
    </r>
    <r>
      <rPr>
        <sz val="14"/>
        <color theme="1"/>
        <rFont val="Agency FB"/>
        <family val="2"/>
      </rPr>
      <t>&gt; L</t>
    </r>
    <r>
      <rPr>
        <vertAlign val="subscript"/>
        <sz val="14"/>
        <color theme="1"/>
        <rFont val="Agency FB"/>
        <family val="2"/>
      </rPr>
      <t>r</t>
    </r>
  </si>
  <si>
    <r>
      <t>Q</t>
    </r>
    <r>
      <rPr>
        <vertAlign val="subscript"/>
        <sz val="14"/>
        <color theme="1"/>
        <rFont val="Agency FB"/>
        <family val="2"/>
      </rPr>
      <t xml:space="preserve">x </t>
    </r>
    <r>
      <rPr>
        <sz val="14"/>
        <color theme="1"/>
        <rFont val="Agency FB"/>
        <family val="2"/>
      </rPr>
      <t>/ ΦQ</t>
    </r>
    <r>
      <rPr>
        <vertAlign val="subscript"/>
        <sz val="14"/>
        <color theme="1"/>
        <rFont val="Agency FB"/>
        <family val="2"/>
      </rPr>
      <t>nx</t>
    </r>
    <r>
      <rPr>
        <sz val="14"/>
        <color theme="1"/>
        <rFont val="Agency FB"/>
        <family val="2"/>
      </rPr>
      <t xml:space="preserve"> =</t>
    </r>
  </si>
  <si>
    <r>
      <t>P</t>
    </r>
    <r>
      <rPr>
        <vertAlign val="subscript"/>
        <sz val="14"/>
        <color theme="1"/>
        <rFont val="Agency FB"/>
        <family val="2"/>
      </rPr>
      <t>r1</t>
    </r>
    <r>
      <rPr>
        <sz val="14"/>
        <color theme="1"/>
        <rFont val="Agency FB"/>
        <family val="2"/>
      </rPr>
      <t xml:space="preserve"> =</t>
    </r>
  </si>
  <si>
    <r>
      <t>P</t>
    </r>
    <r>
      <rPr>
        <vertAlign val="subscript"/>
        <sz val="14"/>
        <color theme="1"/>
        <rFont val="Agency FB"/>
        <family val="2"/>
      </rPr>
      <t>r2</t>
    </r>
    <r>
      <rPr>
        <sz val="14"/>
        <color theme="1"/>
        <rFont val="Agency FB"/>
        <family val="2"/>
      </rPr>
      <t xml:space="preserve"> =</t>
    </r>
  </si>
  <si>
    <r>
      <t>Q</t>
    </r>
    <r>
      <rPr>
        <vertAlign val="subscript"/>
        <sz val="14"/>
        <color theme="1"/>
        <rFont val="Agency FB"/>
        <family val="2"/>
      </rPr>
      <t>L.Lx</t>
    </r>
    <r>
      <rPr>
        <sz val="14"/>
        <color theme="1"/>
        <rFont val="Agency FB"/>
        <family val="2"/>
      </rPr>
      <t xml:space="preserve"> =</t>
    </r>
  </si>
  <si>
    <r>
      <t>(cm</t>
    </r>
    <r>
      <rPr>
        <b/>
        <vertAlign val="superscript"/>
        <sz val="14"/>
        <rFont val="Agency FB"/>
        <family val="2"/>
      </rPr>
      <t>2</t>
    </r>
    <r>
      <rPr>
        <b/>
        <sz val="14"/>
        <rFont val="Agency FB"/>
        <family val="2"/>
      </rPr>
      <t>)</t>
    </r>
  </si>
  <si>
    <r>
      <t>I</t>
    </r>
    <r>
      <rPr>
        <b/>
        <vertAlign val="subscript"/>
        <sz val="14"/>
        <rFont val="Agency FB"/>
        <family val="2"/>
      </rPr>
      <t>x</t>
    </r>
    <r>
      <rPr>
        <b/>
        <sz val="14"/>
        <rFont val="Agency FB"/>
        <family val="2"/>
      </rPr>
      <t xml:space="preserve"> (cm</t>
    </r>
    <r>
      <rPr>
        <b/>
        <vertAlign val="superscript"/>
        <sz val="14"/>
        <rFont val="Agency FB"/>
        <family val="2"/>
      </rPr>
      <t>4</t>
    </r>
    <r>
      <rPr>
        <b/>
        <sz val="14"/>
        <rFont val="Agency FB"/>
        <family val="2"/>
      </rPr>
      <t>)</t>
    </r>
  </si>
  <si>
    <r>
      <t>S</t>
    </r>
    <r>
      <rPr>
        <b/>
        <vertAlign val="subscript"/>
        <sz val="14"/>
        <rFont val="Agency FB"/>
        <family val="2"/>
      </rPr>
      <t>x</t>
    </r>
    <r>
      <rPr>
        <b/>
        <sz val="14"/>
        <rFont val="Agency FB"/>
        <family val="2"/>
      </rPr>
      <t xml:space="preserve"> (cm</t>
    </r>
    <r>
      <rPr>
        <b/>
        <vertAlign val="superscript"/>
        <sz val="14"/>
        <rFont val="Agency FB"/>
        <family val="2"/>
      </rPr>
      <t>3</t>
    </r>
    <r>
      <rPr>
        <b/>
        <sz val="14"/>
        <rFont val="Agency FB"/>
        <family val="2"/>
      </rPr>
      <t>)</t>
    </r>
  </si>
  <si>
    <r>
      <t>r</t>
    </r>
    <r>
      <rPr>
        <b/>
        <vertAlign val="subscript"/>
        <sz val="14"/>
        <rFont val="Agency FB"/>
        <family val="2"/>
      </rPr>
      <t>x</t>
    </r>
    <r>
      <rPr>
        <b/>
        <sz val="14"/>
        <rFont val="Agency FB"/>
        <family val="2"/>
      </rPr>
      <t xml:space="preserve"> (cm)</t>
    </r>
  </si>
  <si>
    <r>
      <t>I</t>
    </r>
    <r>
      <rPr>
        <b/>
        <vertAlign val="subscript"/>
        <sz val="14"/>
        <rFont val="Agency FB"/>
        <family val="2"/>
      </rPr>
      <t>y</t>
    </r>
    <r>
      <rPr>
        <b/>
        <sz val="14"/>
        <rFont val="Agency FB"/>
        <family val="2"/>
      </rPr>
      <t xml:space="preserve"> (cm</t>
    </r>
    <r>
      <rPr>
        <b/>
        <vertAlign val="superscript"/>
        <sz val="14"/>
        <rFont val="Agency FB"/>
        <family val="2"/>
      </rPr>
      <t>4</t>
    </r>
    <r>
      <rPr>
        <b/>
        <sz val="14"/>
        <rFont val="Agency FB"/>
        <family val="2"/>
      </rPr>
      <t>)</t>
    </r>
  </si>
  <si>
    <r>
      <t>S</t>
    </r>
    <r>
      <rPr>
        <b/>
        <vertAlign val="subscript"/>
        <sz val="14"/>
        <rFont val="Agency FB"/>
        <family val="2"/>
      </rPr>
      <t>y</t>
    </r>
    <r>
      <rPr>
        <b/>
        <sz val="14"/>
        <rFont val="Agency FB"/>
        <family val="2"/>
      </rPr>
      <t xml:space="preserve"> (cm</t>
    </r>
    <r>
      <rPr>
        <b/>
        <vertAlign val="superscript"/>
        <sz val="14"/>
        <rFont val="Agency FB"/>
        <family val="2"/>
      </rPr>
      <t>3</t>
    </r>
    <r>
      <rPr>
        <b/>
        <sz val="14"/>
        <rFont val="Agency FB"/>
        <family val="2"/>
      </rPr>
      <t>)</t>
    </r>
  </si>
  <si>
    <r>
      <t>r</t>
    </r>
    <r>
      <rPr>
        <b/>
        <vertAlign val="subscript"/>
        <sz val="14"/>
        <rFont val="Agency FB"/>
        <family val="2"/>
      </rPr>
      <t>y</t>
    </r>
    <r>
      <rPr>
        <b/>
        <sz val="14"/>
        <rFont val="Agency FB"/>
        <family val="2"/>
      </rPr>
      <t xml:space="preserve"> (cm)</t>
    </r>
  </si>
  <si>
    <r>
      <t>W</t>
    </r>
    <r>
      <rPr>
        <vertAlign val="subscript"/>
        <sz val="14"/>
        <color theme="1"/>
        <rFont val="Agency FB"/>
        <family val="2"/>
      </rPr>
      <t>D.L</t>
    </r>
    <r>
      <rPr>
        <sz val="14"/>
        <color theme="1"/>
        <rFont val="Agency FB"/>
        <family val="2"/>
      </rPr>
      <t xml:space="preserve"> =</t>
    </r>
  </si>
  <si>
    <r>
      <t>W</t>
    </r>
    <r>
      <rPr>
        <vertAlign val="subscript"/>
        <sz val="14"/>
        <color theme="1"/>
        <rFont val="Agency FB"/>
        <family val="2"/>
      </rPr>
      <t xml:space="preserve">D.Lx </t>
    </r>
    <r>
      <rPr>
        <sz val="14"/>
        <color theme="1"/>
        <rFont val="Agency FB"/>
        <family val="2"/>
      </rPr>
      <t>=</t>
    </r>
  </si>
  <si>
    <r>
      <t>t/cm</t>
    </r>
    <r>
      <rPr>
        <vertAlign val="superscript"/>
        <sz val="14"/>
        <color theme="1"/>
        <rFont val="Agency FB"/>
        <family val="2"/>
      </rPr>
      <t>2</t>
    </r>
  </si>
  <si>
    <r>
      <t>M</t>
    </r>
    <r>
      <rPr>
        <vertAlign val="subscript"/>
        <sz val="14"/>
        <color theme="1"/>
        <rFont val="Agency FB"/>
        <family val="2"/>
      </rPr>
      <t>L.Lx</t>
    </r>
    <r>
      <rPr>
        <sz val="14"/>
        <color theme="1"/>
        <rFont val="Agency FB"/>
        <family val="2"/>
      </rPr>
      <t xml:space="preserve"> =</t>
    </r>
  </si>
  <si>
    <r>
      <t>W</t>
    </r>
    <r>
      <rPr>
        <vertAlign val="subscript"/>
        <sz val="14"/>
        <color theme="1"/>
        <rFont val="Agency FB"/>
        <family val="2"/>
      </rPr>
      <t>D.Ly</t>
    </r>
    <r>
      <rPr>
        <sz val="14"/>
        <color theme="1"/>
        <rFont val="Agency FB"/>
        <family val="2"/>
      </rPr>
      <t>=</t>
    </r>
  </si>
  <si>
    <r>
      <t>W</t>
    </r>
    <r>
      <rPr>
        <vertAlign val="subscript"/>
        <sz val="14"/>
        <color theme="1"/>
        <rFont val="Agency FB"/>
        <family val="2"/>
      </rPr>
      <t>L.L</t>
    </r>
    <r>
      <rPr>
        <sz val="14"/>
        <color theme="1"/>
        <rFont val="Agency FB"/>
        <family val="2"/>
      </rPr>
      <t xml:space="preserve"> =</t>
    </r>
  </si>
  <si>
    <r>
      <t>M</t>
    </r>
    <r>
      <rPr>
        <vertAlign val="subscript"/>
        <sz val="14"/>
        <color theme="1"/>
        <rFont val="Agency FB"/>
        <family val="2"/>
      </rPr>
      <t>L.Ly</t>
    </r>
    <r>
      <rPr>
        <sz val="14"/>
        <color theme="1"/>
        <rFont val="Agency FB"/>
        <family val="2"/>
      </rPr>
      <t xml:space="preserve"> =</t>
    </r>
  </si>
  <si>
    <r>
      <t>F</t>
    </r>
    <r>
      <rPr>
        <vertAlign val="subscript"/>
        <sz val="14"/>
        <color theme="1"/>
        <rFont val="Agency FB"/>
        <family val="2"/>
      </rPr>
      <t>y</t>
    </r>
  </si>
  <si>
    <r>
      <t>M</t>
    </r>
    <r>
      <rPr>
        <vertAlign val="subscript"/>
        <sz val="14"/>
        <color theme="1"/>
        <rFont val="Agency FB"/>
        <family val="2"/>
      </rPr>
      <t>D.Lx</t>
    </r>
    <r>
      <rPr>
        <sz val="14"/>
        <color theme="1"/>
        <rFont val="Agency FB"/>
        <family val="2"/>
      </rPr>
      <t xml:space="preserve"> =</t>
    </r>
  </si>
  <si>
    <r>
      <t>W</t>
    </r>
    <r>
      <rPr>
        <vertAlign val="subscript"/>
        <sz val="14"/>
        <color theme="1"/>
        <rFont val="Agency FB"/>
        <family val="2"/>
      </rPr>
      <t>L.Lx</t>
    </r>
    <r>
      <rPr>
        <sz val="14"/>
        <color theme="1"/>
        <rFont val="Agency FB"/>
        <family val="2"/>
      </rPr>
      <t xml:space="preserve"> =</t>
    </r>
  </si>
  <si>
    <r>
      <t>F</t>
    </r>
    <r>
      <rPr>
        <vertAlign val="subscript"/>
        <sz val="14"/>
        <color theme="1"/>
        <rFont val="Agency FB"/>
        <family val="2"/>
      </rPr>
      <t>u</t>
    </r>
  </si>
  <si>
    <r>
      <t>M</t>
    </r>
    <r>
      <rPr>
        <vertAlign val="subscript"/>
        <sz val="14"/>
        <color theme="1"/>
        <rFont val="Agency FB"/>
        <family val="2"/>
      </rPr>
      <t>D.Ly</t>
    </r>
    <r>
      <rPr>
        <sz val="14"/>
        <color theme="1"/>
        <rFont val="Agency FB"/>
        <family val="2"/>
      </rPr>
      <t xml:space="preserve"> =</t>
    </r>
  </si>
  <si>
    <r>
      <t>W</t>
    </r>
    <r>
      <rPr>
        <vertAlign val="subscript"/>
        <sz val="14"/>
        <color theme="1"/>
        <rFont val="Agency FB"/>
        <family val="2"/>
      </rPr>
      <t>L.Ly</t>
    </r>
    <r>
      <rPr>
        <sz val="14"/>
        <color theme="1"/>
        <rFont val="Agency FB"/>
        <family val="2"/>
      </rPr>
      <t xml:space="preserve"> =</t>
    </r>
  </si>
  <si>
    <r>
      <t>Q</t>
    </r>
    <r>
      <rPr>
        <vertAlign val="subscript"/>
        <sz val="14"/>
        <color theme="1"/>
        <rFont val="Agency FB"/>
        <family val="2"/>
      </rPr>
      <t>D.Lx</t>
    </r>
    <r>
      <rPr>
        <sz val="14"/>
        <color theme="1"/>
        <rFont val="Agency FB"/>
        <family val="2"/>
      </rPr>
      <t xml:space="preserve"> =</t>
    </r>
  </si>
  <si>
    <r>
      <t>span = L</t>
    </r>
    <r>
      <rPr>
        <vertAlign val="subscript"/>
        <sz val="14"/>
        <color theme="1"/>
        <rFont val="Agency FB"/>
        <family val="2"/>
      </rPr>
      <t>b</t>
    </r>
  </si>
  <si>
    <r>
      <t>mm</t>
    </r>
    <r>
      <rPr>
        <vertAlign val="superscript"/>
        <sz val="14"/>
        <color theme="1"/>
        <rFont val="Agency FB"/>
        <family val="2"/>
      </rPr>
      <t>4</t>
    </r>
  </si>
  <si>
    <r>
      <t>d</t>
    </r>
    <r>
      <rPr>
        <vertAlign val="subscript"/>
        <sz val="14"/>
        <color theme="1"/>
        <rFont val="Agency FB"/>
        <family val="2"/>
      </rPr>
      <t>eff</t>
    </r>
    <r>
      <rPr>
        <sz val="14"/>
        <color theme="1"/>
        <rFont val="Agency FB"/>
        <family val="2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</si>
</sst>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 x14ac:knownFonts="1">
    <font>
      <sz val="11"/>
      <color theme="1"/>
      <name val="Arial"/>
      <family val="2"/>
      <charset val="178"/>
      <scheme val="minor"/>
    </font>
    <font>
      <sz val="14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4"/>
      <name val="Symbol"/>
      <family val="1"/>
      <charset val="2"/>
    </font>
    <font>
      <sz val="16"/>
      <color theme="1"/>
      <name val="Arial"/>
      <family val="2"/>
      <charset val="178"/>
      <scheme val="minor"/>
    </font>
    <font>
      <sz val="16"/>
      <name val="Symbol"/>
      <family val="1"/>
      <charset val="2"/>
    </font>
    <font>
      <sz val="14"/>
      <color theme="1"/>
      <name val="Times New Roman"/>
      <family val="1"/>
      <scheme val="major"/>
    </font>
    <font>
      <b/>
      <sz val="14"/>
      <name val="Times New Roman"/>
      <family val="1"/>
      <scheme val="major"/>
    </font>
    <font>
      <b/>
      <vertAlign val="superscript"/>
      <sz val="14"/>
      <name val="Times New Roman"/>
      <family val="1"/>
      <scheme val="major"/>
    </font>
    <font>
      <b/>
      <vertAlign val="subscript"/>
      <sz val="14"/>
      <name val="Times New Roman"/>
      <family val="1"/>
      <scheme val="major"/>
    </font>
    <font>
      <sz val="14"/>
      <color rgb="FF000000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u/>
      <sz val="14"/>
      <color theme="1"/>
      <name val="Times New Roman"/>
      <family val="1"/>
      <scheme val="major"/>
    </font>
    <font>
      <vertAlign val="subscript"/>
      <sz val="14"/>
      <color theme="1"/>
      <name val="Times New Roman"/>
      <family val="1"/>
      <scheme val="major"/>
    </font>
    <font>
      <sz val="14"/>
      <color rgb="FFFF0000"/>
      <name val="Times New Roman"/>
      <family val="1"/>
      <scheme val="major"/>
    </font>
    <font>
      <vertAlign val="superscript"/>
      <sz val="14"/>
      <color theme="1"/>
      <name val="Times New Roman"/>
      <family val="1"/>
      <scheme val="major"/>
    </font>
    <font>
      <sz val="14"/>
      <name val="Times New Roman"/>
      <family val="1"/>
      <scheme val="major"/>
    </font>
    <font>
      <b/>
      <u/>
      <sz val="14"/>
      <color theme="1"/>
      <name val="Times New Roman"/>
      <family val="1"/>
      <scheme val="major"/>
    </font>
    <font>
      <b/>
      <vertAlign val="subscript"/>
      <sz val="14"/>
      <color theme="1"/>
      <name val="Times New Roman"/>
      <family val="1"/>
      <scheme val="major"/>
    </font>
    <font>
      <b/>
      <sz val="12"/>
      <name val="Times New Roman"/>
      <family val="1"/>
      <scheme val="major"/>
    </font>
    <font>
      <b/>
      <vertAlign val="superscript"/>
      <sz val="12"/>
      <name val="Times New Roman"/>
      <family val="1"/>
      <scheme val="major"/>
    </font>
    <font>
      <b/>
      <vertAlign val="subscript"/>
      <sz val="12"/>
      <name val="Times New Roman"/>
      <family val="1"/>
      <scheme val="major"/>
    </font>
    <font>
      <sz val="12"/>
      <color rgb="FF000000"/>
      <name val="Times New Roman"/>
      <family val="1"/>
      <scheme val="major"/>
    </font>
    <font>
      <sz val="14"/>
      <color theme="1"/>
      <name val="Agency FB"/>
      <family val="2"/>
    </font>
    <font>
      <sz val="14"/>
      <color rgb="FFFF0000"/>
      <name val="Agency FB"/>
      <family val="2"/>
    </font>
    <font>
      <vertAlign val="superscript"/>
      <sz val="14"/>
      <color theme="1"/>
      <name val="Agency FB"/>
      <family val="2"/>
    </font>
    <font>
      <sz val="14"/>
      <color rgb="FF000000"/>
      <name val="Agency FB"/>
      <family val="2"/>
    </font>
    <font>
      <u/>
      <sz val="14"/>
      <color theme="1"/>
      <name val="Agency FB"/>
      <family val="2"/>
    </font>
    <font>
      <vertAlign val="subscript"/>
      <sz val="14"/>
      <color theme="1"/>
      <name val="Agency FB"/>
      <family val="2"/>
    </font>
    <font>
      <b/>
      <u/>
      <sz val="14"/>
      <color theme="1"/>
      <name val="Agency FB"/>
      <family val="2"/>
    </font>
    <font>
      <b/>
      <sz val="14"/>
      <color theme="1"/>
      <name val="Agency FB"/>
      <family val="2"/>
    </font>
    <font>
      <b/>
      <vertAlign val="subscript"/>
      <sz val="14"/>
      <color theme="1"/>
      <name val="Agency FB"/>
      <family val="2"/>
    </font>
    <font>
      <b/>
      <sz val="14"/>
      <name val="Agency FB"/>
      <family val="2"/>
    </font>
    <font>
      <b/>
      <vertAlign val="superscript"/>
      <sz val="14"/>
      <name val="Agency FB"/>
      <family val="2"/>
    </font>
    <font>
      <b/>
      <vertAlign val="subscript"/>
      <sz val="14"/>
      <name val="Agency FB"/>
      <family val="2"/>
    </font>
    <font>
      <sz val="20"/>
      <color theme="1"/>
      <name val="Agency FB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" fontId="10" fillId="0" borderId="10" xfId="0" applyNumberFormat="1" applyFont="1" applyBorder="1" applyAlignment="1">
      <alignment horizontal="center" vertical="center" shrinkToFit="1"/>
    </xf>
    <xf numFmtId="164" fontId="10" fillId="0" borderId="12" xfId="0" applyNumberFormat="1" applyFont="1" applyBorder="1" applyAlignment="1">
      <alignment horizontal="center" vertical="center" shrinkToFit="1"/>
    </xf>
    <xf numFmtId="1" fontId="10" fillId="0" borderId="12" xfId="0" applyNumberFormat="1" applyFont="1" applyBorder="1" applyAlignment="1">
      <alignment horizontal="center" vertical="center" shrinkToFit="1"/>
    </xf>
    <xf numFmtId="1" fontId="10" fillId="0" borderId="12" xfId="0" applyNumberFormat="1" applyFont="1" applyBorder="1" applyAlignment="1">
      <alignment horizontal="right" vertical="center" shrinkToFit="1"/>
    </xf>
    <xf numFmtId="1" fontId="10" fillId="0" borderId="11" xfId="0" applyNumberFormat="1" applyFont="1" applyBorder="1" applyAlignment="1">
      <alignment horizontal="center" vertical="center" shrinkToFit="1"/>
    </xf>
    <xf numFmtId="2" fontId="10" fillId="0" borderId="12" xfId="0" applyNumberFormat="1" applyFont="1" applyBorder="1" applyAlignment="1">
      <alignment horizontal="center" vertical="center" shrinkToFit="1"/>
    </xf>
    <xf numFmtId="1" fontId="10" fillId="0" borderId="13" xfId="0" applyNumberFormat="1" applyFont="1" applyBorder="1" applyAlignment="1">
      <alignment horizontal="center" vertical="center" shrinkToFit="1"/>
    </xf>
    <xf numFmtId="164" fontId="10" fillId="0" borderId="15" xfId="0" applyNumberFormat="1" applyFont="1" applyBorder="1" applyAlignment="1">
      <alignment horizontal="center" vertical="center" shrinkToFit="1"/>
    </xf>
    <xf numFmtId="1" fontId="10" fillId="0" borderId="15" xfId="0" applyNumberFormat="1" applyFont="1" applyBorder="1" applyAlignment="1">
      <alignment horizontal="center" vertical="center" shrinkToFit="1"/>
    </xf>
    <xf numFmtId="1" fontId="10" fillId="0" borderId="15" xfId="0" applyNumberFormat="1" applyFont="1" applyBorder="1" applyAlignment="1">
      <alignment horizontal="right" vertical="center" shrinkToFit="1"/>
    </xf>
    <xf numFmtId="164" fontId="10" fillId="0" borderId="14" xfId="0" applyNumberFormat="1" applyFont="1" applyBorder="1" applyAlignment="1">
      <alignment horizontal="center" vertical="center" shrinkToFit="1"/>
    </xf>
    <xf numFmtId="2" fontId="10" fillId="0" borderId="15" xfId="0" applyNumberFormat="1" applyFont="1" applyBorder="1" applyAlignment="1">
      <alignment horizontal="center" vertical="center" shrinkToFit="1"/>
    </xf>
    <xf numFmtId="1" fontId="10" fillId="0" borderId="4" xfId="0" applyNumberFormat="1" applyFont="1" applyBorder="1" applyAlignment="1">
      <alignment horizontal="center" vertical="center" shrinkToFit="1"/>
    </xf>
    <xf numFmtId="164" fontId="10" fillId="0" borderId="6" xfId="0" applyNumberFormat="1" applyFont="1" applyBorder="1" applyAlignment="1">
      <alignment horizontal="center" vertical="center" shrinkToFit="1"/>
    </xf>
    <xf numFmtId="1" fontId="10" fillId="0" borderId="6" xfId="0" applyNumberFormat="1" applyFont="1" applyBorder="1" applyAlignment="1">
      <alignment horizontal="center" vertical="center" shrinkToFit="1"/>
    </xf>
    <xf numFmtId="1" fontId="10" fillId="0" borderId="6" xfId="0" applyNumberFormat="1" applyFont="1" applyBorder="1" applyAlignment="1">
      <alignment horizontal="right" vertical="center" shrinkToFit="1"/>
    </xf>
    <xf numFmtId="164" fontId="10" fillId="0" borderId="5" xfId="0" applyNumberFormat="1" applyFont="1" applyBorder="1" applyAlignment="1">
      <alignment horizontal="center" vertical="center" shrinkToFit="1"/>
    </xf>
    <xf numFmtId="2" fontId="10" fillId="0" borderId="6" xfId="0" applyNumberFormat="1" applyFont="1" applyBorder="1" applyAlignment="1">
      <alignment horizontal="center" vertical="center" shrinkToFit="1"/>
    </xf>
    <xf numFmtId="0" fontId="14" fillId="0" borderId="17" xfId="0" applyFont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shrinkToFit="1"/>
    </xf>
    <xf numFmtId="2" fontId="10" fillId="0" borderId="11" xfId="0" applyNumberFormat="1" applyFont="1" applyBorder="1" applyAlignment="1">
      <alignment horizontal="center" vertical="center" shrinkToFit="1"/>
    </xf>
    <xf numFmtId="2" fontId="10" fillId="0" borderId="14" xfId="0" applyNumberFormat="1" applyFont="1" applyBorder="1" applyAlignment="1">
      <alignment horizontal="center" vertical="center" shrinkToFit="1"/>
    </xf>
    <xf numFmtId="1" fontId="10" fillId="0" borderId="1" xfId="0" applyNumberFormat="1" applyFont="1" applyBorder="1" applyAlignment="1">
      <alignment horizontal="center" vertical="center" shrinkToFit="1"/>
    </xf>
    <xf numFmtId="164" fontId="10" fillId="0" borderId="1" xfId="0" applyNumberFormat="1" applyFont="1" applyBorder="1" applyAlignment="1">
      <alignment horizontal="center" vertical="center" shrinkToFit="1"/>
    </xf>
    <xf numFmtId="0" fontId="6" fillId="0" borderId="32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" fontId="22" fillId="0" borderId="1" xfId="0" applyNumberFormat="1" applyFont="1" applyBorder="1" applyAlignment="1">
      <alignment horizontal="center" vertical="center" shrinkToFit="1"/>
    </xf>
    <xf numFmtId="2" fontId="22" fillId="0" borderId="1" xfId="0" applyNumberFormat="1" applyFont="1" applyBorder="1" applyAlignment="1">
      <alignment horizontal="center" vertical="center" shrinkToFit="1"/>
    </xf>
    <xf numFmtId="164" fontId="22" fillId="0" borderId="1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2" fillId="2" borderId="38" xfId="0" applyFont="1" applyFill="1" applyBorder="1" applyAlignment="1">
      <alignment horizontal="center" vertical="center"/>
    </xf>
    <xf numFmtId="0" fontId="12" fillId="2" borderId="39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26" fillId="0" borderId="11" xfId="0" applyNumberFormat="1" applyFont="1" applyBorder="1" applyAlignment="1">
      <alignment horizontal="center" vertical="top" shrinkToFit="1"/>
    </xf>
    <xf numFmtId="1" fontId="26" fillId="0" borderId="12" xfId="0" applyNumberFormat="1" applyFont="1" applyBorder="1" applyAlignment="1">
      <alignment horizontal="center" vertical="top" shrinkToFit="1"/>
    </xf>
    <xf numFmtId="2" fontId="26" fillId="0" borderId="12" xfId="0" applyNumberFormat="1" applyFont="1" applyBorder="1" applyAlignment="1">
      <alignment horizontal="center" vertical="top" shrinkToFit="1"/>
    </xf>
    <xf numFmtId="0" fontId="23" fillId="5" borderId="1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7" fillId="2" borderId="21" xfId="0" applyFont="1" applyFill="1" applyBorder="1" applyAlignment="1">
      <alignment horizontal="center" vertical="center"/>
    </xf>
    <xf numFmtId="1" fontId="26" fillId="0" borderId="14" xfId="0" applyNumberFormat="1" applyFont="1" applyBorder="1" applyAlignment="1">
      <alignment horizontal="center" vertical="top" shrinkToFit="1"/>
    </xf>
    <xf numFmtId="1" fontId="26" fillId="0" borderId="15" xfId="0" applyNumberFormat="1" applyFont="1" applyBorder="1" applyAlignment="1">
      <alignment horizontal="center" vertical="top" shrinkToFit="1"/>
    </xf>
    <xf numFmtId="2" fontId="26" fillId="0" borderId="15" xfId="0" applyNumberFormat="1" applyFont="1" applyBorder="1" applyAlignment="1">
      <alignment horizontal="center" vertical="top" shrinkToFit="1"/>
    </xf>
    <xf numFmtId="164" fontId="26" fillId="0" borderId="15" xfId="0" applyNumberFormat="1" applyFont="1" applyBorder="1" applyAlignment="1">
      <alignment horizontal="center" vertical="top" shrinkToFit="1"/>
    </xf>
    <xf numFmtId="0" fontId="23" fillId="7" borderId="1" xfId="0" applyFont="1" applyFill="1" applyBorder="1" applyAlignment="1">
      <alignment horizontal="center" vertical="center"/>
    </xf>
    <xf numFmtId="1" fontId="26" fillId="0" borderId="5" xfId="0" applyNumberFormat="1" applyFont="1" applyBorder="1" applyAlignment="1">
      <alignment horizontal="center" vertical="top" shrinkToFit="1"/>
    </xf>
    <xf numFmtId="1" fontId="26" fillId="0" borderId="6" xfId="0" applyNumberFormat="1" applyFont="1" applyBorder="1" applyAlignment="1">
      <alignment horizontal="center" vertical="top" shrinkToFit="1"/>
    </xf>
    <xf numFmtId="2" fontId="26" fillId="0" borderId="6" xfId="0" applyNumberFormat="1" applyFont="1" applyBorder="1" applyAlignment="1">
      <alignment horizontal="center" vertical="top" shrinkToFit="1"/>
    </xf>
    <xf numFmtId="164" fontId="26" fillId="0" borderId="6" xfId="0" applyNumberFormat="1" applyFont="1" applyBorder="1" applyAlignment="1">
      <alignment horizontal="center" vertical="top" shrinkToFit="1"/>
    </xf>
    <xf numFmtId="164" fontId="26" fillId="0" borderId="12" xfId="0" applyNumberFormat="1" applyFont="1" applyBorder="1" applyAlignment="1">
      <alignment horizontal="center" vertical="top" shrinkToFit="1"/>
    </xf>
    <xf numFmtId="0" fontId="29" fillId="3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1" fontId="26" fillId="8" borderId="5" xfId="0" applyNumberFormat="1" applyFont="1" applyFill="1" applyBorder="1" applyAlignment="1">
      <alignment horizontal="center" vertical="top" shrinkToFit="1"/>
    </xf>
    <xf numFmtId="1" fontId="26" fillId="8" borderId="6" xfId="0" applyNumberFormat="1" applyFont="1" applyFill="1" applyBorder="1" applyAlignment="1">
      <alignment horizontal="center" vertical="top" shrinkToFit="1"/>
    </xf>
    <xf numFmtId="2" fontId="26" fillId="8" borderId="6" xfId="0" applyNumberFormat="1" applyFont="1" applyFill="1" applyBorder="1" applyAlignment="1">
      <alignment horizontal="center" vertical="top" shrinkToFit="1"/>
    </xf>
    <xf numFmtId="164" fontId="26" fillId="8" borderId="6" xfId="0" applyNumberFormat="1" applyFont="1" applyFill="1" applyBorder="1" applyAlignment="1">
      <alignment horizontal="center" vertical="top" shrinkToFit="1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5" borderId="29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23" fillId="6" borderId="23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3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32" fillId="0" borderId="8" xfId="0" applyFont="1" applyBorder="1" applyAlignment="1">
      <alignment horizontal="left" vertical="top" wrapText="1" indent="1"/>
    </xf>
    <xf numFmtId="0" fontId="32" fillId="0" borderId="9" xfId="0" applyFont="1" applyBorder="1" applyAlignment="1">
      <alignment horizontal="left" vertical="top" wrapText="1" indent="1"/>
    </xf>
    <xf numFmtId="0" fontId="32" fillId="0" borderId="12" xfId="0" applyFont="1" applyBorder="1" applyAlignment="1">
      <alignment horizontal="center" vertical="top" wrapText="1"/>
    </xf>
    <xf numFmtId="0" fontId="32" fillId="0" borderId="7" xfId="0" applyFont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top" wrapText="1"/>
    </xf>
    <xf numFmtId="0" fontId="32" fillId="0" borderId="9" xfId="0" applyFont="1" applyBorder="1" applyAlignment="1">
      <alignment horizontal="center" vertical="top" wrapText="1"/>
    </xf>
    <xf numFmtId="0" fontId="32" fillId="0" borderId="6" xfId="0" applyFont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top" wrapText="1"/>
    </xf>
    <xf numFmtId="0" fontId="32" fillId="0" borderId="20" xfId="0" applyFont="1" applyBorder="1" applyAlignment="1">
      <alignment horizontal="center" vertical="top" wrapText="1"/>
    </xf>
    <xf numFmtId="0" fontId="32" fillId="0" borderId="15" xfId="0" applyFont="1" applyBorder="1" applyAlignment="1">
      <alignment horizontal="center" vertical="top" wrapText="1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top" shrinkToFit="1"/>
    </xf>
    <xf numFmtId="164" fontId="26" fillId="0" borderId="1" xfId="0" applyNumberFormat="1" applyFont="1" applyBorder="1" applyAlignment="1">
      <alignment horizontal="center" vertical="top" shrinkToFit="1"/>
    </xf>
    <xf numFmtId="2" fontId="26" fillId="0" borderId="1" xfId="0" applyNumberFormat="1" applyFont="1" applyBorder="1" applyAlignment="1">
      <alignment horizontal="center" vertical="center" shrinkToFit="1"/>
    </xf>
    <xf numFmtId="2" fontId="26" fillId="0" borderId="1" xfId="0" applyNumberFormat="1" applyFont="1" applyBorder="1" applyAlignment="1">
      <alignment horizontal="center" vertical="top" shrinkToFit="1"/>
    </xf>
    <xf numFmtId="0" fontId="23" fillId="2" borderId="21" xfId="0" applyFont="1" applyFill="1" applyBorder="1" applyAlignment="1">
      <alignment horizontal="center" vertical="center"/>
    </xf>
    <xf numFmtId="0" fontId="23" fillId="4" borderId="23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left" vertical="top" wrapText="1" indent="6"/>
    </xf>
    <xf numFmtId="0" fontId="32" fillId="0" borderId="8" xfId="0" applyFont="1" applyBorder="1" applyAlignment="1">
      <alignment horizontal="left" vertical="top" wrapText="1" indent="6"/>
    </xf>
    <xf numFmtId="0" fontId="32" fillId="0" borderId="9" xfId="0" applyFont="1" applyBorder="1" applyAlignment="1">
      <alignment horizontal="left" vertical="top" wrapText="1" indent="6"/>
    </xf>
    <xf numFmtId="0" fontId="32" fillId="0" borderId="6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20</xdr:row>
      <xdr:rowOff>485738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76041DE5-39E4-44EF-9733-A2657F649983}"/>
            </a:ext>
          </a:extLst>
        </xdr:cNvPr>
        <xdr:cNvSpPr/>
      </xdr:nvSpPr>
      <xdr:spPr>
        <a:xfrm>
          <a:off x="357441" y="13668338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331724</xdr:colOff>
      <xdr:row>31</xdr:row>
      <xdr:rowOff>236830</xdr:rowOff>
    </xdr:from>
    <xdr:to>
      <xdr:col>23</xdr:col>
      <xdr:colOff>332359</xdr:colOff>
      <xdr:row>31</xdr:row>
      <xdr:rowOff>243815</xdr:rowOff>
    </xdr:to>
    <xdr:sp macro="" textlink="">
      <xdr:nvSpPr>
        <xdr:cNvPr id="2" name="Shape 1821">
          <a:extLst>
            <a:ext uri="{FF2B5EF4-FFF2-40B4-BE49-F238E27FC236}">
              <a16:creationId xmlns:a16="http://schemas.microsoft.com/office/drawing/2014/main" id="{1E2CE488-A5F9-4937-8CE4-9A52C5942C87}"/>
            </a:ext>
          </a:extLst>
        </xdr:cNvPr>
        <xdr:cNvSpPr/>
      </xdr:nvSpPr>
      <xdr:spPr>
        <a:xfrm>
          <a:off x="2703449" y="11790655"/>
          <a:ext cx="635" cy="6985"/>
        </a:xfrm>
        <a:custGeom>
          <a:avLst/>
          <a:gdLst/>
          <a:ahLst/>
          <a:cxnLst/>
          <a:rect l="0" t="0" r="0" b="0"/>
          <a:pathLst>
            <a:path w="635" h="6985">
              <a:moveTo>
                <a:pt x="3655182" y="-10929049"/>
              </a:moveTo>
              <a:lnTo>
                <a:pt x="3655257" y="-10929049"/>
              </a:lnTo>
            </a:path>
            <a:path w="635" h="6985">
              <a:moveTo>
                <a:pt x="3655182" y="-10927082"/>
              </a:moveTo>
              <a:lnTo>
                <a:pt x="3655182" y="-10931015"/>
              </a:lnTo>
              <a:lnTo>
                <a:pt x="3655257" y="-10931015"/>
              </a:lnTo>
            </a:path>
            <a:path w="635" h="6985">
              <a:moveTo>
                <a:pt x="3655182" y="-10927082"/>
              </a:moveTo>
              <a:lnTo>
                <a:pt x="3655182" y="-10931015"/>
              </a:lnTo>
              <a:lnTo>
                <a:pt x="3655257" y="-1093101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  <xdr:twoCellAnchor editAs="oneCell">
    <xdr:from>
      <xdr:col>23</xdr:col>
      <xdr:colOff>663447</xdr:colOff>
      <xdr:row>31</xdr:row>
      <xdr:rowOff>236830</xdr:rowOff>
    </xdr:from>
    <xdr:to>
      <xdr:col>23</xdr:col>
      <xdr:colOff>664082</xdr:colOff>
      <xdr:row>31</xdr:row>
      <xdr:rowOff>243815</xdr:rowOff>
    </xdr:to>
    <xdr:sp macro="" textlink="">
      <xdr:nvSpPr>
        <xdr:cNvPr id="3" name="Shape 1830">
          <a:extLst>
            <a:ext uri="{FF2B5EF4-FFF2-40B4-BE49-F238E27FC236}">
              <a16:creationId xmlns:a16="http://schemas.microsoft.com/office/drawing/2014/main" id="{8C34386F-7F50-4CA7-A04A-AE89E334D46A}"/>
            </a:ext>
          </a:extLst>
        </xdr:cNvPr>
        <xdr:cNvSpPr/>
      </xdr:nvSpPr>
      <xdr:spPr>
        <a:xfrm>
          <a:off x="3035172" y="11790655"/>
          <a:ext cx="635" cy="6985"/>
        </a:xfrm>
        <a:custGeom>
          <a:avLst/>
          <a:gdLst/>
          <a:ahLst/>
          <a:cxnLst/>
          <a:rect l="0" t="0" r="0" b="0"/>
          <a:pathLst>
            <a:path w="635" h="6985">
              <a:moveTo>
                <a:pt x="3519531" y="-10929049"/>
              </a:moveTo>
              <a:lnTo>
                <a:pt x="3519606" y="-10929049"/>
              </a:lnTo>
            </a:path>
            <a:path w="635" h="6985">
              <a:moveTo>
                <a:pt x="3519531" y="-10927082"/>
              </a:moveTo>
              <a:lnTo>
                <a:pt x="3519531" y="-10931015"/>
              </a:lnTo>
              <a:lnTo>
                <a:pt x="3519606" y="-10931015"/>
              </a:lnTo>
            </a:path>
            <a:path w="635" h="6985">
              <a:moveTo>
                <a:pt x="3519531" y="-10927082"/>
              </a:moveTo>
              <a:lnTo>
                <a:pt x="3519531" y="-10931015"/>
              </a:lnTo>
              <a:lnTo>
                <a:pt x="3519606" y="-1093101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  <xdr:twoCellAnchor editAs="oneCell">
    <xdr:from>
      <xdr:col>22</xdr:col>
      <xdr:colOff>244983</xdr:colOff>
      <xdr:row>27</xdr:row>
      <xdr:rowOff>14834</xdr:rowOff>
    </xdr:from>
    <xdr:to>
      <xdr:col>22</xdr:col>
      <xdr:colOff>328168</xdr:colOff>
      <xdr:row>27</xdr:row>
      <xdr:rowOff>139294</xdr:rowOff>
    </xdr:to>
    <xdr:sp macro="" textlink="">
      <xdr:nvSpPr>
        <xdr:cNvPr id="4" name="Shape 1831">
          <a:extLst>
            <a:ext uri="{FF2B5EF4-FFF2-40B4-BE49-F238E27FC236}">
              <a16:creationId xmlns:a16="http://schemas.microsoft.com/office/drawing/2014/main" id="{287F9938-45AC-4073-9A87-39D4A0394F19}"/>
            </a:ext>
          </a:extLst>
        </xdr:cNvPr>
        <xdr:cNvSpPr/>
      </xdr:nvSpPr>
      <xdr:spPr>
        <a:xfrm>
          <a:off x="1978533" y="10368509"/>
          <a:ext cx="83185" cy="124460"/>
        </a:xfrm>
        <a:custGeom>
          <a:avLst/>
          <a:gdLst/>
          <a:ahLst/>
          <a:cxnLst/>
          <a:rect l="0" t="0" r="0" b="0"/>
          <a:pathLst>
            <a:path w="83185" h="124460">
              <a:moveTo>
                <a:pt x="3940714" y="-10351929"/>
              </a:moveTo>
              <a:lnTo>
                <a:pt x="3965185" y="-10302533"/>
              </a:lnTo>
              <a:lnTo>
                <a:pt x="3965260" y="-10302533"/>
              </a:lnTo>
            </a:path>
            <a:path w="83185" h="124460">
              <a:moveTo>
                <a:pt x="3989657" y="-10351929"/>
              </a:moveTo>
              <a:lnTo>
                <a:pt x="3952949" y="-10277797"/>
              </a:lnTo>
              <a:lnTo>
                <a:pt x="3940714" y="-10277797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  <xdr:twoCellAnchor editAs="oneCell">
    <xdr:from>
      <xdr:col>24</xdr:col>
      <xdr:colOff>261620</xdr:colOff>
      <xdr:row>31</xdr:row>
      <xdr:rowOff>90780</xdr:rowOff>
    </xdr:from>
    <xdr:to>
      <xdr:col>24</xdr:col>
      <xdr:colOff>344805</xdr:colOff>
      <xdr:row>31</xdr:row>
      <xdr:rowOff>173965</xdr:rowOff>
    </xdr:to>
    <xdr:sp macro="" textlink="">
      <xdr:nvSpPr>
        <xdr:cNvPr id="5" name="Shape 1832">
          <a:extLst>
            <a:ext uri="{FF2B5EF4-FFF2-40B4-BE49-F238E27FC236}">
              <a16:creationId xmlns:a16="http://schemas.microsoft.com/office/drawing/2014/main" id="{3BC60257-AAC0-4F0E-A21D-4F80B6BECF7C}"/>
            </a:ext>
          </a:extLst>
        </xdr:cNvPr>
        <xdr:cNvSpPr/>
      </xdr:nvSpPr>
      <xdr:spPr>
        <a:xfrm>
          <a:off x="3347720" y="11644605"/>
          <a:ext cx="83185" cy="83185"/>
        </a:xfrm>
        <a:custGeom>
          <a:avLst/>
          <a:gdLst/>
          <a:ahLst/>
          <a:cxnLst/>
          <a:rect l="0" t="0" r="0" b="0"/>
          <a:pathLst>
            <a:path w="83185" h="83185">
              <a:moveTo>
                <a:pt x="3402108" y="-10822485"/>
              </a:moveTo>
              <a:lnTo>
                <a:pt x="3451202" y="-10871956"/>
              </a:lnTo>
              <a:lnTo>
                <a:pt x="3451277" y="-10871956"/>
              </a:lnTo>
            </a:path>
            <a:path w="83185" h="83185">
              <a:moveTo>
                <a:pt x="3402108" y="-10871956"/>
              </a:moveTo>
              <a:lnTo>
                <a:pt x="3451202" y="-10822485"/>
              </a:lnTo>
              <a:lnTo>
                <a:pt x="3451277" y="-108224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390385</xdr:colOff>
      <xdr:row>21</xdr:row>
      <xdr:rowOff>90234</xdr:rowOff>
    </xdr:from>
    <xdr:to>
      <xdr:col>25</xdr:col>
      <xdr:colOff>478015</xdr:colOff>
      <xdr:row>21</xdr:row>
      <xdr:rowOff>177864</xdr:rowOff>
    </xdr:to>
    <xdr:sp macro="" textlink="">
      <xdr:nvSpPr>
        <xdr:cNvPr id="2" name="Shape 1883">
          <a:extLst>
            <a:ext uri="{FF2B5EF4-FFF2-40B4-BE49-F238E27FC236}">
              <a16:creationId xmlns:a16="http://schemas.microsoft.com/office/drawing/2014/main" id="{7C9746F5-4D75-465C-8A20-B10FC9960A9E}"/>
            </a:ext>
          </a:extLst>
        </xdr:cNvPr>
        <xdr:cNvSpPr/>
      </xdr:nvSpPr>
      <xdr:spPr>
        <a:xfrm>
          <a:off x="4086085" y="7205409"/>
          <a:ext cx="87630" cy="87630"/>
        </a:xfrm>
        <a:custGeom>
          <a:avLst/>
          <a:gdLst/>
          <a:ahLst/>
          <a:cxnLst/>
          <a:rect l="0" t="0" r="0" b="0"/>
          <a:pathLst>
            <a:path w="87630" h="87630">
              <a:moveTo>
                <a:pt x="5107877" y="-5888012"/>
              </a:moveTo>
              <a:lnTo>
                <a:pt x="5156013" y="-5936044"/>
              </a:lnTo>
              <a:lnTo>
                <a:pt x="5156153" y="-5936044"/>
              </a:lnTo>
            </a:path>
            <a:path w="87630" h="87630">
              <a:moveTo>
                <a:pt x="5107877" y="-5936044"/>
              </a:moveTo>
              <a:lnTo>
                <a:pt x="5156013" y="-5888012"/>
              </a:lnTo>
              <a:lnTo>
                <a:pt x="5156153" y="-5888012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  <xdr:twoCellAnchor editAs="oneCell">
    <xdr:from>
      <xdr:col>23</xdr:col>
      <xdr:colOff>179692</xdr:colOff>
      <xdr:row>15</xdr:row>
      <xdr:rowOff>78798</xdr:rowOff>
    </xdr:from>
    <xdr:to>
      <xdr:col>23</xdr:col>
      <xdr:colOff>267322</xdr:colOff>
      <xdr:row>15</xdr:row>
      <xdr:rowOff>210243</xdr:rowOff>
    </xdr:to>
    <xdr:sp macro="" textlink="">
      <xdr:nvSpPr>
        <xdr:cNvPr id="3" name="Shape 1884">
          <a:extLst>
            <a:ext uri="{FF2B5EF4-FFF2-40B4-BE49-F238E27FC236}">
              <a16:creationId xmlns:a16="http://schemas.microsoft.com/office/drawing/2014/main" id="{1BDF825E-5B0A-4D74-BD7C-835F77527E89}"/>
            </a:ext>
          </a:extLst>
        </xdr:cNvPr>
        <xdr:cNvSpPr/>
      </xdr:nvSpPr>
      <xdr:spPr>
        <a:xfrm>
          <a:off x="2618092" y="5708073"/>
          <a:ext cx="87630" cy="131445"/>
        </a:xfrm>
        <a:custGeom>
          <a:avLst/>
          <a:gdLst/>
          <a:ahLst/>
          <a:cxnLst/>
          <a:rect l="0" t="0" r="0" b="0"/>
          <a:pathLst>
            <a:path w="87630" h="131445">
              <a:moveTo>
                <a:pt x="5747745" y="-5326831"/>
              </a:moveTo>
              <a:lnTo>
                <a:pt x="5771744" y="-5278799"/>
              </a:lnTo>
              <a:lnTo>
                <a:pt x="5771814" y="-5278799"/>
              </a:lnTo>
            </a:path>
            <a:path w="87630" h="131445">
              <a:moveTo>
                <a:pt x="5795812" y="-5326831"/>
              </a:moveTo>
              <a:lnTo>
                <a:pt x="5759779" y="-5254784"/>
              </a:lnTo>
              <a:lnTo>
                <a:pt x="5747745" y="-5254784"/>
              </a:lnTo>
              <a:lnTo>
                <a:pt x="5747885" y="-5254784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390385</xdr:colOff>
      <xdr:row>21</xdr:row>
      <xdr:rowOff>90234</xdr:rowOff>
    </xdr:from>
    <xdr:to>
      <xdr:col>25</xdr:col>
      <xdr:colOff>478015</xdr:colOff>
      <xdr:row>21</xdr:row>
      <xdr:rowOff>177864</xdr:rowOff>
    </xdr:to>
    <xdr:sp macro="" textlink="">
      <xdr:nvSpPr>
        <xdr:cNvPr id="2" name="Shape 1883">
          <a:extLst>
            <a:ext uri="{FF2B5EF4-FFF2-40B4-BE49-F238E27FC236}">
              <a16:creationId xmlns:a16="http://schemas.microsoft.com/office/drawing/2014/main" id="{FFD5F82A-168E-4F1E-88F1-8D9689FD8438}"/>
            </a:ext>
          </a:extLst>
        </xdr:cNvPr>
        <xdr:cNvSpPr/>
      </xdr:nvSpPr>
      <xdr:spPr>
        <a:xfrm>
          <a:off x="18678385" y="5709984"/>
          <a:ext cx="87630" cy="87630"/>
        </a:xfrm>
        <a:custGeom>
          <a:avLst/>
          <a:gdLst/>
          <a:ahLst/>
          <a:cxnLst/>
          <a:rect l="0" t="0" r="0" b="0"/>
          <a:pathLst>
            <a:path w="87630" h="87630">
              <a:moveTo>
                <a:pt x="5107877" y="-5888012"/>
              </a:moveTo>
              <a:lnTo>
                <a:pt x="5156013" y="-5936044"/>
              </a:lnTo>
              <a:lnTo>
                <a:pt x="5156153" y="-5936044"/>
              </a:lnTo>
            </a:path>
            <a:path w="87630" h="87630">
              <a:moveTo>
                <a:pt x="5107877" y="-5936044"/>
              </a:moveTo>
              <a:lnTo>
                <a:pt x="5156013" y="-5888012"/>
              </a:lnTo>
              <a:lnTo>
                <a:pt x="5156153" y="-5888012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  <xdr:twoCellAnchor editAs="oneCell">
    <xdr:from>
      <xdr:col>23</xdr:col>
      <xdr:colOff>179692</xdr:colOff>
      <xdr:row>15</xdr:row>
      <xdr:rowOff>78798</xdr:rowOff>
    </xdr:from>
    <xdr:to>
      <xdr:col>23</xdr:col>
      <xdr:colOff>267322</xdr:colOff>
      <xdr:row>15</xdr:row>
      <xdr:rowOff>210243</xdr:rowOff>
    </xdr:to>
    <xdr:sp macro="" textlink="">
      <xdr:nvSpPr>
        <xdr:cNvPr id="3" name="Shape 1884">
          <a:extLst>
            <a:ext uri="{FF2B5EF4-FFF2-40B4-BE49-F238E27FC236}">
              <a16:creationId xmlns:a16="http://schemas.microsoft.com/office/drawing/2014/main" id="{7B7283D0-98EF-4E82-8F46-1491B6CF643A}"/>
            </a:ext>
          </a:extLst>
        </xdr:cNvPr>
        <xdr:cNvSpPr/>
      </xdr:nvSpPr>
      <xdr:spPr>
        <a:xfrm>
          <a:off x="17096092" y="4174548"/>
          <a:ext cx="87630" cy="131445"/>
        </a:xfrm>
        <a:custGeom>
          <a:avLst/>
          <a:gdLst/>
          <a:ahLst/>
          <a:cxnLst/>
          <a:rect l="0" t="0" r="0" b="0"/>
          <a:pathLst>
            <a:path w="87630" h="131445">
              <a:moveTo>
                <a:pt x="5747745" y="-5326831"/>
              </a:moveTo>
              <a:lnTo>
                <a:pt x="5771744" y="-5278799"/>
              </a:lnTo>
              <a:lnTo>
                <a:pt x="5771814" y="-5278799"/>
              </a:lnTo>
            </a:path>
            <a:path w="87630" h="131445">
              <a:moveTo>
                <a:pt x="5795812" y="-5326831"/>
              </a:moveTo>
              <a:lnTo>
                <a:pt x="5759779" y="-5254784"/>
              </a:lnTo>
              <a:lnTo>
                <a:pt x="5747745" y="-5254784"/>
              </a:lnTo>
              <a:lnTo>
                <a:pt x="5747885" y="-5254784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D11F-4697-470B-8DC5-0FC263132483}">
  <sheetPr codeName="Sheet1"/>
  <dimension ref="A1:AH59"/>
  <sheetViews>
    <sheetView workbookViewId="0">
      <selection activeCell="E18" sqref="E18"/>
    </sheetView>
  </sheetViews>
  <sheetFormatPr defaultRowHeight="18.75" x14ac:dyDescent="0.2"/>
  <cols>
    <col min="1" max="4" width="9" style="1"/>
    <col min="5" max="5" width="10.125" style="1" customWidth="1"/>
    <col min="6" max="6" width="9" style="1"/>
    <col min="7" max="7" width="11.5" style="1" customWidth="1"/>
    <col min="8" max="8" width="9" style="1"/>
    <col min="9" max="9" width="8.5" style="1" customWidth="1"/>
    <col min="10" max="10" width="10.625" style="1" customWidth="1"/>
    <col min="11" max="11" width="10.125" style="1" customWidth="1"/>
    <col min="12" max="12" width="10.625" style="1" bestFit="1" customWidth="1"/>
    <col min="13" max="13" width="11" style="1" customWidth="1"/>
    <col min="14" max="14" width="8.875" style="1" customWidth="1"/>
    <col min="15" max="15" width="9.25" style="1" customWidth="1"/>
    <col min="16" max="19" width="9" style="1"/>
    <col min="20" max="20" width="11.125" style="1" customWidth="1"/>
    <col min="21" max="16384" width="9" style="1"/>
  </cols>
  <sheetData>
    <row r="1" spans="1:34" x14ac:dyDescent="0.2">
      <c r="B1" s="1">
        <v>37</v>
      </c>
      <c r="C1" s="1">
        <v>0</v>
      </c>
      <c r="E1" s="1" t="s">
        <v>24</v>
      </c>
      <c r="G1" s="2" t="s">
        <v>59</v>
      </c>
      <c r="V1" s="88" t="s">
        <v>5</v>
      </c>
      <c r="W1" s="88"/>
    </row>
    <row r="2" spans="1:34" x14ac:dyDescent="0.2">
      <c r="B2" s="1">
        <v>44</v>
      </c>
      <c r="C2" s="1">
        <v>1</v>
      </c>
      <c r="E2" s="1" t="s">
        <v>25</v>
      </c>
      <c r="G2" s="2" t="s">
        <v>60</v>
      </c>
      <c r="R2" s="96" t="s">
        <v>228</v>
      </c>
      <c r="S2" s="59" t="s">
        <v>16</v>
      </c>
      <c r="T2" s="95" t="s">
        <v>30</v>
      </c>
      <c r="U2" s="95" t="s">
        <v>152</v>
      </c>
      <c r="V2" s="95"/>
      <c r="W2" s="95"/>
      <c r="X2" s="95"/>
      <c r="Y2" s="95"/>
      <c r="Z2" s="95"/>
      <c r="AA2" s="95" t="s">
        <v>153</v>
      </c>
      <c r="AB2" s="95"/>
      <c r="AC2" s="95"/>
      <c r="AD2" s="95" t="s">
        <v>147</v>
      </c>
      <c r="AE2" s="95"/>
      <c r="AF2" s="95"/>
      <c r="AG2" s="95" t="s">
        <v>231</v>
      </c>
      <c r="AH2" s="95"/>
    </row>
    <row r="3" spans="1:34" x14ac:dyDescent="0.2">
      <c r="B3" s="1">
        <v>52</v>
      </c>
      <c r="C3" s="1">
        <v>2</v>
      </c>
      <c r="E3" s="1" t="s">
        <v>26</v>
      </c>
      <c r="R3" s="97"/>
      <c r="S3" s="96" t="s">
        <v>155</v>
      </c>
      <c r="T3" s="95"/>
      <c r="U3" s="95" t="s">
        <v>10</v>
      </c>
      <c r="V3" s="95" t="s">
        <v>11</v>
      </c>
      <c r="W3" s="95" t="s">
        <v>12</v>
      </c>
      <c r="X3" s="95" t="s">
        <v>232</v>
      </c>
      <c r="Y3" s="95" t="s">
        <v>14</v>
      </c>
      <c r="Z3" s="95" t="s">
        <v>15</v>
      </c>
      <c r="AA3" s="95" t="s">
        <v>233</v>
      </c>
      <c r="AB3" s="95" t="s">
        <v>234</v>
      </c>
      <c r="AC3" s="95" t="s">
        <v>235</v>
      </c>
      <c r="AD3" s="95" t="s">
        <v>236</v>
      </c>
      <c r="AE3" s="95" t="s">
        <v>237</v>
      </c>
      <c r="AF3" s="95" t="s">
        <v>238</v>
      </c>
      <c r="AG3" s="95" t="s">
        <v>239</v>
      </c>
      <c r="AH3" s="95" t="s">
        <v>240</v>
      </c>
    </row>
    <row r="4" spans="1:34" x14ac:dyDescent="0.2">
      <c r="R4" s="98"/>
      <c r="S4" s="98"/>
      <c r="T4" s="59" t="s">
        <v>156</v>
      </c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ht="19.5" thickBot="1" x14ac:dyDescent="0.25">
      <c r="R5" s="60" t="s">
        <v>241</v>
      </c>
      <c r="S5" s="5">
        <v>2.21</v>
      </c>
      <c r="T5" s="5">
        <v>1.74</v>
      </c>
      <c r="U5" s="56">
        <v>30</v>
      </c>
      <c r="V5" s="56">
        <v>15</v>
      </c>
      <c r="W5" s="56">
        <v>4</v>
      </c>
      <c r="X5" s="57">
        <v>4.5</v>
      </c>
      <c r="Y5" s="57">
        <v>9</v>
      </c>
      <c r="Z5" s="56">
        <v>12</v>
      </c>
      <c r="AA5" s="5">
        <v>2.5299999999999998</v>
      </c>
      <c r="AB5" s="5">
        <v>1.69</v>
      </c>
      <c r="AC5" s="5">
        <v>1.07</v>
      </c>
      <c r="AD5" s="5">
        <v>0.38</v>
      </c>
      <c r="AE5" s="5">
        <v>0.39</v>
      </c>
      <c r="AF5" s="5">
        <v>0.42</v>
      </c>
      <c r="AG5" s="5">
        <v>0.52</v>
      </c>
      <c r="AH5" s="5">
        <v>0.74</v>
      </c>
    </row>
    <row r="6" spans="1:34" x14ac:dyDescent="0.2">
      <c r="A6" s="99" t="s">
        <v>0</v>
      </c>
      <c r="B6" s="99"/>
      <c r="C6" s="88" t="s">
        <v>1</v>
      </c>
      <c r="D6" s="88" t="s">
        <v>2</v>
      </c>
      <c r="F6" s="67" t="s">
        <v>29</v>
      </c>
      <c r="G6" s="67"/>
      <c r="J6" s="71" t="s">
        <v>37</v>
      </c>
      <c r="K6" s="72"/>
      <c r="L6" s="6"/>
      <c r="M6" s="6"/>
      <c r="N6" s="6"/>
      <c r="O6" s="6"/>
      <c r="P6" s="7"/>
      <c r="R6" s="56">
        <v>30</v>
      </c>
      <c r="S6" s="5">
        <v>5.44</v>
      </c>
      <c r="T6" s="5">
        <v>4.2699999999999996</v>
      </c>
      <c r="U6" s="56">
        <v>30</v>
      </c>
      <c r="V6" s="56">
        <v>33</v>
      </c>
      <c r="W6" s="56">
        <v>5</v>
      </c>
      <c r="X6" s="57">
        <v>7</v>
      </c>
      <c r="Y6" s="57">
        <v>14.5</v>
      </c>
      <c r="Z6" s="56">
        <v>1</v>
      </c>
      <c r="AA6" s="5">
        <v>6.39</v>
      </c>
      <c r="AB6" s="5">
        <v>4.26</v>
      </c>
      <c r="AC6" s="5">
        <v>1.08</v>
      </c>
      <c r="AD6" s="5">
        <v>5.33</v>
      </c>
      <c r="AE6" s="5">
        <v>2.68</v>
      </c>
      <c r="AF6" s="5">
        <v>0.99</v>
      </c>
      <c r="AG6" s="5">
        <v>1.31</v>
      </c>
      <c r="AH6" s="5">
        <v>2.2200000000000002</v>
      </c>
    </row>
    <row r="7" spans="1:34" ht="20.25" x14ac:dyDescent="0.2">
      <c r="A7" s="99"/>
      <c r="B7" s="99"/>
      <c r="C7" s="88"/>
      <c r="D7" s="88"/>
      <c r="F7" s="4" t="s">
        <v>164</v>
      </c>
      <c r="G7" s="4">
        <f>(C18+C16*((0.01*C14)/COS(RADIANS(C15))))*10^-5</f>
        <v>4.5259838261402767E-4</v>
      </c>
      <c r="H7" s="4" t="s">
        <v>36</v>
      </c>
      <c r="J7" s="87" t="s">
        <v>38</v>
      </c>
      <c r="K7" s="75"/>
      <c r="L7" s="8"/>
      <c r="M7" s="8"/>
      <c r="N7" s="75" t="s">
        <v>40</v>
      </c>
      <c r="O7" s="75"/>
      <c r="P7" s="9"/>
      <c r="R7" s="60" t="s">
        <v>242</v>
      </c>
      <c r="S7" s="5">
        <v>3.66</v>
      </c>
      <c r="T7" s="5">
        <v>2.87</v>
      </c>
      <c r="U7" s="56">
        <v>40</v>
      </c>
      <c r="V7" s="56">
        <v>20</v>
      </c>
      <c r="W7" s="56">
        <v>5</v>
      </c>
      <c r="X7" s="57">
        <v>5.5</v>
      </c>
      <c r="Y7" s="57">
        <v>11</v>
      </c>
      <c r="Z7" s="56">
        <v>18</v>
      </c>
      <c r="AA7" s="5">
        <v>7.58</v>
      </c>
      <c r="AB7" s="5">
        <v>3.79</v>
      </c>
      <c r="AC7" s="5">
        <v>1.44</v>
      </c>
      <c r="AD7" s="5">
        <v>1.1399999999999999</v>
      </c>
      <c r="AE7" s="5">
        <v>0.86</v>
      </c>
      <c r="AF7" s="5">
        <v>0.56000000000000005</v>
      </c>
      <c r="AG7" s="5">
        <v>0.67</v>
      </c>
      <c r="AH7" s="5">
        <v>1.01</v>
      </c>
    </row>
    <row r="8" spans="1:34" ht="22.5" x14ac:dyDescent="0.2">
      <c r="A8" s="77" t="s">
        <v>61</v>
      </c>
      <c r="B8" s="78"/>
      <c r="C8" s="90" t="s">
        <v>60</v>
      </c>
      <c r="D8" s="91"/>
      <c r="F8" s="4" t="s">
        <v>165</v>
      </c>
      <c r="G8" s="4">
        <f>G7*COS(RADIANS(C15))</f>
        <v>4.5035268911944711E-4</v>
      </c>
      <c r="H8" s="4" t="s">
        <v>36</v>
      </c>
      <c r="J8" s="10" t="s">
        <v>39</v>
      </c>
      <c r="K8" s="4">
        <f>(10^(-7))*IF(C8=G1,200-(250*TAN(RADIANS(C15))),60-(66.67*TAN(RADIANS(C15))))</f>
        <v>5.3333697082418045E-6</v>
      </c>
      <c r="L8" s="4" t="s">
        <v>166</v>
      </c>
      <c r="M8" s="8"/>
      <c r="N8" s="4" t="s">
        <v>167</v>
      </c>
      <c r="O8" s="4">
        <f>0.1*(C13/4)*COS(RADIANS(C15))</f>
        <v>24.875955505982461</v>
      </c>
      <c r="P8" s="11" t="s">
        <v>20</v>
      </c>
      <c r="R8" s="56">
        <v>40</v>
      </c>
      <c r="S8" s="5">
        <v>6.21</v>
      </c>
      <c r="T8" s="5">
        <v>4.87</v>
      </c>
      <c r="U8" s="56">
        <v>40</v>
      </c>
      <c r="V8" s="56">
        <v>35</v>
      </c>
      <c r="W8" s="56">
        <v>5</v>
      </c>
      <c r="X8" s="57">
        <v>7</v>
      </c>
      <c r="Y8" s="57">
        <v>14.5</v>
      </c>
      <c r="Z8" s="56">
        <v>11</v>
      </c>
      <c r="AA8" s="5">
        <v>14.1</v>
      </c>
      <c r="AB8" s="5">
        <v>7.05</v>
      </c>
      <c r="AC8" s="5">
        <v>1.5</v>
      </c>
      <c r="AD8" s="5">
        <v>6.68</v>
      </c>
      <c r="AE8" s="5">
        <v>3.08</v>
      </c>
      <c r="AF8" s="5">
        <v>1.04</v>
      </c>
      <c r="AG8" s="5">
        <v>1.33</v>
      </c>
      <c r="AH8" s="5">
        <v>2.3199999999999998</v>
      </c>
    </row>
    <row r="9" spans="1:34" ht="20.25" x14ac:dyDescent="0.2">
      <c r="A9" s="76" t="s">
        <v>4</v>
      </c>
      <c r="B9" s="76"/>
      <c r="C9" s="90">
        <v>37</v>
      </c>
      <c r="D9" s="91"/>
      <c r="F9" s="4" t="s">
        <v>168</v>
      </c>
      <c r="G9" s="4">
        <f>G7*SIN(RADIANS(C15))</f>
        <v>4.5030560153260054E-5</v>
      </c>
      <c r="H9" s="4" t="s">
        <v>36</v>
      </c>
      <c r="J9" s="10" t="s">
        <v>169</v>
      </c>
      <c r="K9" s="4">
        <f>K8*C14</f>
        <v>1.0666739416483608E-3</v>
      </c>
      <c r="L9" s="4" t="s">
        <v>36</v>
      </c>
      <c r="M9" s="8"/>
      <c r="N9" s="4" t="s">
        <v>170</v>
      </c>
      <c r="O9" s="4">
        <f>IF(C12=C1,0.1*(C13/4)*SIN(RADIANS(C15)),IF(C12=C2,0.1*(C13/8)*SIN(RADIANS(C15)),IF(C12=C3,0.1*(C13/12)*SIN(RADIANS(C15)))))</f>
        <v>0.82911181824493618</v>
      </c>
      <c r="P9" s="11" t="s">
        <v>20</v>
      </c>
      <c r="R9" s="60" t="s">
        <v>243</v>
      </c>
      <c r="S9" s="5">
        <v>4.92</v>
      </c>
      <c r="T9" s="5">
        <v>3.86</v>
      </c>
      <c r="U9" s="56">
        <v>50</v>
      </c>
      <c r="V9" s="56">
        <v>25</v>
      </c>
      <c r="W9" s="56">
        <v>5</v>
      </c>
      <c r="X9" s="57">
        <v>6</v>
      </c>
      <c r="Y9" s="57">
        <v>12.5</v>
      </c>
      <c r="Z9" s="56">
        <v>25</v>
      </c>
      <c r="AA9" s="5">
        <v>16.600000000000001</v>
      </c>
      <c r="AB9" s="5">
        <v>6.73</v>
      </c>
      <c r="AC9" s="5">
        <v>1.85</v>
      </c>
      <c r="AD9" s="5">
        <v>2.4900000000000002</v>
      </c>
      <c r="AE9" s="5">
        <v>1.48</v>
      </c>
      <c r="AF9" s="5">
        <v>0.71</v>
      </c>
      <c r="AG9" s="5">
        <v>0.81</v>
      </c>
      <c r="AH9" s="5">
        <v>1.34</v>
      </c>
    </row>
    <row r="10" spans="1:34" ht="22.5" x14ac:dyDescent="0.2">
      <c r="A10" s="76" t="s">
        <v>171</v>
      </c>
      <c r="B10" s="76"/>
      <c r="C10" s="4">
        <f>IF(C9=B1,2.4,IF(C9=B2,2.8,3.6))</f>
        <v>2.4</v>
      </c>
      <c r="D10" s="4" t="s">
        <v>166</v>
      </c>
      <c r="F10" s="4" t="s">
        <v>172</v>
      </c>
      <c r="G10" s="4">
        <f>G8*((C13)^2/8)</f>
        <v>56.29408613993089</v>
      </c>
      <c r="H10" s="4" t="s">
        <v>20</v>
      </c>
      <c r="J10" s="10" t="s">
        <v>173</v>
      </c>
      <c r="K10" s="4">
        <f>K9*COS(RADIANS(C15))</f>
        <v>1.0613813404734222E-3</v>
      </c>
      <c r="L10" s="4" t="s">
        <v>36</v>
      </c>
      <c r="M10" s="8"/>
      <c r="N10" s="4" t="s">
        <v>174</v>
      </c>
      <c r="O10" s="4">
        <f>(0.1/2)*COS(RADIANS(C15))</f>
        <v>4.9751911011964925E-2</v>
      </c>
      <c r="P10" s="11" t="s">
        <v>21</v>
      </c>
      <c r="R10" s="56">
        <v>50</v>
      </c>
      <c r="S10" s="5">
        <v>7.12</v>
      </c>
      <c r="T10" s="5">
        <v>5.59</v>
      </c>
      <c r="U10" s="56">
        <v>50</v>
      </c>
      <c r="V10" s="56">
        <v>38</v>
      </c>
      <c r="W10" s="56">
        <v>5</v>
      </c>
      <c r="X10" s="57">
        <v>7</v>
      </c>
      <c r="Y10" s="57">
        <v>15</v>
      </c>
      <c r="Z10" s="56">
        <v>20</v>
      </c>
      <c r="AA10" s="5">
        <v>26.4</v>
      </c>
      <c r="AB10" s="5">
        <v>10.6</v>
      </c>
      <c r="AC10" s="5">
        <v>1.92</v>
      </c>
      <c r="AD10" s="5">
        <v>9.1199999999999992</v>
      </c>
      <c r="AE10" s="5">
        <v>3.75</v>
      </c>
      <c r="AF10" s="5">
        <v>1.1299999999999999</v>
      </c>
      <c r="AG10" s="5">
        <v>1.37</v>
      </c>
      <c r="AH10" s="5">
        <v>2.4700000000000002</v>
      </c>
    </row>
    <row r="11" spans="1:34" ht="22.5" x14ac:dyDescent="0.2">
      <c r="A11" s="76" t="s">
        <v>175</v>
      </c>
      <c r="B11" s="76"/>
      <c r="C11" s="4">
        <f>IF(C9=B1,3.7,IF(C9=B2,4.4,5.2))</f>
        <v>3.7</v>
      </c>
      <c r="D11" s="4" t="s">
        <v>166</v>
      </c>
      <c r="F11" s="4" t="s">
        <v>176</v>
      </c>
      <c r="G11" s="4">
        <f>IF(C12=C1,G9*((C13)^2/8),IF(C12=C2,G9*((C13/2)^2/8),IF(C12=C3,G9*((C13/3)^2/8))))</f>
        <v>0.62542444657305618</v>
      </c>
      <c r="H11" s="4" t="s">
        <v>20</v>
      </c>
      <c r="J11" s="10" t="s">
        <v>177</v>
      </c>
      <c r="K11" s="4">
        <f>K9*SIN(RADIANS(C15))</f>
        <v>1.0612703654814785E-4</v>
      </c>
      <c r="L11" s="4" t="s">
        <v>36</v>
      </c>
      <c r="M11" s="8"/>
      <c r="N11" s="8"/>
      <c r="O11" s="8"/>
      <c r="P11" s="9"/>
      <c r="R11" s="56">
        <v>60</v>
      </c>
      <c r="S11" s="5">
        <v>6.46</v>
      </c>
      <c r="T11" s="5">
        <v>5.07</v>
      </c>
      <c r="U11" s="56">
        <v>60</v>
      </c>
      <c r="V11" s="56">
        <v>30</v>
      </c>
      <c r="W11" s="56">
        <v>6</v>
      </c>
      <c r="X11" s="57">
        <v>6</v>
      </c>
      <c r="Y11" s="57">
        <v>12.5</v>
      </c>
      <c r="Z11" s="56">
        <v>35</v>
      </c>
      <c r="AA11" s="5">
        <v>31.6</v>
      </c>
      <c r="AB11" s="5">
        <v>10.5</v>
      </c>
      <c r="AC11" s="5">
        <v>2.21</v>
      </c>
      <c r="AD11" s="5">
        <v>4.51</v>
      </c>
      <c r="AE11" s="5">
        <v>2.16</v>
      </c>
      <c r="AF11" s="5">
        <v>0.84</v>
      </c>
      <c r="AG11" s="5">
        <v>0.91</v>
      </c>
      <c r="AH11" s="5">
        <v>1.5</v>
      </c>
    </row>
    <row r="12" spans="1:34" ht="20.25" x14ac:dyDescent="0.2">
      <c r="A12" s="77" t="s">
        <v>17</v>
      </c>
      <c r="B12" s="78"/>
      <c r="C12" s="90">
        <v>2</v>
      </c>
      <c r="D12" s="91"/>
      <c r="F12" s="4" t="s">
        <v>178</v>
      </c>
      <c r="G12" s="4">
        <f>G8*(C13/2)</f>
        <v>0.22517634455972355</v>
      </c>
      <c r="H12" s="4" t="s">
        <v>21</v>
      </c>
      <c r="J12" s="10" t="s">
        <v>167</v>
      </c>
      <c r="K12" s="4">
        <f>K10*(C13^2/8)</f>
        <v>132.67266755917777</v>
      </c>
      <c r="L12" s="4" t="s">
        <v>20</v>
      </c>
      <c r="M12" s="8"/>
      <c r="N12" s="61" t="s">
        <v>41</v>
      </c>
      <c r="O12" s="8"/>
      <c r="P12" s="9"/>
      <c r="R12" s="56">
        <v>65</v>
      </c>
      <c r="S12" s="5">
        <v>9.0299999999999994</v>
      </c>
      <c r="T12" s="5">
        <v>7.09</v>
      </c>
      <c r="U12" s="56">
        <v>65</v>
      </c>
      <c r="V12" s="56">
        <v>42</v>
      </c>
      <c r="W12" s="57">
        <v>5.5</v>
      </c>
      <c r="X12" s="57">
        <v>7.5</v>
      </c>
      <c r="Y12" s="57">
        <v>16</v>
      </c>
      <c r="Z12" s="56">
        <v>33</v>
      </c>
      <c r="AA12" s="5">
        <v>57.5</v>
      </c>
      <c r="AB12" s="5">
        <v>17.7</v>
      </c>
      <c r="AC12" s="5">
        <v>2.52</v>
      </c>
      <c r="AD12" s="5">
        <v>14.1</v>
      </c>
      <c r="AE12" s="5">
        <v>5.07</v>
      </c>
      <c r="AF12" s="5">
        <v>1.25</v>
      </c>
      <c r="AG12" s="5">
        <v>1.42</v>
      </c>
      <c r="AH12" s="5">
        <v>2.6</v>
      </c>
    </row>
    <row r="13" spans="1:34" ht="20.25" x14ac:dyDescent="0.2">
      <c r="A13" s="77" t="s">
        <v>179</v>
      </c>
      <c r="B13" s="78"/>
      <c r="C13" s="13">
        <v>1000</v>
      </c>
      <c r="D13" s="4" t="s">
        <v>7</v>
      </c>
      <c r="J13" s="10" t="s">
        <v>170</v>
      </c>
      <c r="K13" s="4">
        <f>IF(C12=C1,K11*(C13^2/8),IF(C12=C2,K11*((C13/2)^2/8),IF(C12=C3,K11*((C13/3)^2/8))))</f>
        <v>1.4739866187242754</v>
      </c>
      <c r="L13" s="4" t="s">
        <v>20</v>
      </c>
      <c r="M13" s="8"/>
      <c r="N13" s="4" t="s">
        <v>167</v>
      </c>
      <c r="O13" s="4">
        <f>MAX(K12,O8)</f>
        <v>132.67266755917777</v>
      </c>
      <c r="P13" s="11" t="s">
        <v>20</v>
      </c>
      <c r="R13" s="56">
        <v>70</v>
      </c>
      <c r="S13" s="5">
        <v>8.57</v>
      </c>
      <c r="T13" s="5">
        <v>6.73</v>
      </c>
      <c r="U13" s="56">
        <v>70</v>
      </c>
      <c r="V13" s="56">
        <v>40</v>
      </c>
      <c r="W13" s="56">
        <v>6</v>
      </c>
      <c r="X13" s="57">
        <v>6.5</v>
      </c>
      <c r="Y13" s="57">
        <v>16</v>
      </c>
      <c r="Z13" s="56">
        <v>38</v>
      </c>
      <c r="AA13" s="5">
        <v>61.1</v>
      </c>
      <c r="AB13" s="5">
        <v>17.5</v>
      </c>
      <c r="AC13" s="5">
        <v>2.67</v>
      </c>
      <c r="AD13" s="5">
        <v>11.4</v>
      </c>
      <c r="AE13" s="5">
        <v>4.0999999999999996</v>
      </c>
      <c r="AF13" s="5">
        <v>1.1499999999999999</v>
      </c>
      <c r="AG13" s="5">
        <v>1.22</v>
      </c>
      <c r="AH13" s="5">
        <v>2.2000000000000002</v>
      </c>
    </row>
    <row r="14" spans="1:34" ht="20.25" x14ac:dyDescent="0.2">
      <c r="A14" s="77" t="s">
        <v>33</v>
      </c>
      <c r="B14" s="78"/>
      <c r="C14" s="13">
        <v>200</v>
      </c>
      <c r="D14" s="4" t="s">
        <v>7</v>
      </c>
      <c r="J14" s="10" t="s">
        <v>174</v>
      </c>
      <c r="K14" s="4">
        <f>K10*(C13/2)</f>
        <v>0.53069067023671113</v>
      </c>
      <c r="L14" s="4" t="s">
        <v>21</v>
      </c>
      <c r="M14" s="8"/>
      <c r="N14" s="4" t="s">
        <v>170</v>
      </c>
      <c r="O14" s="4">
        <f>IF(K12&gt;O8,K13,O9)</f>
        <v>1.4739866187242754</v>
      </c>
      <c r="P14" s="11" t="s">
        <v>20</v>
      </c>
      <c r="R14" s="56">
        <v>80</v>
      </c>
      <c r="S14" s="5">
        <v>11</v>
      </c>
      <c r="T14" s="5">
        <v>8.64</v>
      </c>
      <c r="U14" s="56">
        <v>80</v>
      </c>
      <c r="V14" s="56">
        <v>45</v>
      </c>
      <c r="W14" s="56">
        <v>6</v>
      </c>
      <c r="X14" s="57">
        <v>8</v>
      </c>
      <c r="Y14" s="57">
        <v>17</v>
      </c>
      <c r="Z14" s="56">
        <v>47</v>
      </c>
      <c r="AA14" s="56">
        <v>106</v>
      </c>
      <c r="AB14" s="5">
        <v>26.5</v>
      </c>
      <c r="AC14" s="5">
        <v>3.1</v>
      </c>
      <c r="AD14" s="5">
        <v>19.399999999999999</v>
      </c>
      <c r="AE14" s="5">
        <v>6.36</v>
      </c>
      <c r="AF14" s="5">
        <v>1.33</v>
      </c>
      <c r="AG14" s="5">
        <v>1.45</v>
      </c>
      <c r="AH14" s="5">
        <v>2.67</v>
      </c>
    </row>
    <row r="15" spans="1:34" ht="21" thickBot="1" x14ac:dyDescent="0.25">
      <c r="A15" s="92" t="s">
        <v>34</v>
      </c>
      <c r="B15" s="93"/>
      <c r="C15" s="13">
        <v>5.71</v>
      </c>
      <c r="D15" s="4" t="s">
        <v>35</v>
      </c>
      <c r="J15" s="14"/>
      <c r="K15" s="15"/>
      <c r="L15" s="15"/>
      <c r="M15" s="15"/>
      <c r="N15" s="16" t="s">
        <v>174</v>
      </c>
      <c r="O15" s="16">
        <f>IF(OR(K12&gt;O8,K13&gt;O9),K14,O10)</f>
        <v>0.53069067023671113</v>
      </c>
      <c r="P15" s="17" t="s">
        <v>21</v>
      </c>
      <c r="R15" s="56">
        <v>100</v>
      </c>
      <c r="S15" s="5">
        <v>13.5</v>
      </c>
      <c r="T15" s="5">
        <v>10.6</v>
      </c>
      <c r="U15" s="56">
        <v>100</v>
      </c>
      <c r="V15" s="56">
        <v>50</v>
      </c>
      <c r="W15" s="56">
        <v>6</v>
      </c>
      <c r="X15" s="57">
        <v>8.5</v>
      </c>
      <c r="Y15" s="57">
        <v>18</v>
      </c>
      <c r="Z15" s="56">
        <v>64</v>
      </c>
      <c r="AA15" s="56">
        <v>206</v>
      </c>
      <c r="AB15" s="5">
        <v>41.2</v>
      </c>
      <c r="AC15" s="5">
        <v>3.91</v>
      </c>
      <c r="AD15" s="5">
        <v>29.3</v>
      </c>
      <c r="AE15" s="5">
        <v>8.49</v>
      </c>
      <c r="AF15" s="5">
        <v>1.47</v>
      </c>
      <c r="AG15" s="5">
        <v>1.55</v>
      </c>
      <c r="AH15" s="5">
        <v>2.93</v>
      </c>
    </row>
    <row r="16" spans="1:34" ht="22.5" x14ac:dyDescent="0.2">
      <c r="A16" s="77" t="s">
        <v>32</v>
      </c>
      <c r="B16" s="78"/>
      <c r="C16" s="13">
        <v>6</v>
      </c>
      <c r="D16" s="4" t="s">
        <v>180</v>
      </c>
      <c r="R16" s="56">
        <v>120</v>
      </c>
      <c r="S16" s="5">
        <v>17</v>
      </c>
      <c r="T16" s="5">
        <v>13.4</v>
      </c>
      <c r="U16" s="56">
        <v>120</v>
      </c>
      <c r="V16" s="56">
        <v>55</v>
      </c>
      <c r="W16" s="56">
        <v>7</v>
      </c>
      <c r="X16" s="57">
        <v>9</v>
      </c>
      <c r="Y16" s="57">
        <v>19</v>
      </c>
      <c r="Z16" s="56">
        <v>82</v>
      </c>
      <c r="AA16" s="56">
        <v>364</v>
      </c>
      <c r="AB16" s="5">
        <v>60.7</v>
      </c>
      <c r="AC16" s="5">
        <v>4.62</v>
      </c>
      <c r="AD16" s="5">
        <v>43.2</v>
      </c>
      <c r="AE16" s="5">
        <v>11.1</v>
      </c>
      <c r="AF16" s="5">
        <v>1.59</v>
      </c>
      <c r="AG16" s="5">
        <v>1.6</v>
      </c>
      <c r="AH16" s="5">
        <v>3.03</v>
      </c>
    </row>
    <row r="17" spans="1:34" ht="19.5" thickBot="1" x14ac:dyDescent="0.35">
      <c r="A17" s="77" t="s">
        <v>8</v>
      </c>
      <c r="B17" s="78"/>
      <c r="C17" s="79">
        <v>240</v>
      </c>
      <c r="D17" s="80"/>
      <c r="F17" s="67" t="s">
        <v>42</v>
      </c>
      <c r="G17" s="67"/>
      <c r="R17" s="56">
        <v>140</v>
      </c>
      <c r="S17" s="5">
        <v>20.399999999999999</v>
      </c>
      <c r="T17" s="5">
        <v>16</v>
      </c>
      <c r="U17" s="56">
        <v>140</v>
      </c>
      <c r="V17" s="56">
        <v>60</v>
      </c>
      <c r="W17" s="56">
        <v>7</v>
      </c>
      <c r="X17" s="57">
        <v>10</v>
      </c>
      <c r="Y17" s="57">
        <v>21</v>
      </c>
      <c r="Z17" s="56">
        <v>97</v>
      </c>
      <c r="AA17" s="56">
        <v>605</v>
      </c>
      <c r="AB17" s="5">
        <v>86.4</v>
      </c>
      <c r="AC17" s="5">
        <v>5.45</v>
      </c>
      <c r="AD17" s="5">
        <v>62.7</v>
      </c>
      <c r="AE17" s="5">
        <v>14.8</v>
      </c>
      <c r="AF17" s="5">
        <v>1.75</v>
      </c>
      <c r="AG17" s="5">
        <v>1.75</v>
      </c>
      <c r="AH17" s="5">
        <v>3.37</v>
      </c>
    </row>
    <row r="18" spans="1:34" x14ac:dyDescent="0.2">
      <c r="A18" s="77" t="s">
        <v>30</v>
      </c>
      <c r="B18" s="78"/>
      <c r="C18" s="4">
        <f>VLOOKUP(C17,table,3,FALSE)</f>
        <v>33.200000000000003</v>
      </c>
      <c r="D18" s="4" t="s">
        <v>31</v>
      </c>
      <c r="F18" s="66" t="s">
        <v>43</v>
      </c>
      <c r="G18" s="66"/>
      <c r="H18" s="13">
        <v>-0.5</v>
      </c>
      <c r="I18" s="4" t="s">
        <v>47</v>
      </c>
      <c r="L18" s="81" t="s">
        <v>48</v>
      </c>
      <c r="M18" s="82"/>
      <c r="N18" s="6"/>
      <c r="O18" s="7"/>
      <c r="R18" s="56">
        <v>160</v>
      </c>
      <c r="S18" s="5">
        <v>24</v>
      </c>
      <c r="T18" s="5">
        <v>18.8</v>
      </c>
      <c r="U18" s="56">
        <v>160</v>
      </c>
      <c r="V18" s="56">
        <v>65</v>
      </c>
      <c r="W18" s="57">
        <v>7.5</v>
      </c>
      <c r="X18" s="57">
        <v>10.5</v>
      </c>
      <c r="Y18" s="57">
        <v>22.5</v>
      </c>
      <c r="Z18" s="56">
        <v>116</v>
      </c>
      <c r="AA18" s="56">
        <v>925</v>
      </c>
      <c r="AB18" s="56">
        <v>116</v>
      </c>
      <c r="AC18" s="5">
        <v>6.21</v>
      </c>
      <c r="AD18" s="5">
        <v>85.3</v>
      </c>
      <c r="AE18" s="5">
        <v>18.3</v>
      </c>
      <c r="AF18" s="5">
        <v>1.89</v>
      </c>
      <c r="AG18" s="5">
        <v>1.84</v>
      </c>
      <c r="AH18" s="5">
        <v>3.56</v>
      </c>
    </row>
    <row r="19" spans="1:34" ht="22.5" x14ac:dyDescent="0.2">
      <c r="A19" s="77" t="s">
        <v>16</v>
      </c>
      <c r="B19" s="78"/>
      <c r="C19" s="4">
        <f>VLOOKUP(C17,table,2,FALSE)</f>
        <v>42.3</v>
      </c>
      <c r="D19" s="4" t="s">
        <v>182</v>
      </c>
      <c r="F19" s="94" t="s">
        <v>44</v>
      </c>
      <c r="G19" s="94"/>
      <c r="H19" s="43">
        <v>-0.8</v>
      </c>
      <c r="I19" s="4" t="s">
        <v>47</v>
      </c>
      <c r="L19" s="83" t="s">
        <v>49</v>
      </c>
      <c r="M19" s="84"/>
      <c r="N19" s="78"/>
      <c r="O19" s="44" t="s">
        <v>51</v>
      </c>
      <c r="R19" s="56">
        <v>180</v>
      </c>
      <c r="S19" s="5">
        <v>28</v>
      </c>
      <c r="T19" s="5">
        <v>22</v>
      </c>
      <c r="U19" s="56">
        <v>180</v>
      </c>
      <c r="V19" s="56">
        <v>70</v>
      </c>
      <c r="W19" s="56">
        <v>8</v>
      </c>
      <c r="X19" s="57">
        <v>11</v>
      </c>
      <c r="Y19" s="57">
        <v>23.5</v>
      </c>
      <c r="Z19" s="56">
        <v>133</v>
      </c>
      <c r="AA19" s="56">
        <v>1350</v>
      </c>
      <c r="AB19" s="56">
        <v>150</v>
      </c>
      <c r="AC19" s="5">
        <v>6.95</v>
      </c>
      <c r="AD19" s="56">
        <v>114</v>
      </c>
      <c r="AE19" s="5">
        <v>22.4</v>
      </c>
      <c r="AF19" s="5">
        <v>2.02</v>
      </c>
      <c r="AG19" s="5">
        <v>1.92</v>
      </c>
      <c r="AH19" s="5">
        <v>3.75</v>
      </c>
    </row>
    <row r="20" spans="1:34" ht="20.25" x14ac:dyDescent="0.2">
      <c r="A20" s="77" t="s">
        <v>10</v>
      </c>
      <c r="B20" s="78"/>
      <c r="C20" s="4">
        <f>VLOOKUP(C17,table,4,FALSE)</f>
        <v>240</v>
      </c>
      <c r="D20" s="4" t="s">
        <v>9</v>
      </c>
      <c r="F20" s="66" t="s">
        <v>45</v>
      </c>
      <c r="G20" s="66"/>
      <c r="H20" s="13">
        <v>1.1499999999999999</v>
      </c>
      <c r="I20" s="4" t="s">
        <v>47</v>
      </c>
      <c r="L20" s="10" t="s">
        <v>181</v>
      </c>
      <c r="M20" s="18">
        <f>1.2*G10+1.6*O13+0.8*H25</f>
        <v>279.82917146260149</v>
      </c>
      <c r="N20" s="4" t="s">
        <v>20</v>
      </c>
      <c r="O20" s="9"/>
      <c r="R20" s="56">
        <v>200</v>
      </c>
      <c r="S20" s="5">
        <v>32.200000000000003</v>
      </c>
      <c r="T20" s="5">
        <v>25.3</v>
      </c>
      <c r="U20" s="56">
        <v>200</v>
      </c>
      <c r="V20" s="56">
        <v>75</v>
      </c>
      <c r="W20" s="57">
        <v>8.5</v>
      </c>
      <c r="X20" s="57">
        <v>11.5</v>
      </c>
      <c r="Y20" s="57">
        <v>24.5</v>
      </c>
      <c r="Z20" s="56">
        <v>151</v>
      </c>
      <c r="AA20" s="56">
        <v>1910</v>
      </c>
      <c r="AB20" s="56">
        <v>191</v>
      </c>
      <c r="AC20" s="5">
        <v>7.7</v>
      </c>
      <c r="AD20" s="56">
        <v>148</v>
      </c>
      <c r="AE20" s="5">
        <v>27</v>
      </c>
      <c r="AF20" s="5">
        <v>2.14</v>
      </c>
      <c r="AG20" s="5">
        <v>2.0099999999999998</v>
      </c>
      <c r="AH20" s="5">
        <v>3.94</v>
      </c>
    </row>
    <row r="21" spans="1:34" ht="22.5" x14ac:dyDescent="0.2">
      <c r="A21" s="77" t="s">
        <v>11</v>
      </c>
      <c r="B21" s="78"/>
      <c r="C21" s="4">
        <f>VLOOKUP(C17,table,5,FALSE)</f>
        <v>85</v>
      </c>
      <c r="D21" s="4" t="s">
        <v>9</v>
      </c>
      <c r="F21" s="66" t="s">
        <v>46</v>
      </c>
      <c r="G21" s="66"/>
      <c r="H21" s="13">
        <v>68</v>
      </c>
      <c r="I21" s="4" t="s">
        <v>230</v>
      </c>
      <c r="L21" s="10" t="s">
        <v>183</v>
      </c>
      <c r="M21" s="18">
        <f>1.2*G11+1.6*O14</f>
        <v>3.1088879258465081</v>
      </c>
      <c r="N21" s="4" t="s">
        <v>20</v>
      </c>
      <c r="O21" s="9"/>
      <c r="R21" s="56">
        <v>220</v>
      </c>
      <c r="S21" s="5">
        <v>37.4</v>
      </c>
      <c r="T21" s="5">
        <v>29.4</v>
      </c>
      <c r="U21" s="56">
        <v>220</v>
      </c>
      <c r="V21" s="56">
        <v>80</v>
      </c>
      <c r="W21" s="56">
        <v>9</v>
      </c>
      <c r="X21" s="57">
        <v>12.5</v>
      </c>
      <c r="Y21" s="57">
        <v>26.5</v>
      </c>
      <c r="Z21" s="56">
        <v>166</v>
      </c>
      <c r="AA21" s="56">
        <v>2690</v>
      </c>
      <c r="AB21" s="56">
        <v>245</v>
      </c>
      <c r="AC21" s="5">
        <v>8.48</v>
      </c>
      <c r="AD21" s="56">
        <v>197</v>
      </c>
      <c r="AE21" s="5">
        <v>33.6</v>
      </c>
      <c r="AF21" s="5">
        <v>2.2999999999999998</v>
      </c>
      <c r="AG21" s="5">
        <v>2.14</v>
      </c>
      <c r="AH21" s="5">
        <v>4.2</v>
      </c>
    </row>
    <row r="22" spans="1:34" ht="20.25" x14ac:dyDescent="0.2">
      <c r="A22" s="77" t="s">
        <v>12</v>
      </c>
      <c r="B22" s="78"/>
      <c r="C22" s="4">
        <f>VLOOKUP(C17,table,6,FALSE)</f>
        <v>9.5</v>
      </c>
      <c r="D22" s="4" t="s">
        <v>9</v>
      </c>
      <c r="F22" s="66" t="s">
        <v>217</v>
      </c>
      <c r="G22" s="66"/>
      <c r="H22" s="4">
        <f>-(MAX(ABS(H19),ABS(H18))*H20*H21)*(10^-7)*(C14/COS(RADIANS(C15)))</f>
        <v>-1.2574391360555945E-3</v>
      </c>
      <c r="I22" s="4" t="s">
        <v>36</v>
      </c>
      <c r="L22" s="10" t="s">
        <v>184</v>
      </c>
      <c r="M22" s="18">
        <f>1.2*G12+1.6*O15+0.8*H27</f>
        <v>1.1193166858504062</v>
      </c>
      <c r="N22" s="4" t="s">
        <v>21</v>
      </c>
      <c r="O22" s="9"/>
      <c r="R22" s="56">
        <v>240</v>
      </c>
      <c r="S22" s="5">
        <v>42.3</v>
      </c>
      <c r="T22" s="5">
        <v>33.200000000000003</v>
      </c>
      <c r="U22" s="56">
        <v>240</v>
      </c>
      <c r="V22" s="56">
        <v>85</v>
      </c>
      <c r="W22" s="57">
        <v>9.5</v>
      </c>
      <c r="X22" s="57">
        <v>13</v>
      </c>
      <c r="Y22" s="57">
        <v>28</v>
      </c>
      <c r="Z22" s="56">
        <v>185</v>
      </c>
      <c r="AA22" s="56">
        <v>3600</v>
      </c>
      <c r="AB22" s="56">
        <v>300</v>
      </c>
      <c r="AC22" s="5">
        <v>9.2200000000000006</v>
      </c>
      <c r="AD22" s="56">
        <v>248</v>
      </c>
      <c r="AE22" s="5">
        <v>39.6</v>
      </c>
      <c r="AF22" s="5">
        <v>2.42</v>
      </c>
      <c r="AG22" s="5">
        <v>2.23</v>
      </c>
      <c r="AH22" s="5">
        <v>4.3899999999999997</v>
      </c>
    </row>
    <row r="23" spans="1:34" ht="20.25" x14ac:dyDescent="0.2">
      <c r="A23" s="77" t="s">
        <v>13</v>
      </c>
      <c r="B23" s="78"/>
      <c r="C23" s="4">
        <f>VLOOKUP(C17,table,7,FALSE)</f>
        <v>13</v>
      </c>
      <c r="D23" s="4" t="s">
        <v>9</v>
      </c>
      <c r="F23" s="66" t="s">
        <v>218</v>
      </c>
      <c r="G23" s="66"/>
      <c r="H23" s="13">
        <v>0</v>
      </c>
      <c r="I23" s="4" t="s">
        <v>36</v>
      </c>
      <c r="L23" s="21"/>
      <c r="M23" s="8"/>
      <c r="N23" s="8"/>
      <c r="O23" s="9"/>
      <c r="R23" s="56">
        <v>260</v>
      </c>
      <c r="S23" s="5">
        <v>48.3</v>
      </c>
      <c r="T23" s="5">
        <v>37.9</v>
      </c>
      <c r="U23" s="56">
        <v>260</v>
      </c>
      <c r="V23" s="56">
        <v>90</v>
      </c>
      <c r="W23" s="56">
        <v>10</v>
      </c>
      <c r="X23" s="57">
        <v>14</v>
      </c>
      <c r="Y23" s="57">
        <v>30</v>
      </c>
      <c r="Z23" s="56">
        <v>201</v>
      </c>
      <c r="AA23" s="56">
        <v>4820</v>
      </c>
      <c r="AB23" s="56">
        <v>371</v>
      </c>
      <c r="AC23" s="5">
        <v>9.99</v>
      </c>
      <c r="AD23" s="56">
        <v>317</v>
      </c>
      <c r="AE23" s="5">
        <v>47.7</v>
      </c>
      <c r="AF23" s="5">
        <v>2.56</v>
      </c>
      <c r="AG23" s="5">
        <v>2.36</v>
      </c>
      <c r="AH23" s="5">
        <v>4.66</v>
      </c>
    </row>
    <row r="24" spans="1:34" ht="20.25" x14ac:dyDescent="0.2">
      <c r="A24" s="77" t="s">
        <v>14</v>
      </c>
      <c r="B24" s="78"/>
      <c r="C24" s="4">
        <f>VLOOKUP(C17,table,8,FALSE)</f>
        <v>28</v>
      </c>
      <c r="D24" s="4" t="s">
        <v>9</v>
      </c>
      <c r="F24" s="66" t="s">
        <v>219</v>
      </c>
      <c r="G24" s="66"/>
      <c r="H24" s="4">
        <f>H22*((C13^2)/8)</f>
        <v>-157.1798920069493</v>
      </c>
      <c r="I24" s="4" t="s">
        <v>20</v>
      </c>
      <c r="L24" s="83" t="s">
        <v>50</v>
      </c>
      <c r="M24" s="84"/>
      <c r="N24" s="78"/>
      <c r="O24" s="44" t="s">
        <v>52</v>
      </c>
      <c r="R24" s="56">
        <v>280</v>
      </c>
      <c r="S24" s="5">
        <v>53.3</v>
      </c>
      <c r="T24" s="5">
        <v>41.8</v>
      </c>
      <c r="U24" s="56">
        <v>280</v>
      </c>
      <c r="V24" s="56">
        <v>95</v>
      </c>
      <c r="W24" s="56">
        <v>10</v>
      </c>
      <c r="X24" s="57">
        <v>15</v>
      </c>
      <c r="Y24" s="57">
        <v>32</v>
      </c>
      <c r="Z24" s="56">
        <v>213</v>
      </c>
      <c r="AA24" s="56">
        <v>6280</v>
      </c>
      <c r="AB24" s="56">
        <v>448</v>
      </c>
      <c r="AC24" s="5">
        <v>10.9</v>
      </c>
      <c r="AD24" s="56">
        <v>399</v>
      </c>
      <c r="AE24" s="5">
        <v>57.2</v>
      </c>
      <c r="AF24" s="5">
        <v>2.74</v>
      </c>
      <c r="AG24" s="5">
        <v>2.5299999999999998</v>
      </c>
      <c r="AH24" s="5">
        <v>5.0199999999999996</v>
      </c>
    </row>
    <row r="25" spans="1:34" ht="20.25" x14ac:dyDescent="0.2">
      <c r="A25" s="77" t="s">
        <v>15</v>
      </c>
      <c r="B25" s="78"/>
      <c r="C25" s="4">
        <f>VLOOKUP(C17,table,9,FALSE)</f>
        <v>185</v>
      </c>
      <c r="D25" s="4" t="s">
        <v>9</v>
      </c>
      <c r="F25" s="66" t="s">
        <v>220</v>
      </c>
      <c r="G25" s="66"/>
      <c r="H25" s="13">
        <v>0</v>
      </c>
      <c r="I25" s="4" t="s">
        <v>20</v>
      </c>
      <c r="L25" s="10" t="s">
        <v>181</v>
      </c>
      <c r="M25" s="18">
        <f>0.9*G10+1.3*H24</f>
        <v>-153.6691820830963</v>
      </c>
      <c r="N25" s="4" t="s">
        <v>20</v>
      </c>
      <c r="O25" s="9"/>
      <c r="R25" s="56">
        <v>300</v>
      </c>
      <c r="S25" s="5">
        <v>58.8</v>
      </c>
      <c r="T25" s="5">
        <v>46.2</v>
      </c>
      <c r="U25" s="56">
        <v>300</v>
      </c>
      <c r="V25" s="56">
        <v>100</v>
      </c>
      <c r="W25" s="56">
        <v>10</v>
      </c>
      <c r="X25" s="57">
        <v>16</v>
      </c>
      <c r="Y25" s="57">
        <v>34</v>
      </c>
      <c r="Z25" s="56">
        <v>232</v>
      </c>
      <c r="AA25" s="56">
        <v>8030</v>
      </c>
      <c r="AB25" s="56">
        <v>535</v>
      </c>
      <c r="AC25" s="5">
        <v>11.7</v>
      </c>
      <c r="AD25" s="56">
        <v>495</v>
      </c>
      <c r="AE25" s="5">
        <v>67.8</v>
      </c>
      <c r="AF25" s="5">
        <v>2.9</v>
      </c>
      <c r="AG25" s="5">
        <v>2.7</v>
      </c>
      <c r="AH25" s="5">
        <v>5.41</v>
      </c>
    </row>
    <row r="26" spans="1:34" ht="23.25" thickBot="1" x14ac:dyDescent="0.25">
      <c r="A26" s="77" t="s">
        <v>185</v>
      </c>
      <c r="B26" s="78"/>
      <c r="C26" s="4">
        <f>VLOOKUP(C17,table,10,FALSE)</f>
        <v>3600</v>
      </c>
      <c r="D26" s="4" t="s">
        <v>186</v>
      </c>
      <c r="F26" s="66" t="s">
        <v>221</v>
      </c>
      <c r="G26" s="66"/>
      <c r="H26" s="4">
        <f>H22*0.5*C13</f>
        <v>-0.62871956802779727</v>
      </c>
      <c r="I26" s="4" t="s">
        <v>21</v>
      </c>
      <c r="L26" s="46" t="s">
        <v>183</v>
      </c>
      <c r="M26" s="47">
        <f>0.9*G11</f>
        <v>0.56288200191575055</v>
      </c>
      <c r="N26" s="16" t="s">
        <v>20</v>
      </c>
      <c r="O26" s="23"/>
      <c r="R26" s="56">
        <v>320</v>
      </c>
      <c r="S26" s="5">
        <v>75.8</v>
      </c>
      <c r="T26" s="5">
        <v>59.5</v>
      </c>
      <c r="U26" s="56">
        <v>320</v>
      </c>
      <c r="V26" s="56">
        <v>100</v>
      </c>
      <c r="W26" s="56">
        <v>14</v>
      </c>
      <c r="X26" s="57">
        <v>17.5</v>
      </c>
      <c r="Y26" s="57">
        <v>37</v>
      </c>
      <c r="Z26" s="56">
        <v>247</v>
      </c>
      <c r="AA26" s="56">
        <v>10870</v>
      </c>
      <c r="AB26" s="56">
        <v>679</v>
      </c>
      <c r="AC26" s="5">
        <v>12.1</v>
      </c>
      <c r="AD26" s="56">
        <v>597</v>
      </c>
      <c r="AE26" s="5">
        <v>80.599999999999994</v>
      </c>
      <c r="AF26" s="5">
        <v>2.81</v>
      </c>
      <c r="AG26" s="5">
        <v>2.6</v>
      </c>
      <c r="AH26" s="5">
        <v>4.82</v>
      </c>
    </row>
    <row r="27" spans="1:34" ht="22.5" x14ac:dyDescent="0.2">
      <c r="A27" s="77" t="s">
        <v>187</v>
      </c>
      <c r="B27" s="78"/>
      <c r="C27" s="4">
        <f>VLOOKUP(C17,table,11,FALSE)</f>
        <v>300</v>
      </c>
      <c r="D27" s="4" t="s">
        <v>188</v>
      </c>
      <c r="F27" s="66" t="s">
        <v>222</v>
      </c>
      <c r="G27" s="66"/>
      <c r="H27" s="13">
        <v>0</v>
      </c>
      <c r="I27" s="4" t="s">
        <v>21</v>
      </c>
      <c r="R27" s="56">
        <v>350</v>
      </c>
      <c r="S27" s="5">
        <v>77.3</v>
      </c>
      <c r="T27" s="5">
        <v>60.6</v>
      </c>
      <c r="U27" s="56">
        <v>350</v>
      </c>
      <c r="V27" s="56">
        <v>100</v>
      </c>
      <c r="W27" s="56">
        <v>14</v>
      </c>
      <c r="X27" s="57">
        <v>16</v>
      </c>
      <c r="Y27" s="57">
        <v>34</v>
      </c>
      <c r="Z27" s="56">
        <v>283</v>
      </c>
      <c r="AA27" s="56">
        <v>12840</v>
      </c>
      <c r="AB27" s="56">
        <v>734</v>
      </c>
      <c r="AC27" s="5">
        <v>12.9</v>
      </c>
      <c r="AD27" s="56">
        <v>570</v>
      </c>
      <c r="AE27" s="5">
        <v>75</v>
      </c>
      <c r="AF27" s="5">
        <v>2.72</v>
      </c>
      <c r="AG27" s="5">
        <v>2.4</v>
      </c>
      <c r="AH27" s="5">
        <v>4.45</v>
      </c>
    </row>
    <row r="28" spans="1:34" ht="20.25" x14ac:dyDescent="0.2">
      <c r="A28" s="77" t="s">
        <v>189</v>
      </c>
      <c r="B28" s="78"/>
      <c r="C28" s="4">
        <f>VLOOKUP(C17,table,12,FALSE)</f>
        <v>9.2200000000000006</v>
      </c>
      <c r="D28" s="4" t="s">
        <v>7</v>
      </c>
      <c r="R28" s="56">
        <v>380</v>
      </c>
      <c r="S28" s="5">
        <v>80.400000000000006</v>
      </c>
      <c r="T28" s="5">
        <v>63.1</v>
      </c>
      <c r="U28" s="56">
        <v>380</v>
      </c>
      <c r="V28" s="56">
        <v>102</v>
      </c>
      <c r="W28" s="57">
        <v>13.5</v>
      </c>
      <c r="X28" s="57">
        <v>16</v>
      </c>
      <c r="Y28" s="57">
        <v>33.5</v>
      </c>
      <c r="Z28" s="56">
        <v>313</v>
      </c>
      <c r="AA28" s="56">
        <v>15760</v>
      </c>
      <c r="AB28" s="56">
        <v>829</v>
      </c>
      <c r="AC28" s="5">
        <v>14</v>
      </c>
      <c r="AD28" s="56">
        <v>615</v>
      </c>
      <c r="AE28" s="5">
        <v>78.7</v>
      </c>
      <c r="AF28" s="5">
        <v>2.77</v>
      </c>
      <c r="AG28" s="5">
        <v>2.38</v>
      </c>
      <c r="AH28" s="5">
        <v>4.58</v>
      </c>
    </row>
    <row r="29" spans="1:34" ht="22.5" x14ac:dyDescent="0.2">
      <c r="A29" s="77" t="s">
        <v>190</v>
      </c>
      <c r="B29" s="78"/>
      <c r="C29" s="4">
        <f>VLOOKUP(C17,table,13,FALSE)</f>
        <v>248</v>
      </c>
      <c r="D29" s="4" t="s">
        <v>186</v>
      </c>
      <c r="R29" s="56">
        <v>400</v>
      </c>
      <c r="S29" s="5">
        <v>91.5</v>
      </c>
      <c r="T29" s="5">
        <v>71.8</v>
      </c>
      <c r="U29" s="56">
        <v>400</v>
      </c>
      <c r="V29" s="56">
        <v>110</v>
      </c>
      <c r="W29" s="56">
        <v>14</v>
      </c>
      <c r="X29" s="57">
        <v>18</v>
      </c>
      <c r="Y29" s="57">
        <v>38</v>
      </c>
      <c r="Z29" s="56">
        <v>325</v>
      </c>
      <c r="AA29" s="56">
        <v>20350</v>
      </c>
      <c r="AB29" s="56">
        <v>1020</v>
      </c>
      <c r="AC29" s="5">
        <v>14.9</v>
      </c>
      <c r="AD29" s="56">
        <v>846</v>
      </c>
      <c r="AE29" s="5">
        <v>102</v>
      </c>
      <c r="AF29" s="5">
        <v>3.04</v>
      </c>
      <c r="AG29" s="5">
        <v>2.65</v>
      </c>
      <c r="AH29" s="5">
        <v>5.1100000000000003</v>
      </c>
    </row>
    <row r="30" spans="1:34" ht="22.5" x14ac:dyDescent="0.2">
      <c r="A30" s="77" t="s">
        <v>191</v>
      </c>
      <c r="B30" s="78"/>
      <c r="C30" s="4">
        <f>VLOOKUP(C17,table,14,FALSE)</f>
        <v>39.6</v>
      </c>
      <c r="D30" s="4" t="s">
        <v>188</v>
      </c>
      <c r="F30" s="89" t="s">
        <v>22</v>
      </c>
      <c r="G30" s="89"/>
    </row>
    <row r="31" spans="1:34" ht="20.25" x14ac:dyDescent="0.2">
      <c r="A31" s="77" t="s">
        <v>192</v>
      </c>
      <c r="B31" s="78"/>
      <c r="C31" s="4">
        <f>VLOOKUP(C17,table,15,FALSE)</f>
        <v>2.42</v>
      </c>
      <c r="D31" s="4" t="s">
        <v>7</v>
      </c>
      <c r="F31" s="89"/>
      <c r="G31" s="89"/>
    </row>
    <row r="32" spans="1:34" ht="20.25" x14ac:dyDescent="0.2">
      <c r="A32" s="76" t="s">
        <v>225</v>
      </c>
      <c r="B32" s="76"/>
      <c r="C32" s="4">
        <f>80*(C31/SQRT(C10))</f>
        <v>124.96826263762598</v>
      </c>
      <c r="D32" s="4" t="s">
        <v>7</v>
      </c>
    </row>
    <row r="33" spans="1:17" ht="20.25" x14ac:dyDescent="0.2">
      <c r="A33" s="76" t="s">
        <v>226</v>
      </c>
      <c r="B33" s="76"/>
      <c r="C33" s="4">
        <f>0.1*SQRT((C23*(C21^3)/12)/(C21*C23+(1/6)*(C20-2*C23)*C22))</f>
        <v>2.1465989356770612</v>
      </c>
      <c r="D33" s="4" t="s">
        <v>7</v>
      </c>
      <c r="F33" s="67" t="s">
        <v>23</v>
      </c>
      <c r="G33" s="67"/>
    </row>
    <row r="34" spans="1:17" ht="20.25" x14ac:dyDescent="0.2">
      <c r="A34" s="76" t="s">
        <v>55</v>
      </c>
      <c r="B34" s="76"/>
      <c r="C34" s="4">
        <f>((0.104*C33*(C20/10))/(0.1*C21*0.1*C23))^2</f>
        <v>0.23510746854438416</v>
      </c>
      <c r="D34" s="4" t="s">
        <v>47</v>
      </c>
      <c r="F34" s="76" t="s">
        <v>203</v>
      </c>
      <c r="G34" s="76"/>
      <c r="H34" s="4">
        <f>(C20-2*C23-2*C23)/C22</f>
        <v>19.789473684210527</v>
      </c>
      <c r="I34" s="66" t="str">
        <f>IF(H34&lt;=127/SQRT(C10),E1,E2)</f>
        <v>compact</v>
      </c>
      <c r="J34" s="66"/>
      <c r="K34" s="66" t="s">
        <v>27</v>
      </c>
      <c r="L34" s="66" t="s">
        <v>28</v>
      </c>
      <c r="M34" s="66"/>
      <c r="N34" s="85" t="str">
        <f>IF(AND(I34=E1,I35=E1),E1,E2)</f>
        <v>compact</v>
      </c>
      <c r="O34" s="86"/>
    </row>
    <row r="35" spans="1:17" ht="20.25" x14ac:dyDescent="0.2">
      <c r="A35" s="76" t="s">
        <v>227</v>
      </c>
      <c r="B35" s="76"/>
      <c r="C35" s="4">
        <f>((1380*0.1*C21*0.1*C23)/(0.1*C20*0.75*C10))*SQRT(0.5*(1+SQRT(1+(2*C34*0.75*C10)^2)))</f>
        <v>379.36592870312103</v>
      </c>
      <c r="D35" s="4" t="s">
        <v>7</v>
      </c>
      <c r="F35" s="76" t="s">
        <v>204</v>
      </c>
      <c r="G35" s="76"/>
      <c r="H35" s="4">
        <f>(C21-C23-C23)/C23</f>
        <v>4.5384615384615383</v>
      </c>
      <c r="I35" s="66" t="str">
        <f>IF(H35&lt;=16.9/SQRT(C10),E1,E2)</f>
        <v>compact</v>
      </c>
      <c r="J35" s="66"/>
      <c r="K35" s="66"/>
      <c r="L35" s="66"/>
      <c r="M35" s="66"/>
      <c r="N35" s="85"/>
      <c r="O35" s="86"/>
      <c r="Q35" s="1" t="s">
        <v>3</v>
      </c>
    </row>
    <row r="37" spans="1:17" ht="19.5" thickBot="1" x14ac:dyDescent="0.25"/>
    <row r="38" spans="1:17" x14ac:dyDescent="0.2">
      <c r="F38" s="71" t="s">
        <v>53</v>
      </c>
      <c r="G38" s="72"/>
      <c r="H38" s="6"/>
      <c r="I38" s="6"/>
      <c r="J38" s="6"/>
      <c r="K38" s="6"/>
      <c r="L38" s="6"/>
      <c r="M38" s="6"/>
      <c r="N38" s="7"/>
    </row>
    <row r="39" spans="1:17" x14ac:dyDescent="0.2">
      <c r="F39" s="73" t="s">
        <v>54</v>
      </c>
      <c r="G39" s="74"/>
      <c r="H39" s="8"/>
      <c r="I39" s="8"/>
      <c r="J39" s="8"/>
      <c r="K39" s="8"/>
      <c r="L39" s="8"/>
      <c r="M39" s="8"/>
      <c r="N39" s="9"/>
    </row>
    <row r="40" spans="1:17" ht="20.25" x14ac:dyDescent="0.2">
      <c r="F40" s="10" t="s">
        <v>205</v>
      </c>
      <c r="G40" s="4">
        <f>C27*C10</f>
        <v>720</v>
      </c>
      <c r="H40" s="4" t="s">
        <v>20</v>
      </c>
      <c r="I40" s="66" t="s">
        <v>27</v>
      </c>
      <c r="J40" s="4" t="s">
        <v>206</v>
      </c>
      <c r="K40" s="4">
        <f>M20/(0.85*G40)</f>
        <v>0.45723720827222464</v>
      </c>
      <c r="L40" s="4" t="str">
        <f>IF(K40&lt;=1,"Safe","Unsafe")</f>
        <v>Safe</v>
      </c>
      <c r="M40" s="8"/>
      <c r="N40" s="9"/>
    </row>
    <row r="41" spans="1:17" ht="20.25" x14ac:dyDescent="0.2">
      <c r="F41" s="10" t="s">
        <v>207</v>
      </c>
      <c r="G41" s="4">
        <f>C30*C10</f>
        <v>95.04</v>
      </c>
      <c r="H41" s="4" t="s">
        <v>20</v>
      </c>
      <c r="I41" s="66"/>
      <c r="J41" s="4" t="s">
        <v>208</v>
      </c>
      <c r="K41" s="4">
        <f>M21/(0.85*G41)</f>
        <v>3.848395630132833E-2</v>
      </c>
      <c r="L41" s="4" t="str">
        <f>IF(K41&lt;=1,"Safe","Unsafe")</f>
        <v>Safe</v>
      </c>
      <c r="M41" s="8"/>
      <c r="N41" s="9"/>
    </row>
    <row r="42" spans="1:17" x14ac:dyDescent="0.2">
      <c r="F42" s="21"/>
      <c r="G42" s="8"/>
      <c r="H42" s="8"/>
      <c r="I42" s="8"/>
      <c r="J42" s="8"/>
      <c r="K42" s="8"/>
      <c r="L42" s="8"/>
      <c r="M42" s="8"/>
      <c r="N42" s="9"/>
    </row>
    <row r="43" spans="1:17" x14ac:dyDescent="0.2">
      <c r="F43" s="73" t="s">
        <v>52</v>
      </c>
      <c r="G43" s="74"/>
      <c r="H43" s="8"/>
      <c r="I43" s="8"/>
      <c r="J43" s="8"/>
      <c r="K43" s="8"/>
      <c r="L43" s="8"/>
      <c r="M43" s="8"/>
      <c r="N43" s="9"/>
    </row>
    <row r="44" spans="1:17" ht="20.25" x14ac:dyDescent="0.2">
      <c r="F44" s="68" t="s">
        <v>209</v>
      </c>
      <c r="G44" s="66"/>
      <c r="H44" s="4" t="s">
        <v>205</v>
      </c>
      <c r="I44" s="4">
        <f>C27*C10</f>
        <v>720</v>
      </c>
      <c r="J44" s="4" t="s">
        <v>20</v>
      </c>
      <c r="K44" s="66" t="s">
        <v>27</v>
      </c>
      <c r="L44" s="4" t="s">
        <v>206</v>
      </c>
      <c r="M44" s="4">
        <f>IF(C13&lt;=C32,ABS(M25)/(0.85*I44),IF(AND(C13&gt;C32,C13&lt;=C35),ABS(M25)/(0.85*I45),IF(C13&gt;C35,ABS(M25)/(0.85*I46))))</f>
        <v>0.93794439653325268</v>
      </c>
      <c r="N44" s="11" t="str">
        <f>IF(M44&lt;=1,"Safe","Unsafe")</f>
        <v>Safe</v>
      </c>
    </row>
    <row r="45" spans="1:17" ht="20.25" x14ac:dyDescent="0.2">
      <c r="F45" s="68" t="s">
        <v>210</v>
      </c>
      <c r="G45" s="66"/>
      <c r="H45" s="4" t="s">
        <v>205</v>
      </c>
      <c r="I45" s="4">
        <f>(C27*C10)-((C27*C10-C27*0.75*C10)*((C13-C32)/(C35-C32)))</f>
        <v>100.86809065033935</v>
      </c>
      <c r="J45" s="4" t="s">
        <v>20</v>
      </c>
      <c r="K45" s="66"/>
      <c r="L45" s="4" t="s">
        <v>208</v>
      </c>
      <c r="M45" s="4">
        <f>M26/(0.85*G41)</f>
        <v>6.9677411605732634E-3</v>
      </c>
      <c r="N45" s="11" t="str">
        <f>IF(M45&lt;=1,"Safe","Unsafe")</f>
        <v>Safe</v>
      </c>
    </row>
    <row r="46" spans="1:17" ht="21" thickBot="1" x14ac:dyDescent="0.25">
      <c r="F46" s="69" t="s">
        <v>211</v>
      </c>
      <c r="G46" s="70"/>
      <c r="H46" s="16" t="s">
        <v>205</v>
      </c>
      <c r="I46" s="16">
        <f>C27*SQRT(((1380*0.1*C21*0.1*C23)/(0.1*C20*C13))^2+(20700/(C13/C33)^2)^2)</f>
        <v>192.74839074378693</v>
      </c>
      <c r="J46" s="16" t="s">
        <v>20</v>
      </c>
      <c r="K46" s="58"/>
      <c r="L46" s="15"/>
      <c r="M46" s="15"/>
      <c r="N46" s="23"/>
    </row>
    <row r="49" spans="6:14" x14ac:dyDescent="0.2">
      <c r="F49" s="67" t="s">
        <v>56</v>
      </c>
      <c r="G49" s="67"/>
      <c r="K49" s="67" t="s">
        <v>57</v>
      </c>
      <c r="L49" s="67"/>
    </row>
    <row r="50" spans="6:14" ht="20.25" x14ac:dyDescent="0.2">
      <c r="F50" s="66" t="s">
        <v>212</v>
      </c>
      <c r="G50" s="66"/>
      <c r="H50" s="4">
        <f>M22/(0.8*0.6*C10*0.1*C20*0.1*C22)</f>
        <v>4.2615309981512174E-2</v>
      </c>
      <c r="I50" s="4" t="str">
        <f>IF(H50&lt;=1,"Safe","Unsafe")</f>
        <v>Safe</v>
      </c>
      <c r="K50" s="4" t="s">
        <v>58</v>
      </c>
      <c r="L50" s="4">
        <f>(5*K10*C13^4)/(384*2100*C26)</f>
        <v>1.8280515261130095</v>
      </c>
      <c r="M50" s="4" t="s">
        <v>7</v>
      </c>
      <c r="N50" s="4" t="str">
        <f>IF(L50&lt;=C13/200,"Safe","Unsafe")</f>
        <v>Safe</v>
      </c>
    </row>
    <row r="52" spans="6:14" ht="19.5" thickBot="1" x14ac:dyDescent="0.25"/>
    <row r="53" spans="6:14" ht="21" customHeight="1" x14ac:dyDescent="0.2">
      <c r="F53" s="71" t="s">
        <v>62</v>
      </c>
      <c r="G53" s="72"/>
      <c r="H53" s="6"/>
      <c r="I53" s="6"/>
      <c r="J53" s="6"/>
      <c r="K53" s="6"/>
      <c r="L53" s="6"/>
      <c r="M53" s="6"/>
      <c r="N53" s="7"/>
    </row>
    <row r="54" spans="6:14" ht="21" customHeight="1" x14ac:dyDescent="0.2">
      <c r="F54" s="100" t="s">
        <v>134</v>
      </c>
      <c r="G54" s="76"/>
      <c r="H54" s="8"/>
      <c r="I54" s="8"/>
      <c r="J54" s="8"/>
      <c r="K54" s="76" t="s">
        <v>135</v>
      </c>
      <c r="L54" s="76"/>
      <c r="M54" s="8"/>
      <c r="N54" s="9"/>
    </row>
    <row r="55" spans="6:14" ht="21" customHeight="1" x14ac:dyDescent="0.2">
      <c r="F55" s="68" t="s">
        <v>133</v>
      </c>
      <c r="G55" s="66"/>
      <c r="H55" s="13">
        <v>5</v>
      </c>
      <c r="I55" s="8"/>
      <c r="J55" s="8"/>
      <c r="K55" s="66" t="s">
        <v>133</v>
      </c>
      <c r="L55" s="66"/>
      <c r="M55" s="13">
        <v>5</v>
      </c>
      <c r="N55" s="9"/>
    </row>
    <row r="56" spans="6:14" x14ac:dyDescent="0.2">
      <c r="F56" s="10" t="s">
        <v>136</v>
      </c>
      <c r="G56" s="4">
        <f>DEGREES(ATAN(RADIANS(DEGREES(C14/(0.5*C13)))))</f>
        <v>21.801409486351815</v>
      </c>
      <c r="H56" s="4" t="s">
        <v>35</v>
      </c>
      <c r="I56" s="8"/>
      <c r="J56" s="8"/>
      <c r="K56" s="4" t="s">
        <v>136</v>
      </c>
      <c r="L56" s="4">
        <f>DEGREES(ATAN(RADIANS(DEGREES(C14/(C13/3)))))</f>
        <v>30.963756532073528</v>
      </c>
      <c r="M56" s="4" t="s">
        <v>35</v>
      </c>
      <c r="N56" s="9"/>
    </row>
    <row r="57" spans="6:14" x14ac:dyDescent="0.2">
      <c r="F57" s="10" t="s">
        <v>63</v>
      </c>
      <c r="G57" s="4">
        <f>((1.2*G9+1.6*K11)*0.5*C13*(H55-0.5))/(2*SIN(RADIANS(G56)))</f>
        <v>0.67804589082755695</v>
      </c>
      <c r="H57" s="4" t="s">
        <v>21</v>
      </c>
      <c r="I57" s="8"/>
      <c r="J57" s="8"/>
      <c r="K57" s="4" t="s">
        <v>63</v>
      </c>
      <c r="L57" s="4">
        <f>((1.2*G9+1.6*K11)*(1/3)*C13*(H55-0.5))/(SIN(RADIANS(G56)))</f>
        <v>0.90406118777007582</v>
      </c>
      <c r="M57" s="4" t="s">
        <v>21</v>
      </c>
      <c r="N57" s="9"/>
    </row>
    <row r="58" spans="6:14" ht="20.25" x14ac:dyDescent="0.2">
      <c r="F58" s="10" t="s">
        <v>213</v>
      </c>
      <c r="G58" s="4">
        <f>0.85*0.78*(((22/7)/4)*(1)^2)*C10</f>
        <v>1.2502285714285712</v>
      </c>
      <c r="H58" s="4" t="s">
        <v>21</v>
      </c>
      <c r="I58" s="4" t="str">
        <f>IF(G57&lt;=G58,"Safe","Unsafe")</f>
        <v>Safe</v>
      </c>
      <c r="J58" s="8"/>
      <c r="K58" s="4" t="s">
        <v>213</v>
      </c>
      <c r="L58" s="4">
        <f>0.85*0.78*(((22/7)/4)*(1)^2)*C10</f>
        <v>1.2502285714285712</v>
      </c>
      <c r="M58" s="4" t="s">
        <v>21</v>
      </c>
      <c r="N58" s="11" t="str">
        <f>IF(L57&lt;=L58,"Safe","Unsafe")</f>
        <v>Safe</v>
      </c>
    </row>
    <row r="59" spans="6:14" ht="21" thickBot="1" x14ac:dyDescent="0.25">
      <c r="F59" s="46" t="s">
        <v>214</v>
      </c>
      <c r="G59" s="16">
        <f>0.7*0.78*(((22/7)/4)*(1)^2)*C11</f>
        <v>1.5872999999999999</v>
      </c>
      <c r="H59" s="16" t="s">
        <v>21</v>
      </c>
      <c r="I59" s="16" t="str">
        <f>IF(G57&lt;=G59,"Safe","Unsafe")</f>
        <v>Safe</v>
      </c>
      <c r="J59" s="15"/>
      <c r="K59" s="16" t="s">
        <v>214</v>
      </c>
      <c r="L59" s="16">
        <f>0.7*0.78*(((22/7)/4)*(1)^2)*C11</f>
        <v>1.5872999999999999</v>
      </c>
      <c r="M59" s="16" t="s">
        <v>21</v>
      </c>
      <c r="N59" s="17" t="str">
        <f>IF(L57&lt;=L59,"Safe","Unsafe")</f>
        <v>Safe</v>
      </c>
    </row>
  </sheetData>
  <mergeCells count="100">
    <mergeCell ref="F55:G55"/>
    <mergeCell ref="F54:G54"/>
    <mergeCell ref="K54:L54"/>
    <mergeCell ref="F53:G53"/>
    <mergeCell ref="K55:L55"/>
    <mergeCell ref="K34:K35"/>
    <mergeCell ref="L34:M35"/>
    <mergeCell ref="AG2:AH2"/>
    <mergeCell ref="S3:S4"/>
    <mergeCell ref="U3:U4"/>
    <mergeCell ref="V3:V4"/>
    <mergeCell ref="W3:W4"/>
    <mergeCell ref="X3:X4"/>
    <mergeCell ref="Y3:Y4"/>
    <mergeCell ref="Z3:Z4"/>
    <mergeCell ref="AA3:AA4"/>
    <mergeCell ref="AB3:AB4"/>
    <mergeCell ref="AD2:AF2"/>
    <mergeCell ref="AD3:AD4"/>
    <mergeCell ref="AE3:AE4"/>
    <mergeCell ref="AF3:AF4"/>
    <mergeCell ref="AG3:AG4"/>
    <mergeCell ref="AH3:AH4"/>
    <mergeCell ref="V1:W1"/>
    <mergeCell ref="A18:B18"/>
    <mergeCell ref="R2:R4"/>
    <mergeCell ref="T2:T3"/>
    <mergeCell ref="U2:Z2"/>
    <mergeCell ref="AA2:AC2"/>
    <mergeCell ref="AC3:AC4"/>
    <mergeCell ref="A6:B7"/>
    <mergeCell ref="A8:B8"/>
    <mergeCell ref="C8:D8"/>
    <mergeCell ref="C12:D12"/>
    <mergeCell ref="A9:B9"/>
    <mergeCell ref="A10:B10"/>
    <mergeCell ref="A11:B11"/>
    <mergeCell ref="A32:B32"/>
    <mergeCell ref="A35:B35"/>
    <mergeCell ref="A16:B16"/>
    <mergeCell ref="A19:B19"/>
    <mergeCell ref="A20:B20"/>
    <mergeCell ref="A21:B21"/>
    <mergeCell ref="A22:B22"/>
    <mergeCell ref="A17:B17"/>
    <mergeCell ref="A33:B33"/>
    <mergeCell ref="A12:B12"/>
    <mergeCell ref="A13:B13"/>
    <mergeCell ref="C6:C7"/>
    <mergeCell ref="D6:D7"/>
    <mergeCell ref="F30:G31"/>
    <mergeCell ref="C9:D9"/>
    <mergeCell ref="A14:B14"/>
    <mergeCell ref="A15:B15"/>
    <mergeCell ref="A29:B29"/>
    <mergeCell ref="A30:B30"/>
    <mergeCell ref="A31:B31"/>
    <mergeCell ref="F21:G21"/>
    <mergeCell ref="F22:G22"/>
    <mergeCell ref="F23:G23"/>
    <mergeCell ref="F19:G19"/>
    <mergeCell ref="F20:G20"/>
    <mergeCell ref="J6:K6"/>
    <mergeCell ref="J7:K7"/>
    <mergeCell ref="F6:G6"/>
    <mergeCell ref="F17:G17"/>
    <mergeCell ref="F18:G18"/>
    <mergeCell ref="F26:G26"/>
    <mergeCell ref="F27:G27"/>
    <mergeCell ref="F35:G35"/>
    <mergeCell ref="I34:J34"/>
    <mergeCell ref="I35:J35"/>
    <mergeCell ref="F33:G33"/>
    <mergeCell ref="N7:O7"/>
    <mergeCell ref="F34:G34"/>
    <mergeCell ref="A34:B34"/>
    <mergeCell ref="A23:B23"/>
    <mergeCell ref="A24:B24"/>
    <mergeCell ref="A25:B25"/>
    <mergeCell ref="A26:B26"/>
    <mergeCell ref="A27:B27"/>
    <mergeCell ref="A28:B28"/>
    <mergeCell ref="C17:D17"/>
    <mergeCell ref="L18:M18"/>
    <mergeCell ref="L19:N19"/>
    <mergeCell ref="L24:N24"/>
    <mergeCell ref="N34:O35"/>
    <mergeCell ref="F24:G24"/>
    <mergeCell ref="F25:G25"/>
    <mergeCell ref="F38:G38"/>
    <mergeCell ref="F39:G39"/>
    <mergeCell ref="I40:I41"/>
    <mergeCell ref="F43:G43"/>
    <mergeCell ref="K44:K45"/>
    <mergeCell ref="F50:G50"/>
    <mergeCell ref="K49:L49"/>
    <mergeCell ref="F44:G44"/>
    <mergeCell ref="F45:G45"/>
    <mergeCell ref="F46:G46"/>
    <mergeCell ref="F49:G49"/>
  </mergeCells>
  <phoneticPr fontId="2" type="noConversion"/>
  <conditionalFormatting sqref="L40:L41 N44:N45 N50 I50 I58:I59 N58:N59">
    <cfRule type="cellIs" dxfId="9" priority="2" operator="equal">
      <formula>"Safe"</formula>
    </cfRule>
  </conditionalFormatting>
  <conditionalFormatting sqref="L40:L41 N44:N45 N50 I50 I58:I59 N58:N59">
    <cfRule type="cellIs" dxfId="8" priority="1" operator="equal">
      <formula>"Unsafe"</formula>
    </cfRule>
  </conditionalFormatting>
  <dataValidations count="4">
    <dataValidation type="list" allowBlank="1" showInputMessage="1" showErrorMessage="1" sqref="C9" xr:uid="{1121019D-0652-4977-9A8F-C8A466E5C484}">
      <formula1>$B$1:$B$3</formula1>
    </dataValidation>
    <dataValidation type="list" allowBlank="1" showInputMessage="1" showErrorMessage="1" sqref="C12" xr:uid="{AD1BE0AE-093E-4AC9-9460-CBC46AA9B73E}">
      <formula1>$C$1:$C$3</formula1>
    </dataValidation>
    <dataValidation type="list" allowBlank="1" showInputMessage="1" showErrorMessage="1" sqref="C8:D8" xr:uid="{89018DFB-0B33-49B3-A169-8446ED8502C5}">
      <formula1>$G$1:$G$2</formula1>
    </dataValidation>
    <dataValidation type="list" allowBlank="1" showInputMessage="1" showErrorMessage="1" sqref="C17" xr:uid="{30A0934C-5B94-4A4F-A761-DA8729B9305A}">
      <formula1>$R$5:$R$29</formula1>
    </dataValidation>
  </dataValidations>
  <pageMargins left="0.7" right="0.7" top="0.75" bottom="0.75" header="0.3" footer="0.3"/>
  <pageSetup paperSize="9" orientation="portrait" r:id="rId1"/>
  <ignoredErrors>
    <ignoredError sqref="M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C6EE-ACEF-4F26-87BD-EC9B202C28A4}">
  <sheetPr codeName="Sheet2"/>
  <dimension ref="A1:AG58"/>
  <sheetViews>
    <sheetView workbookViewId="0">
      <selection activeCell="F15" sqref="F15"/>
    </sheetView>
  </sheetViews>
  <sheetFormatPr defaultRowHeight="18.75" x14ac:dyDescent="0.2"/>
  <cols>
    <col min="1" max="3" width="9" style="1"/>
    <col min="4" max="5" width="8.625" style="1" customWidth="1"/>
    <col min="6" max="6" width="9" style="1"/>
    <col min="7" max="7" width="11.25" style="1" customWidth="1"/>
    <col min="8" max="8" width="11.125" style="1" bestFit="1" customWidth="1"/>
    <col min="9" max="9" width="8.625" style="1" customWidth="1"/>
    <col min="10" max="10" width="10.625" style="1" customWidth="1"/>
    <col min="11" max="11" width="8.125" style="1" customWidth="1"/>
    <col min="12" max="12" width="11.125" style="1" customWidth="1"/>
    <col min="13" max="14" width="8.5" style="1" customWidth="1"/>
    <col min="15" max="15" width="8.75" style="1" customWidth="1"/>
    <col min="16" max="16384" width="9" style="1"/>
  </cols>
  <sheetData>
    <row r="1" spans="1:33" x14ac:dyDescent="0.2">
      <c r="B1" s="1">
        <v>37</v>
      </c>
      <c r="C1" s="1">
        <v>0</v>
      </c>
      <c r="E1" s="1" t="s">
        <v>24</v>
      </c>
      <c r="G1" s="2" t="s">
        <v>59</v>
      </c>
      <c r="W1" s="88" t="s">
        <v>6</v>
      </c>
      <c r="X1" s="88"/>
    </row>
    <row r="2" spans="1:33" x14ac:dyDescent="0.2">
      <c r="B2" s="1">
        <v>44</v>
      </c>
      <c r="C2" s="1">
        <v>1</v>
      </c>
      <c r="E2" s="1" t="s">
        <v>25</v>
      </c>
      <c r="G2" s="2" t="s">
        <v>60</v>
      </c>
      <c r="R2" s="48" t="s">
        <v>228</v>
      </c>
      <c r="S2" s="3" t="s">
        <v>16</v>
      </c>
      <c r="T2" s="3" t="s">
        <v>30</v>
      </c>
      <c r="U2" s="104" t="s">
        <v>152</v>
      </c>
      <c r="V2" s="105"/>
      <c r="W2" s="107"/>
      <c r="X2" s="107"/>
      <c r="Y2" s="105"/>
      <c r="Z2" s="105"/>
      <c r="AA2" s="106"/>
      <c r="AB2" s="104" t="s">
        <v>153</v>
      </c>
      <c r="AC2" s="105"/>
      <c r="AD2" s="106"/>
      <c r="AE2" s="104" t="s">
        <v>147</v>
      </c>
      <c r="AF2" s="105"/>
      <c r="AG2" s="106"/>
    </row>
    <row r="3" spans="1:33" ht="42" x14ac:dyDescent="0.2">
      <c r="B3" s="1">
        <v>52</v>
      </c>
      <c r="C3" s="1">
        <v>2</v>
      </c>
      <c r="E3" s="1" t="s">
        <v>26</v>
      </c>
      <c r="R3" s="49" t="s">
        <v>229</v>
      </c>
      <c r="S3" s="50" t="s">
        <v>155</v>
      </c>
      <c r="T3" s="50" t="s">
        <v>156</v>
      </c>
      <c r="U3" s="51" t="s">
        <v>10</v>
      </c>
      <c r="V3" s="51" t="s">
        <v>11</v>
      </c>
      <c r="W3" s="51" t="s">
        <v>12</v>
      </c>
      <c r="X3" s="51" t="s">
        <v>18</v>
      </c>
      <c r="Y3" s="51" t="s">
        <v>19</v>
      </c>
      <c r="Z3" s="51" t="s">
        <v>14</v>
      </c>
      <c r="AA3" s="51" t="s">
        <v>15</v>
      </c>
      <c r="AB3" s="51" t="s">
        <v>157</v>
      </c>
      <c r="AC3" s="51" t="s">
        <v>158</v>
      </c>
      <c r="AD3" s="52" t="s">
        <v>159</v>
      </c>
      <c r="AE3" s="51" t="s">
        <v>160</v>
      </c>
      <c r="AF3" s="51" t="s">
        <v>161</v>
      </c>
      <c r="AG3" s="51" t="s">
        <v>162</v>
      </c>
    </row>
    <row r="4" spans="1:33" x14ac:dyDescent="0.2">
      <c r="R4" s="37">
        <v>80</v>
      </c>
      <c r="S4" s="42">
        <v>7.64</v>
      </c>
      <c r="T4" s="39">
        <v>6</v>
      </c>
      <c r="U4" s="39">
        <v>80</v>
      </c>
      <c r="V4" s="40">
        <v>46</v>
      </c>
      <c r="W4" s="38">
        <v>3.8</v>
      </c>
      <c r="X4" s="39">
        <v>5</v>
      </c>
      <c r="Y4" s="38">
        <v>5.2</v>
      </c>
      <c r="Z4" s="38">
        <v>10.199999999999999</v>
      </c>
      <c r="AA4" s="39">
        <v>59</v>
      </c>
      <c r="AB4" s="38">
        <v>80.099999999999994</v>
      </c>
      <c r="AC4" s="39">
        <v>20</v>
      </c>
      <c r="AD4" s="53">
        <v>3.24</v>
      </c>
      <c r="AE4" s="42">
        <v>8.49</v>
      </c>
      <c r="AF4" s="42">
        <v>3.69</v>
      </c>
      <c r="AG4" s="42">
        <v>1.05</v>
      </c>
    </row>
    <row r="5" spans="1:33" ht="19.5" thickBot="1" x14ac:dyDescent="0.25">
      <c r="R5" s="25">
        <v>100</v>
      </c>
      <c r="S5" s="26">
        <v>10.3</v>
      </c>
      <c r="T5" s="26">
        <v>8.1</v>
      </c>
      <c r="U5" s="27">
        <v>100</v>
      </c>
      <c r="V5" s="28">
        <v>55</v>
      </c>
      <c r="W5" s="26">
        <v>4.0999999999999996</v>
      </c>
      <c r="X5" s="27">
        <v>7</v>
      </c>
      <c r="Y5" s="26">
        <v>5.7</v>
      </c>
      <c r="Z5" s="26">
        <v>12.7</v>
      </c>
      <c r="AA5" s="27">
        <v>74</v>
      </c>
      <c r="AB5" s="27">
        <v>171</v>
      </c>
      <c r="AC5" s="26">
        <v>34.200000000000003</v>
      </c>
      <c r="AD5" s="54">
        <v>4.07</v>
      </c>
      <c r="AE5" s="26">
        <v>15.9</v>
      </c>
      <c r="AF5" s="30">
        <v>5.79</v>
      </c>
      <c r="AG5" s="30">
        <v>1.24</v>
      </c>
    </row>
    <row r="6" spans="1:33" x14ac:dyDescent="0.2">
      <c r="A6" s="99" t="s">
        <v>0</v>
      </c>
      <c r="B6" s="99"/>
      <c r="C6" s="88" t="s">
        <v>1</v>
      </c>
      <c r="D6" s="88" t="s">
        <v>2</v>
      </c>
      <c r="F6" s="67" t="s">
        <v>29</v>
      </c>
      <c r="G6" s="67"/>
      <c r="J6" s="71" t="s">
        <v>37</v>
      </c>
      <c r="K6" s="72"/>
      <c r="L6" s="6"/>
      <c r="M6" s="6"/>
      <c r="N6" s="6"/>
      <c r="O6" s="6"/>
      <c r="P6" s="7"/>
      <c r="R6" s="31">
        <v>120</v>
      </c>
      <c r="S6" s="32">
        <v>13.2</v>
      </c>
      <c r="T6" s="32">
        <v>10.4</v>
      </c>
      <c r="U6" s="33">
        <v>120</v>
      </c>
      <c r="V6" s="34">
        <v>64</v>
      </c>
      <c r="W6" s="32">
        <v>4.4000000000000004</v>
      </c>
      <c r="X6" s="33">
        <v>7</v>
      </c>
      <c r="Y6" s="32">
        <v>6.3</v>
      </c>
      <c r="Z6" s="32">
        <v>13.3</v>
      </c>
      <c r="AA6" s="33">
        <v>93</v>
      </c>
      <c r="AB6" s="33">
        <v>318</v>
      </c>
      <c r="AC6" s="33">
        <v>53</v>
      </c>
      <c r="AD6" s="35">
        <v>4.9000000000000004</v>
      </c>
      <c r="AE6" s="32">
        <v>27.7</v>
      </c>
      <c r="AF6" s="36">
        <v>8.65</v>
      </c>
      <c r="AG6" s="36">
        <v>1.45</v>
      </c>
    </row>
    <row r="7" spans="1:33" ht="20.25" x14ac:dyDescent="0.2">
      <c r="A7" s="99"/>
      <c r="B7" s="99"/>
      <c r="C7" s="88"/>
      <c r="D7" s="88"/>
      <c r="F7" s="4" t="s">
        <v>164</v>
      </c>
      <c r="G7" s="4">
        <f>(C18+C16*((0.01*C14)/COS(C15)))*10^-5</f>
        <v>4.4982690891815099E-4</v>
      </c>
      <c r="H7" s="4" t="s">
        <v>36</v>
      </c>
      <c r="J7" s="100" t="s">
        <v>38</v>
      </c>
      <c r="K7" s="76"/>
      <c r="L7" s="8"/>
      <c r="M7" s="8"/>
      <c r="N7" s="76" t="s">
        <v>40</v>
      </c>
      <c r="O7" s="76"/>
      <c r="P7" s="9"/>
      <c r="R7" s="37">
        <v>140</v>
      </c>
      <c r="S7" s="38">
        <v>16.399999999999999</v>
      </c>
      <c r="T7" s="38">
        <v>12.9</v>
      </c>
      <c r="U7" s="39">
        <v>140</v>
      </c>
      <c r="V7" s="40">
        <v>73</v>
      </c>
      <c r="W7" s="38">
        <v>4.7</v>
      </c>
      <c r="X7" s="39">
        <v>7</v>
      </c>
      <c r="Y7" s="38">
        <v>6.9</v>
      </c>
      <c r="Z7" s="38">
        <v>13.9</v>
      </c>
      <c r="AA7" s="39">
        <v>112</v>
      </c>
      <c r="AB7" s="39">
        <v>541</v>
      </c>
      <c r="AC7" s="38">
        <v>77.3</v>
      </c>
      <c r="AD7" s="53">
        <v>5.74</v>
      </c>
      <c r="AE7" s="38">
        <v>44.9</v>
      </c>
      <c r="AF7" s="38">
        <v>12.3</v>
      </c>
      <c r="AG7" s="42">
        <v>1.65</v>
      </c>
    </row>
    <row r="8" spans="1:33" ht="22.5" x14ac:dyDescent="0.3">
      <c r="A8" s="77" t="s">
        <v>61</v>
      </c>
      <c r="B8" s="78"/>
      <c r="C8" s="79" t="s">
        <v>60</v>
      </c>
      <c r="D8" s="80"/>
      <c r="F8" s="4" t="s">
        <v>165</v>
      </c>
      <c r="G8" s="4">
        <f>G7*COS(RADIANS(C15))</f>
        <v>4.4759496686566197E-4</v>
      </c>
      <c r="H8" s="4" t="s">
        <v>36</v>
      </c>
      <c r="J8" s="10" t="s">
        <v>39</v>
      </c>
      <c r="K8" s="4">
        <f>(10^(-7))*IF(C8=G1,200-(250*TAN(RADIANS(C15))),60-(66.67*TAN(RADIANS(C15))))</f>
        <v>5.3333697082418045E-6</v>
      </c>
      <c r="L8" s="4" t="s">
        <v>166</v>
      </c>
      <c r="M8" s="8"/>
      <c r="N8" s="4" t="s">
        <v>167</v>
      </c>
      <c r="O8" s="4">
        <f>0.1*(C13/4)*COS(RADIANS(C15))</f>
        <v>24.875955505982461</v>
      </c>
      <c r="P8" s="11" t="s">
        <v>20</v>
      </c>
      <c r="R8" s="25">
        <v>160</v>
      </c>
      <c r="S8" s="26">
        <v>20.100000000000001</v>
      </c>
      <c r="T8" s="26">
        <v>15.8</v>
      </c>
      <c r="U8" s="27">
        <v>160</v>
      </c>
      <c r="V8" s="28">
        <v>82</v>
      </c>
      <c r="W8" s="27">
        <v>5</v>
      </c>
      <c r="X8" s="27">
        <v>9</v>
      </c>
      <c r="Y8" s="26">
        <v>7.4</v>
      </c>
      <c r="Z8" s="26">
        <v>16.399999999999999</v>
      </c>
      <c r="AA8" s="27">
        <v>127</v>
      </c>
      <c r="AB8" s="27">
        <v>869</v>
      </c>
      <c r="AC8" s="27">
        <v>109</v>
      </c>
      <c r="AD8" s="54">
        <v>6.58</v>
      </c>
      <c r="AE8" s="26">
        <v>68.3</v>
      </c>
      <c r="AF8" s="26">
        <v>16.7</v>
      </c>
      <c r="AG8" s="30">
        <v>1.84</v>
      </c>
    </row>
    <row r="9" spans="1:33" ht="20.25" x14ac:dyDescent="0.2">
      <c r="A9" s="76" t="s">
        <v>4</v>
      </c>
      <c r="B9" s="76"/>
      <c r="C9" s="90">
        <v>37</v>
      </c>
      <c r="D9" s="91"/>
      <c r="F9" s="4" t="s">
        <v>168</v>
      </c>
      <c r="G9" s="4">
        <f>G7*SIN(RADIANS(C15))</f>
        <v>4.4754816761835295E-5</v>
      </c>
      <c r="H9" s="4" t="s">
        <v>36</v>
      </c>
      <c r="J9" s="10" t="s">
        <v>169</v>
      </c>
      <c r="K9" s="4">
        <f>K8*C14</f>
        <v>1.0666739416483608E-3</v>
      </c>
      <c r="L9" s="4" t="s">
        <v>36</v>
      </c>
      <c r="M9" s="8"/>
      <c r="N9" s="4" t="s">
        <v>170</v>
      </c>
      <c r="O9" s="4">
        <f>IF(C12=C1,0.1*(C13/4)*SIN(RADIANS(C15)),IF(C12=C2,0.1*(C13/8)*SIN(RADIANS(C15)),IF(C12=C3,0.1*(C13/12)*SIN(RADIANS(C15)))))</f>
        <v>1.2436677273674042</v>
      </c>
      <c r="P9" s="11" t="s">
        <v>20</v>
      </c>
      <c r="R9" s="25">
        <v>180</v>
      </c>
      <c r="S9" s="26">
        <v>23.9</v>
      </c>
      <c r="T9" s="26">
        <v>18.8</v>
      </c>
      <c r="U9" s="27">
        <v>180</v>
      </c>
      <c r="V9" s="28">
        <v>91</v>
      </c>
      <c r="W9" s="26">
        <v>5.3</v>
      </c>
      <c r="X9" s="27">
        <v>9</v>
      </c>
      <c r="Y9" s="27">
        <v>8</v>
      </c>
      <c r="Z9" s="27">
        <v>17</v>
      </c>
      <c r="AA9" s="27">
        <v>146</v>
      </c>
      <c r="AB9" s="27">
        <v>1320</v>
      </c>
      <c r="AC9" s="27">
        <v>146</v>
      </c>
      <c r="AD9" s="54">
        <v>7.42</v>
      </c>
      <c r="AE9" s="27">
        <v>101</v>
      </c>
      <c r="AF9" s="26">
        <v>22.2</v>
      </c>
      <c r="AG9" s="30">
        <v>2.0499999999999998</v>
      </c>
    </row>
    <row r="10" spans="1:33" ht="22.5" x14ac:dyDescent="0.2">
      <c r="A10" s="76" t="s">
        <v>171</v>
      </c>
      <c r="B10" s="76"/>
      <c r="C10" s="4">
        <f>IF(C9=B1,2.4,IF(C9=B2,2.8,3.6))</f>
        <v>2.4</v>
      </c>
      <c r="D10" s="4" t="s">
        <v>166</v>
      </c>
      <c r="F10" s="4" t="s">
        <v>172</v>
      </c>
      <c r="G10" s="4">
        <f>G8*((C13)^2/8)</f>
        <v>55.949370858207743</v>
      </c>
      <c r="H10" s="4" t="s">
        <v>20</v>
      </c>
      <c r="J10" s="10" t="s">
        <v>173</v>
      </c>
      <c r="K10" s="4">
        <f>K9*COS(RADIANS(C15))</f>
        <v>1.0613813404734222E-3</v>
      </c>
      <c r="L10" s="4" t="s">
        <v>36</v>
      </c>
      <c r="M10" s="8"/>
      <c r="N10" s="4" t="s">
        <v>174</v>
      </c>
      <c r="O10" s="4">
        <f>(0.1/2)*COS(RADIANS(C15))</f>
        <v>4.9751911011964925E-2</v>
      </c>
      <c r="P10" s="11" t="s">
        <v>21</v>
      </c>
      <c r="R10" s="31">
        <v>200</v>
      </c>
      <c r="S10" s="32">
        <v>28.5</v>
      </c>
      <c r="T10" s="32">
        <v>22.4</v>
      </c>
      <c r="U10" s="33">
        <v>200</v>
      </c>
      <c r="V10" s="34">
        <v>100</v>
      </c>
      <c r="W10" s="32">
        <v>5.6</v>
      </c>
      <c r="X10" s="33">
        <v>12</v>
      </c>
      <c r="Y10" s="32">
        <v>8.5</v>
      </c>
      <c r="Z10" s="32">
        <v>20.5</v>
      </c>
      <c r="AA10" s="33">
        <v>159</v>
      </c>
      <c r="AB10" s="33">
        <v>1940</v>
      </c>
      <c r="AC10" s="33">
        <v>194</v>
      </c>
      <c r="AD10" s="55">
        <v>8.26</v>
      </c>
      <c r="AE10" s="33">
        <v>142</v>
      </c>
      <c r="AF10" s="32">
        <v>28.5</v>
      </c>
      <c r="AG10" s="36">
        <v>2.2400000000000002</v>
      </c>
    </row>
    <row r="11" spans="1:33" ht="22.5" x14ac:dyDescent="0.2">
      <c r="A11" s="76" t="s">
        <v>175</v>
      </c>
      <c r="B11" s="76"/>
      <c r="C11" s="4">
        <f>IF(C9=B1,3.7,IF(C9=B2,4.4,5.2))</f>
        <v>3.7</v>
      </c>
      <c r="D11" s="4" t="s">
        <v>166</v>
      </c>
      <c r="F11" s="4" t="s">
        <v>176</v>
      </c>
      <c r="G11" s="4">
        <f>IF(C12=C1,G9*((C13)^2/8),IF(C12=C2,G9*((C13/2)^2/8),IF(C12=C3,G9*((C13/3)^2/8))))</f>
        <v>1.3985880238073529</v>
      </c>
      <c r="H11" s="4" t="s">
        <v>20</v>
      </c>
      <c r="J11" s="10" t="s">
        <v>177</v>
      </c>
      <c r="K11" s="4">
        <f>K9*SIN(RADIANS(C15))</f>
        <v>1.0612703654814785E-4</v>
      </c>
      <c r="L11" s="4" t="s">
        <v>36</v>
      </c>
      <c r="M11" s="8"/>
      <c r="N11" s="8"/>
      <c r="O11" s="8"/>
      <c r="P11" s="9"/>
      <c r="R11" s="37">
        <v>220</v>
      </c>
      <c r="S11" s="38">
        <v>33.4</v>
      </c>
      <c r="T11" s="38">
        <v>26.2</v>
      </c>
      <c r="U11" s="39">
        <v>220</v>
      </c>
      <c r="V11" s="40">
        <v>110</v>
      </c>
      <c r="W11" s="38">
        <v>5.9</v>
      </c>
      <c r="X11" s="39">
        <v>12</v>
      </c>
      <c r="Y11" s="38">
        <v>9.1999999999999993</v>
      </c>
      <c r="Z11" s="38">
        <v>21.2</v>
      </c>
      <c r="AA11" s="39">
        <v>177</v>
      </c>
      <c r="AB11" s="39">
        <v>2770</v>
      </c>
      <c r="AC11" s="39">
        <v>252</v>
      </c>
      <c r="AD11" s="53">
        <v>9.11</v>
      </c>
      <c r="AE11" s="39">
        <v>205</v>
      </c>
      <c r="AF11" s="38">
        <v>37.299999999999997</v>
      </c>
      <c r="AG11" s="42">
        <v>2.48</v>
      </c>
    </row>
    <row r="12" spans="1:33" ht="20.25" x14ac:dyDescent="0.2">
      <c r="A12" s="76" t="s">
        <v>17</v>
      </c>
      <c r="B12" s="76"/>
      <c r="C12" s="90">
        <v>1</v>
      </c>
      <c r="D12" s="91"/>
      <c r="F12" s="4" t="s">
        <v>178</v>
      </c>
      <c r="G12" s="4">
        <f>G8*(C13/2)</f>
        <v>0.22379748343283098</v>
      </c>
      <c r="H12" s="4" t="s">
        <v>21</v>
      </c>
      <c r="J12" s="10" t="s">
        <v>167</v>
      </c>
      <c r="K12" s="4">
        <f>K10*(C13^2/8)</f>
        <v>132.67266755917777</v>
      </c>
      <c r="L12" s="4" t="s">
        <v>20</v>
      </c>
      <c r="M12" s="8"/>
      <c r="N12" s="12" t="s">
        <v>41</v>
      </c>
      <c r="O12" s="8"/>
      <c r="P12" s="9"/>
      <c r="R12" s="25">
        <v>240</v>
      </c>
      <c r="S12" s="26">
        <v>39.1</v>
      </c>
      <c r="T12" s="26">
        <v>30.7</v>
      </c>
      <c r="U12" s="27">
        <v>240</v>
      </c>
      <c r="V12" s="28">
        <v>120</v>
      </c>
      <c r="W12" s="26">
        <v>6.2</v>
      </c>
      <c r="X12" s="27">
        <v>15</v>
      </c>
      <c r="Y12" s="26">
        <v>9.8000000000000007</v>
      </c>
      <c r="Z12" s="26">
        <v>24.8</v>
      </c>
      <c r="AA12" s="27">
        <v>190</v>
      </c>
      <c r="AB12" s="27">
        <v>3890</v>
      </c>
      <c r="AC12" s="27">
        <v>324</v>
      </c>
      <c r="AD12" s="54">
        <v>9.9700000000000006</v>
      </c>
      <c r="AE12" s="27">
        <v>284</v>
      </c>
      <c r="AF12" s="26">
        <v>47.3</v>
      </c>
      <c r="AG12" s="30">
        <v>2.69</v>
      </c>
    </row>
    <row r="13" spans="1:33" ht="20.25" x14ac:dyDescent="0.2">
      <c r="A13" s="76" t="s">
        <v>179</v>
      </c>
      <c r="B13" s="76"/>
      <c r="C13" s="13">
        <v>1000</v>
      </c>
      <c r="D13" s="4" t="s">
        <v>7</v>
      </c>
      <c r="J13" s="10" t="s">
        <v>170</v>
      </c>
      <c r="K13" s="4">
        <f>IF(C12=C1,K11*(C13^2/8),IF(C12=C2,K11*((C13/2)^2/8),IF(C12=C3,K11*((C13/3)^2/8))))</f>
        <v>3.3164698921296201</v>
      </c>
      <c r="L13" s="4" t="s">
        <v>20</v>
      </c>
      <c r="M13" s="8"/>
      <c r="N13" s="4" t="s">
        <v>167</v>
      </c>
      <c r="O13" s="4">
        <f>MAX(K12,O8)</f>
        <v>132.67266755917777</v>
      </c>
      <c r="P13" s="11" t="s">
        <v>20</v>
      </c>
      <c r="R13" s="25">
        <v>270</v>
      </c>
      <c r="S13" s="26">
        <v>45.9</v>
      </c>
      <c r="T13" s="26">
        <v>36.1</v>
      </c>
      <c r="U13" s="27">
        <v>270</v>
      </c>
      <c r="V13" s="28">
        <v>135</v>
      </c>
      <c r="W13" s="26">
        <v>6.6</v>
      </c>
      <c r="X13" s="27">
        <v>15</v>
      </c>
      <c r="Y13" s="26">
        <v>10.199999999999999</v>
      </c>
      <c r="Z13" s="26">
        <v>25.2</v>
      </c>
      <c r="AA13" s="27">
        <v>219</v>
      </c>
      <c r="AB13" s="27">
        <v>5790</v>
      </c>
      <c r="AC13" s="27">
        <v>429</v>
      </c>
      <c r="AD13" s="45">
        <v>11.2</v>
      </c>
      <c r="AE13" s="27">
        <v>420</v>
      </c>
      <c r="AF13" s="26">
        <v>62.2</v>
      </c>
      <c r="AG13" s="30">
        <v>3.02</v>
      </c>
    </row>
    <row r="14" spans="1:33" ht="20.25" x14ac:dyDescent="0.2">
      <c r="A14" s="77" t="s">
        <v>33</v>
      </c>
      <c r="B14" s="78"/>
      <c r="C14" s="13">
        <v>200</v>
      </c>
      <c r="D14" s="4" t="s">
        <v>7</v>
      </c>
      <c r="J14" s="10" t="s">
        <v>174</v>
      </c>
      <c r="K14" s="4">
        <f>K10*(C13/2)</f>
        <v>0.53069067023671113</v>
      </c>
      <c r="L14" s="4" t="s">
        <v>21</v>
      </c>
      <c r="M14" s="8"/>
      <c r="N14" s="4" t="s">
        <v>170</v>
      </c>
      <c r="O14" s="4">
        <f>IF(K12&gt;O8,K13,O9)</f>
        <v>3.3164698921296201</v>
      </c>
      <c r="P14" s="11" t="s">
        <v>20</v>
      </c>
      <c r="R14" s="31">
        <v>300</v>
      </c>
      <c r="S14" s="32">
        <v>53.8</v>
      </c>
      <c r="T14" s="32">
        <v>42.2</v>
      </c>
      <c r="U14" s="33">
        <v>300</v>
      </c>
      <c r="V14" s="34">
        <v>150</v>
      </c>
      <c r="W14" s="32">
        <v>7.1</v>
      </c>
      <c r="X14" s="33">
        <v>15</v>
      </c>
      <c r="Y14" s="32">
        <v>10.7</v>
      </c>
      <c r="Z14" s="32">
        <v>25.7</v>
      </c>
      <c r="AA14" s="33">
        <v>248</v>
      </c>
      <c r="AB14" s="33">
        <v>8360</v>
      </c>
      <c r="AC14" s="33">
        <v>557</v>
      </c>
      <c r="AD14" s="35">
        <v>12.5</v>
      </c>
      <c r="AE14" s="33">
        <v>604</v>
      </c>
      <c r="AF14" s="32">
        <v>80.5</v>
      </c>
      <c r="AG14" s="36">
        <v>3.35</v>
      </c>
    </row>
    <row r="15" spans="1:33" ht="21" thickBot="1" x14ac:dyDescent="0.25">
      <c r="A15" s="92" t="s">
        <v>34</v>
      </c>
      <c r="B15" s="93"/>
      <c r="C15" s="13">
        <v>5.71</v>
      </c>
      <c r="D15" s="4" t="s">
        <v>35</v>
      </c>
      <c r="J15" s="14"/>
      <c r="K15" s="15"/>
      <c r="L15" s="15"/>
      <c r="M15" s="15"/>
      <c r="N15" s="16" t="s">
        <v>174</v>
      </c>
      <c r="O15" s="16">
        <f>IF(OR(K12&gt;O8,K13&gt;O9),K14,O10)</f>
        <v>0.53069067023671113</v>
      </c>
      <c r="P15" s="17" t="s">
        <v>21</v>
      </c>
      <c r="R15" s="37">
        <v>330</v>
      </c>
      <c r="S15" s="38">
        <v>62.6</v>
      </c>
      <c r="T15" s="38">
        <v>49.1</v>
      </c>
      <c r="U15" s="39">
        <v>330</v>
      </c>
      <c r="V15" s="40">
        <v>160</v>
      </c>
      <c r="W15" s="38">
        <v>7.5</v>
      </c>
      <c r="X15" s="39">
        <v>18</v>
      </c>
      <c r="Y15" s="38">
        <v>11.5</v>
      </c>
      <c r="Z15" s="38">
        <v>29.5</v>
      </c>
      <c r="AA15" s="39">
        <v>271</v>
      </c>
      <c r="AB15" s="39">
        <v>11770</v>
      </c>
      <c r="AC15" s="39">
        <v>713</v>
      </c>
      <c r="AD15" s="41">
        <v>13.7</v>
      </c>
      <c r="AE15" s="39">
        <v>788</v>
      </c>
      <c r="AF15" s="38">
        <v>98.5</v>
      </c>
      <c r="AG15" s="42">
        <v>3.55</v>
      </c>
    </row>
    <row r="16" spans="1:33" ht="22.5" x14ac:dyDescent="0.2">
      <c r="A16" s="77" t="s">
        <v>32</v>
      </c>
      <c r="B16" s="78"/>
      <c r="C16" s="13">
        <v>6</v>
      </c>
      <c r="D16" s="4" t="s">
        <v>180</v>
      </c>
      <c r="R16" s="25">
        <v>360</v>
      </c>
      <c r="S16" s="26">
        <v>72.7</v>
      </c>
      <c r="T16" s="26">
        <v>57.1</v>
      </c>
      <c r="U16" s="27">
        <v>360</v>
      </c>
      <c r="V16" s="28">
        <v>170</v>
      </c>
      <c r="W16" s="27">
        <v>8</v>
      </c>
      <c r="X16" s="27">
        <v>18</v>
      </c>
      <c r="Y16" s="26">
        <v>12.7</v>
      </c>
      <c r="Z16" s="26">
        <v>30.7</v>
      </c>
      <c r="AA16" s="27">
        <v>298</v>
      </c>
      <c r="AB16" s="27">
        <v>16270</v>
      </c>
      <c r="AC16" s="27">
        <v>904</v>
      </c>
      <c r="AD16" s="29">
        <v>15</v>
      </c>
      <c r="AE16" s="27">
        <v>1040</v>
      </c>
      <c r="AF16" s="27">
        <v>123</v>
      </c>
      <c r="AG16" s="30">
        <v>3.79</v>
      </c>
    </row>
    <row r="17" spans="1:33" ht="19.5" thickBot="1" x14ac:dyDescent="0.35">
      <c r="A17" s="76" t="s">
        <v>8</v>
      </c>
      <c r="B17" s="76"/>
      <c r="C17" s="79">
        <v>240</v>
      </c>
      <c r="D17" s="80"/>
      <c r="F17" s="67" t="s">
        <v>42</v>
      </c>
      <c r="G17" s="67"/>
      <c r="R17" s="31">
        <v>400</v>
      </c>
      <c r="S17" s="32">
        <v>84.5</v>
      </c>
      <c r="T17" s="32">
        <v>66.3</v>
      </c>
      <c r="U17" s="33">
        <v>400</v>
      </c>
      <c r="V17" s="34">
        <v>180</v>
      </c>
      <c r="W17" s="32">
        <v>8.6</v>
      </c>
      <c r="X17" s="33">
        <v>21</v>
      </c>
      <c r="Y17" s="32">
        <v>13.5</v>
      </c>
      <c r="Z17" s="32">
        <v>34.5</v>
      </c>
      <c r="AA17" s="33">
        <v>331</v>
      </c>
      <c r="AB17" s="33">
        <v>23130</v>
      </c>
      <c r="AC17" s="33">
        <v>1160</v>
      </c>
      <c r="AD17" s="35">
        <v>16.5</v>
      </c>
      <c r="AE17" s="33">
        <v>1320</v>
      </c>
      <c r="AF17" s="33">
        <v>146</v>
      </c>
      <c r="AG17" s="36">
        <v>3.95</v>
      </c>
    </row>
    <row r="18" spans="1:33" x14ac:dyDescent="0.2">
      <c r="A18" s="77" t="s">
        <v>30</v>
      </c>
      <c r="B18" s="78"/>
      <c r="C18" s="4">
        <f>VLOOKUP(C17,table2,3,FALSE)</f>
        <v>30.7</v>
      </c>
      <c r="D18" s="4" t="s">
        <v>31</v>
      </c>
      <c r="F18" s="66" t="s">
        <v>43</v>
      </c>
      <c r="G18" s="66"/>
      <c r="H18" s="13">
        <v>-0.6</v>
      </c>
      <c r="I18" s="4" t="s">
        <v>47</v>
      </c>
      <c r="K18" s="81" t="s">
        <v>48</v>
      </c>
      <c r="L18" s="82"/>
      <c r="M18" s="6"/>
      <c r="N18" s="7"/>
      <c r="R18" s="37">
        <v>450</v>
      </c>
      <c r="S18" s="38">
        <v>98.8</v>
      </c>
      <c r="T18" s="38">
        <v>77.599999999999994</v>
      </c>
      <c r="U18" s="39">
        <v>450</v>
      </c>
      <c r="V18" s="40">
        <v>190</v>
      </c>
      <c r="W18" s="38">
        <v>9.4</v>
      </c>
      <c r="X18" s="39">
        <v>21</v>
      </c>
      <c r="Y18" s="38">
        <v>14.6</v>
      </c>
      <c r="Z18" s="38">
        <v>35.6</v>
      </c>
      <c r="AA18" s="39">
        <v>378</v>
      </c>
      <c r="AB18" s="39">
        <v>33740</v>
      </c>
      <c r="AC18" s="39">
        <v>1500</v>
      </c>
      <c r="AD18" s="41">
        <v>18.5</v>
      </c>
      <c r="AE18" s="39">
        <v>1680</v>
      </c>
      <c r="AF18" s="39">
        <v>176</v>
      </c>
      <c r="AG18" s="42">
        <v>4.12</v>
      </c>
    </row>
    <row r="19" spans="1:33" ht="22.5" x14ac:dyDescent="0.2">
      <c r="A19" s="77" t="s">
        <v>16</v>
      </c>
      <c r="B19" s="78"/>
      <c r="C19" s="4">
        <f>VLOOKUP(C17,table2,2,FALSE)</f>
        <v>39.1</v>
      </c>
      <c r="D19" s="4" t="s">
        <v>182</v>
      </c>
      <c r="F19" s="94" t="s">
        <v>44</v>
      </c>
      <c r="G19" s="94"/>
      <c r="H19" s="43">
        <v>-0.8</v>
      </c>
      <c r="I19" s="4" t="s">
        <v>47</v>
      </c>
      <c r="K19" s="83" t="s">
        <v>49</v>
      </c>
      <c r="L19" s="84"/>
      <c r="M19" s="78"/>
      <c r="N19" s="44" t="s">
        <v>51</v>
      </c>
      <c r="R19" s="25">
        <v>500</v>
      </c>
      <c r="S19" s="27">
        <v>116</v>
      </c>
      <c r="T19" s="26">
        <v>90.7</v>
      </c>
      <c r="U19" s="27">
        <v>500</v>
      </c>
      <c r="V19" s="28">
        <v>200</v>
      </c>
      <c r="W19" s="26">
        <v>10.199999999999999</v>
      </c>
      <c r="X19" s="27">
        <v>21</v>
      </c>
      <c r="Y19" s="27">
        <v>16</v>
      </c>
      <c r="Z19" s="27">
        <v>37</v>
      </c>
      <c r="AA19" s="27">
        <v>426</v>
      </c>
      <c r="AB19" s="27">
        <v>48200</v>
      </c>
      <c r="AC19" s="27">
        <v>1930</v>
      </c>
      <c r="AD19" s="45">
        <v>20.399999999999999</v>
      </c>
      <c r="AE19" s="27">
        <v>2140</v>
      </c>
      <c r="AF19" s="27">
        <v>214</v>
      </c>
      <c r="AG19" s="30">
        <v>4.3099999999999996</v>
      </c>
    </row>
    <row r="20" spans="1:33" ht="20.25" x14ac:dyDescent="0.2">
      <c r="A20" s="77" t="s">
        <v>10</v>
      </c>
      <c r="B20" s="78"/>
      <c r="C20" s="4">
        <f>VLOOKUP(C17,table2,4,FALSE)</f>
        <v>240</v>
      </c>
      <c r="D20" s="4" t="s">
        <v>9</v>
      </c>
      <c r="F20" s="66" t="s">
        <v>45</v>
      </c>
      <c r="G20" s="66"/>
      <c r="H20" s="13">
        <v>1.1499999999999999</v>
      </c>
      <c r="I20" s="4" t="s">
        <v>47</v>
      </c>
      <c r="K20" s="10" t="s">
        <v>181</v>
      </c>
      <c r="L20" s="18">
        <f>1.2*G10+1.6*O13+0.8*H25</f>
        <v>279.41551312453373</v>
      </c>
      <c r="M20" s="4" t="s">
        <v>20</v>
      </c>
      <c r="N20" s="9"/>
      <c r="R20" s="25">
        <v>550</v>
      </c>
      <c r="S20" s="27">
        <v>134</v>
      </c>
      <c r="T20" s="27">
        <v>106</v>
      </c>
      <c r="U20" s="27">
        <v>550</v>
      </c>
      <c r="V20" s="28">
        <v>210</v>
      </c>
      <c r="W20" s="26">
        <v>11.1</v>
      </c>
      <c r="X20" s="27">
        <v>24</v>
      </c>
      <c r="Y20" s="26">
        <v>17.2</v>
      </c>
      <c r="Z20" s="26">
        <v>41.2</v>
      </c>
      <c r="AA20" s="27">
        <v>467</v>
      </c>
      <c r="AB20" s="27">
        <v>67120</v>
      </c>
      <c r="AC20" s="27">
        <v>2440</v>
      </c>
      <c r="AD20" s="45">
        <v>22.3</v>
      </c>
      <c r="AE20" s="27">
        <v>2670</v>
      </c>
      <c r="AF20" s="27">
        <v>254</v>
      </c>
      <c r="AG20" s="30">
        <v>4.45</v>
      </c>
    </row>
    <row r="21" spans="1:33" ht="22.5" x14ac:dyDescent="0.2">
      <c r="A21" s="77" t="s">
        <v>11</v>
      </c>
      <c r="B21" s="78"/>
      <c r="C21" s="4">
        <f>VLOOKUP(C17,table2,5,FALSE)</f>
        <v>120</v>
      </c>
      <c r="D21" s="4" t="s">
        <v>9</v>
      </c>
      <c r="F21" s="66" t="s">
        <v>46</v>
      </c>
      <c r="G21" s="66"/>
      <c r="H21" s="13">
        <v>68</v>
      </c>
      <c r="I21" s="4" t="s">
        <v>216</v>
      </c>
      <c r="K21" s="10" t="s">
        <v>183</v>
      </c>
      <c r="L21" s="18">
        <f>1.2*G11+1.6*O14</f>
        <v>6.9846574559762162</v>
      </c>
      <c r="M21" s="4" t="s">
        <v>20</v>
      </c>
      <c r="N21" s="9"/>
      <c r="R21" s="31">
        <v>600</v>
      </c>
      <c r="S21" s="33">
        <v>156</v>
      </c>
      <c r="T21" s="33">
        <v>122</v>
      </c>
      <c r="U21" s="33">
        <v>600</v>
      </c>
      <c r="V21" s="34">
        <v>220</v>
      </c>
      <c r="W21" s="33">
        <v>12</v>
      </c>
      <c r="X21" s="33">
        <v>24</v>
      </c>
      <c r="Y21" s="33">
        <v>19</v>
      </c>
      <c r="Z21" s="33">
        <v>43</v>
      </c>
      <c r="AA21" s="33">
        <v>514</v>
      </c>
      <c r="AB21" s="33">
        <v>92080</v>
      </c>
      <c r="AC21" s="33">
        <v>3070</v>
      </c>
      <c r="AD21" s="35">
        <v>24.3</v>
      </c>
      <c r="AE21" s="33">
        <v>3390</v>
      </c>
      <c r="AF21" s="33">
        <v>308</v>
      </c>
      <c r="AG21" s="36">
        <v>4.66</v>
      </c>
    </row>
    <row r="22" spans="1:33" ht="20.25" x14ac:dyDescent="0.2">
      <c r="A22" s="77" t="s">
        <v>12</v>
      </c>
      <c r="B22" s="78"/>
      <c r="C22" s="4">
        <f>VLOOKUP(C17,table2,6,FALSE)</f>
        <v>6.2</v>
      </c>
      <c r="D22" s="4" t="s">
        <v>9</v>
      </c>
      <c r="F22" s="66" t="s">
        <v>217</v>
      </c>
      <c r="G22" s="66"/>
      <c r="H22" s="4">
        <f>-(MAX(ABS(H19),ABS(H18))*H20*H21)*(10^-7)*(C14/COS(RADIANS(C15)))</f>
        <v>-1.2574391360555945E-3</v>
      </c>
      <c r="I22" s="4" t="s">
        <v>36</v>
      </c>
      <c r="K22" s="10" t="s">
        <v>184</v>
      </c>
      <c r="L22" s="18">
        <f>1.2*G12+1.6*O15+0.8*H27</f>
        <v>1.1176620524981351</v>
      </c>
      <c r="M22" s="4" t="s">
        <v>21</v>
      </c>
      <c r="N22" s="9"/>
    </row>
    <row r="23" spans="1:33" ht="20.25" x14ac:dyDescent="0.2">
      <c r="A23" s="77" t="s">
        <v>18</v>
      </c>
      <c r="B23" s="78"/>
      <c r="C23" s="4">
        <f>VLOOKUP(C17,table2,7,FALSE)</f>
        <v>15</v>
      </c>
      <c r="D23" s="4" t="s">
        <v>9</v>
      </c>
      <c r="F23" s="66" t="s">
        <v>218</v>
      </c>
      <c r="G23" s="66"/>
      <c r="H23" s="13">
        <v>0</v>
      </c>
      <c r="I23" s="4" t="s">
        <v>36</v>
      </c>
      <c r="K23" s="21"/>
      <c r="L23" s="8"/>
      <c r="M23" s="8"/>
      <c r="N23" s="9"/>
    </row>
    <row r="24" spans="1:33" ht="20.25" x14ac:dyDescent="0.2">
      <c r="A24" s="77" t="s">
        <v>19</v>
      </c>
      <c r="B24" s="78"/>
      <c r="C24" s="4">
        <f>VLOOKUP(C17,table2,8,FALSE)</f>
        <v>9.8000000000000007</v>
      </c>
      <c r="D24" s="4" t="s">
        <v>9</v>
      </c>
      <c r="F24" s="66" t="s">
        <v>219</v>
      </c>
      <c r="G24" s="66"/>
      <c r="H24" s="4">
        <f>H22*((C13^2)/8)</f>
        <v>-157.1798920069493</v>
      </c>
      <c r="I24" s="4" t="s">
        <v>20</v>
      </c>
      <c r="K24" s="83" t="s">
        <v>50</v>
      </c>
      <c r="L24" s="84"/>
      <c r="M24" s="78"/>
      <c r="N24" s="44" t="s">
        <v>52</v>
      </c>
    </row>
    <row r="25" spans="1:33" ht="20.25" x14ac:dyDescent="0.2">
      <c r="A25" s="77" t="s">
        <v>14</v>
      </c>
      <c r="B25" s="78"/>
      <c r="C25" s="4">
        <f>VLOOKUP(C17,table2,9,FALSE)</f>
        <v>24.8</v>
      </c>
      <c r="D25" s="4" t="s">
        <v>9</v>
      </c>
      <c r="F25" s="66" t="s">
        <v>220</v>
      </c>
      <c r="G25" s="66"/>
      <c r="H25" s="13">
        <v>0</v>
      </c>
      <c r="I25" s="4" t="s">
        <v>20</v>
      </c>
      <c r="K25" s="10" t="s">
        <v>181</v>
      </c>
      <c r="L25" s="18">
        <f>0.9*G10+1.3*H24</f>
        <v>-153.97942583664712</v>
      </c>
      <c r="M25" s="4" t="s">
        <v>20</v>
      </c>
      <c r="N25" s="9"/>
    </row>
    <row r="26" spans="1:33" ht="21" thickBot="1" x14ac:dyDescent="0.25">
      <c r="A26" s="77" t="s">
        <v>15</v>
      </c>
      <c r="B26" s="78"/>
      <c r="C26" s="4">
        <f>VLOOKUP(C17,table2,10,FALSE)</f>
        <v>190</v>
      </c>
      <c r="D26" s="4" t="s">
        <v>9</v>
      </c>
      <c r="F26" s="66" t="s">
        <v>221</v>
      </c>
      <c r="G26" s="66"/>
      <c r="H26" s="4">
        <f>H22*0.5*C13</f>
        <v>-0.62871956802779727</v>
      </c>
      <c r="I26" s="4" t="s">
        <v>21</v>
      </c>
      <c r="K26" s="46" t="s">
        <v>183</v>
      </c>
      <c r="L26" s="47">
        <f>0.9*G11</f>
        <v>1.2587292214266177</v>
      </c>
      <c r="M26" s="16" t="s">
        <v>20</v>
      </c>
      <c r="N26" s="23"/>
    </row>
    <row r="27" spans="1:33" ht="22.5" x14ac:dyDescent="0.2">
      <c r="A27" s="77" t="s">
        <v>185</v>
      </c>
      <c r="B27" s="78"/>
      <c r="C27" s="4">
        <f>VLOOKUP(C17,table2,11,FALSE)</f>
        <v>3890</v>
      </c>
      <c r="D27" s="4" t="s">
        <v>186</v>
      </c>
      <c r="F27" s="66" t="s">
        <v>222</v>
      </c>
      <c r="G27" s="66"/>
      <c r="H27" s="13">
        <v>0</v>
      </c>
      <c r="I27" s="4" t="s">
        <v>21</v>
      </c>
    </row>
    <row r="28" spans="1:33" ht="22.5" x14ac:dyDescent="0.2">
      <c r="A28" s="77" t="s">
        <v>187</v>
      </c>
      <c r="B28" s="78"/>
      <c r="C28" s="4">
        <f>VLOOKUP(C17,table2,12,FALSE)</f>
        <v>324</v>
      </c>
      <c r="D28" s="4" t="s">
        <v>188</v>
      </c>
    </row>
    <row r="29" spans="1:33" ht="22.5" x14ac:dyDescent="0.2">
      <c r="A29" s="77" t="s">
        <v>223</v>
      </c>
      <c r="B29" s="78"/>
      <c r="C29" s="4">
        <f>1.13*C28</f>
        <v>366.11999999999995</v>
      </c>
      <c r="D29" s="4" t="s">
        <v>188</v>
      </c>
    </row>
    <row r="30" spans="1:33" ht="20.25" x14ac:dyDescent="0.2">
      <c r="A30" s="77" t="s">
        <v>189</v>
      </c>
      <c r="B30" s="78"/>
      <c r="C30" s="4">
        <f>VLOOKUP(C17,table2,13,FALSE)</f>
        <v>9.9700000000000006</v>
      </c>
      <c r="D30" s="4" t="s">
        <v>7</v>
      </c>
      <c r="F30" s="89" t="s">
        <v>22</v>
      </c>
      <c r="G30" s="89"/>
    </row>
    <row r="31" spans="1:33" ht="22.5" x14ac:dyDescent="0.2">
      <c r="A31" s="77" t="s">
        <v>190</v>
      </c>
      <c r="B31" s="78"/>
      <c r="C31" s="4">
        <f>VLOOKUP(C17,table2,14,FALSE)</f>
        <v>284</v>
      </c>
      <c r="D31" s="4" t="s">
        <v>186</v>
      </c>
      <c r="F31" s="89"/>
      <c r="G31" s="89"/>
    </row>
    <row r="32" spans="1:33" ht="22.5" x14ac:dyDescent="0.2">
      <c r="A32" s="77" t="s">
        <v>191</v>
      </c>
      <c r="B32" s="78"/>
      <c r="C32" s="4">
        <f>VLOOKUP(C17,table2,15,FALSE)</f>
        <v>47.3</v>
      </c>
      <c r="D32" s="4" t="s">
        <v>188</v>
      </c>
    </row>
    <row r="33" spans="1:15" ht="22.5" x14ac:dyDescent="0.2">
      <c r="A33" s="77" t="s">
        <v>224</v>
      </c>
      <c r="B33" s="78"/>
      <c r="C33" s="4">
        <f>1.5*C32</f>
        <v>70.949999999999989</v>
      </c>
      <c r="D33" s="4" t="s">
        <v>188</v>
      </c>
      <c r="F33" s="67" t="s">
        <v>23</v>
      </c>
      <c r="G33" s="67"/>
    </row>
    <row r="34" spans="1:15" ht="20.25" x14ac:dyDescent="0.2">
      <c r="A34" s="77" t="s">
        <v>192</v>
      </c>
      <c r="B34" s="78"/>
      <c r="C34" s="4">
        <f>VLOOKUP(C17,table2,16,FALSE)</f>
        <v>2.69</v>
      </c>
      <c r="D34" s="4" t="s">
        <v>7</v>
      </c>
      <c r="F34" s="103" t="s">
        <v>203</v>
      </c>
      <c r="G34" s="103"/>
      <c r="H34" s="4">
        <f>C26/C22</f>
        <v>30.64516129032258</v>
      </c>
      <c r="I34" s="66" t="str">
        <f>IF(H34&lt;=127/SQRT(C10),E1,E2)</f>
        <v>compact</v>
      </c>
      <c r="J34" s="66"/>
      <c r="K34" s="66" t="s">
        <v>27</v>
      </c>
      <c r="L34" s="66" t="s">
        <v>28</v>
      </c>
      <c r="M34" s="66"/>
      <c r="N34" s="85" t="str">
        <f>IF(AND(I34=E1,I35=E1),E1,E2)</f>
        <v>compact</v>
      </c>
      <c r="O34" s="86"/>
    </row>
    <row r="35" spans="1:15" ht="20.25" x14ac:dyDescent="0.2">
      <c r="A35" s="77" t="s">
        <v>225</v>
      </c>
      <c r="B35" s="78"/>
      <c r="C35" s="4">
        <f>80*(C34/SQRT(C10))</f>
        <v>138.9110026839727</v>
      </c>
      <c r="D35" s="4" t="s">
        <v>7</v>
      </c>
      <c r="F35" s="103" t="s">
        <v>204</v>
      </c>
      <c r="G35" s="103"/>
      <c r="H35" s="4">
        <f>(C21-C22-2*C23)/(2*C24)</f>
        <v>4.2755102040816322</v>
      </c>
      <c r="I35" s="66" t="str">
        <f>IF(H35&lt;=16.9/SQRT(C10),E1,E2)</f>
        <v>compact</v>
      </c>
      <c r="J35" s="66"/>
      <c r="K35" s="66"/>
      <c r="L35" s="66"/>
      <c r="M35" s="66"/>
      <c r="N35" s="85"/>
      <c r="O35" s="86"/>
    </row>
    <row r="36" spans="1:15" ht="20.25" x14ac:dyDescent="0.2">
      <c r="A36" s="77" t="s">
        <v>226</v>
      </c>
      <c r="B36" s="78"/>
      <c r="C36" s="4">
        <f>0.1*SQRT((C24*(C21^3/12))/(C21*C24+(1/6)*(C20-2*C24)*C22))</f>
        <v>3.1706617606152765</v>
      </c>
      <c r="D36" s="4" t="s">
        <v>7</v>
      </c>
    </row>
    <row r="37" spans="1:15" ht="19.5" thickBot="1" x14ac:dyDescent="0.25">
      <c r="A37" s="77" t="s">
        <v>55</v>
      </c>
      <c r="B37" s="78"/>
      <c r="C37" s="4">
        <f>((0.104*C36*(C20/10))/(0.1*C21*0.1*C24))^2</f>
        <v>0.45287083023101049</v>
      </c>
      <c r="D37" s="4" t="s">
        <v>47</v>
      </c>
    </row>
    <row r="38" spans="1:15" ht="20.25" x14ac:dyDescent="0.2">
      <c r="A38" s="77" t="s">
        <v>227</v>
      </c>
      <c r="B38" s="78"/>
      <c r="C38" s="4">
        <f>((1380*0.1*C21*0.1*C24)/(0.1*C20*0.75*C10))*SQRT(0.5*(1+SQRT(1+(2*C37*0.75*C10)^2)))</f>
        <v>453.34327546812619</v>
      </c>
      <c r="D38" s="4" t="s">
        <v>7</v>
      </c>
      <c r="F38" s="71" t="s">
        <v>53</v>
      </c>
      <c r="G38" s="72"/>
      <c r="H38" s="6"/>
      <c r="I38" s="6"/>
      <c r="J38" s="6"/>
      <c r="K38" s="6"/>
      <c r="L38" s="6"/>
      <c r="M38" s="6"/>
      <c r="N38" s="7"/>
    </row>
    <row r="39" spans="1:15" x14ac:dyDescent="0.2">
      <c r="F39" s="73" t="s">
        <v>54</v>
      </c>
      <c r="G39" s="74"/>
      <c r="H39" s="8"/>
      <c r="I39" s="8"/>
      <c r="J39" s="8"/>
      <c r="K39" s="8"/>
      <c r="L39" s="8"/>
      <c r="M39" s="8"/>
      <c r="N39" s="9"/>
    </row>
    <row r="40" spans="1:15" ht="20.25" x14ac:dyDescent="0.2">
      <c r="F40" s="10" t="s">
        <v>205</v>
      </c>
      <c r="G40" s="4">
        <f>C29*C10</f>
        <v>878.68799999999987</v>
      </c>
      <c r="H40" s="4" t="s">
        <v>20</v>
      </c>
      <c r="I40" s="66" t="s">
        <v>27</v>
      </c>
      <c r="J40" s="24" t="s">
        <v>206</v>
      </c>
      <c r="K40" s="4">
        <f>L20/(0.85*G40)</f>
        <v>0.37410791212317318</v>
      </c>
      <c r="L40" s="4" t="str">
        <f>IF(K40&lt;=1,"Safe","Unsafe")</f>
        <v>Safe</v>
      </c>
      <c r="M40" s="8"/>
      <c r="N40" s="9"/>
    </row>
    <row r="41" spans="1:15" ht="20.25" x14ac:dyDescent="0.2">
      <c r="F41" s="10" t="s">
        <v>207</v>
      </c>
      <c r="G41" s="4">
        <f>C33*C10</f>
        <v>170.27999999999997</v>
      </c>
      <c r="H41" s="4" t="s">
        <v>20</v>
      </c>
      <c r="I41" s="66"/>
      <c r="J41" s="24" t="s">
        <v>208</v>
      </c>
      <c r="K41" s="4">
        <f>L21/(0.85*G41)</f>
        <v>4.8257247274221128E-2</v>
      </c>
      <c r="L41" s="4" t="str">
        <f>IF(K41&lt;=1,"Safe","Unsafe")</f>
        <v>Safe</v>
      </c>
      <c r="M41" s="8"/>
      <c r="N41" s="9"/>
    </row>
    <row r="42" spans="1:15" x14ac:dyDescent="0.2">
      <c r="F42" s="21"/>
      <c r="G42" s="8"/>
      <c r="H42" s="8"/>
      <c r="I42" s="8"/>
      <c r="J42" s="8"/>
      <c r="K42" s="8"/>
      <c r="L42" s="8"/>
      <c r="M42" s="8"/>
      <c r="N42" s="9"/>
    </row>
    <row r="43" spans="1:15" x14ac:dyDescent="0.2">
      <c r="F43" s="73" t="s">
        <v>52</v>
      </c>
      <c r="G43" s="74"/>
      <c r="H43" s="8"/>
      <c r="I43" s="8"/>
      <c r="J43" s="8"/>
      <c r="K43" s="8"/>
      <c r="L43" s="8"/>
      <c r="M43" s="8"/>
      <c r="N43" s="9"/>
    </row>
    <row r="44" spans="1:15" ht="20.25" x14ac:dyDescent="0.2">
      <c r="F44" s="68" t="s">
        <v>209</v>
      </c>
      <c r="G44" s="66"/>
      <c r="H44" s="4" t="s">
        <v>205</v>
      </c>
      <c r="I44" s="4">
        <f>C29*C10</f>
        <v>878.68799999999987</v>
      </c>
      <c r="J44" s="4" t="s">
        <v>20</v>
      </c>
      <c r="K44" s="101" t="s">
        <v>27</v>
      </c>
      <c r="L44" s="4" t="s">
        <v>206</v>
      </c>
      <c r="M44" s="4">
        <f>IF(C13&lt;=C35,ABS(L25)/(0.85*I44),IF(AND(C13&gt;C35,C13&lt;=C38),ABS(L25)/(0.85*I45),IF(C13&gt;C38,ABS(L25)/(0.85*I46))))</f>
        <v>0.79026782896644043</v>
      </c>
      <c r="N44" s="11" t="str">
        <f>IF(M44&lt;=1,"Safe","Unsafe")</f>
        <v>Safe</v>
      </c>
    </row>
    <row r="45" spans="1:15" ht="20.25" x14ac:dyDescent="0.2">
      <c r="F45" s="68" t="s">
        <v>210</v>
      </c>
      <c r="G45" s="66"/>
      <c r="H45" s="4" t="s">
        <v>205</v>
      </c>
      <c r="I45" s="4">
        <f>(C29*C10)-((C29*C10-C28*0.75*C10)*((C13-C35)/(C38-C35)))</f>
        <v>69.478870841737034</v>
      </c>
      <c r="J45" s="4" t="s">
        <v>20</v>
      </c>
      <c r="K45" s="101"/>
      <c r="L45" s="4" t="s">
        <v>208</v>
      </c>
      <c r="M45" s="4">
        <f>IF(C13&lt;=C35,L26/(0.85*C33*C10),IF(AND(C13&gt;C35,C13&lt;=C38),L26/(0.85*C10*C32),IF(C13&gt;C38,L26/(0.85*C10*C32))))</f>
        <v>1.3044907571888009E-2</v>
      </c>
      <c r="N45" s="11" t="str">
        <f>IF(M45&lt;=1,"Safe","Unsafe")</f>
        <v>Safe</v>
      </c>
    </row>
    <row r="46" spans="1:15" ht="21" thickBot="1" x14ac:dyDescent="0.25">
      <c r="F46" s="69" t="s">
        <v>211</v>
      </c>
      <c r="G46" s="70"/>
      <c r="H46" s="16" t="s">
        <v>205</v>
      </c>
      <c r="I46" s="16">
        <f>C28*SQRT(((1380*0.1*C21*0.1*C24)/(0.1*C20*C13))^2+(20700/(C13/C36)^2)^2)</f>
        <v>229.22895131274021</v>
      </c>
      <c r="J46" s="16" t="s">
        <v>20</v>
      </c>
      <c r="K46" s="102"/>
      <c r="L46" s="15"/>
      <c r="M46" s="15"/>
      <c r="N46" s="23"/>
    </row>
    <row r="49" spans="6:14" x14ac:dyDescent="0.2">
      <c r="F49" s="67" t="s">
        <v>56</v>
      </c>
      <c r="G49" s="67"/>
      <c r="K49" s="67" t="s">
        <v>57</v>
      </c>
      <c r="L49" s="67"/>
    </row>
    <row r="50" spans="6:14" ht="20.25" x14ac:dyDescent="0.2">
      <c r="F50" s="66" t="s">
        <v>212</v>
      </c>
      <c r="G50" s="66"/>
      <c r="H50" s="4">
        <f>L22/(0.8*0.6*C10*0.1*C20*0.1*C22)</f>
        <v>6.5201125934451015E-2</v>
      </c>
      <c r="I50" s="4" t="str">
        <f>IF(H50&lt;=1,"Safe","Unsafe")</f>
        <v>Safe</v>
      </c>
      <c r="K50" s="4" t="s">
        <v>58</v>
      </c>
      <c r="L50" s="4">
        <f>(5*K10*C13^4)/(384*2100*C27)</f>
        <v>1.6917700498732222</v>
      </c>
      <c r="M50" s="4" t="s">
        <v>7</v>
      </c>
      <c r="N50" s="4" t="str">
        <f>IF(L50&lt;=C13/200,"Safe","Unsafe")</f>
        <v>Safe</v>
      </c>
    </row>
    <row r="51" spans="6:14" ht="19.5" thickBot="1" x14ac:dyDescent="0.25"/>
    <row r="52" spans="6:14" x14ac:dyDescent="0.2">
      <c r="F52" s="71" t="s">
        <v>62</v>
      </c>
      <c r="G52" s="72"/>
      <c r="H52" s="6"/>
      <c r="I52" s="6"/>
      <c r="J52" s="6"/>
      <c r="K52" s="6"/>
      <c r="L52" s="6"/>
      <c r="M52" s="6"/>
      <c r="N52" s="7"/>
    </row>
    <row r="53" spans="6:14" x14ac:dyDescent="0.2">
      <c r="F53" s="100" t="s">
        <v>134</v>
      </c>
      <c r="G53" s="76"/>
      <c r="H53" s="8"/>
      <c r="I53" s="8"/>
      <c r="J53" s="8"/>
      <c r="K53" s="76" t="s">
        <v>135</v>
      </c>
      <c r="L53" s="76"/>
      <c r="M53" s="8"/>
      <c r="N53" s="9"/>
    </row>
    <row r="54" spans="6:14" x14ac:dyDescent="0.2">
      <c r="F54" s="68" t="s">
        <v>133</v>
      </c>
      <c r="G54" s="66"/>
      <c r="H54" s="13">
        <v>5</v>
      </c>
      <c r="I54" s="8"/>
      <c r="J54" s="8"/>
      <c r="K54" s="66" t="s">
        <v>133</v>
      </c>
      <c r="L54" s="66"/>
      <c r="M54" s="13">
        <v>5</v>
      </c>
      <c r="N54" s="9"/>
    </row>
    <row r="55" spans="6:14" x14ac:dyDescent="0.2">
      <c r="F55" s="10" t="s">
        <v>136</v>
      </c>
      <c r="G55" s="4">
        <f>DEGREES(ATAN(RADIANS(DEGREES(C14/(0.5*C13)))))</f>
        <v>21.801409486351815</v>
      </c>
      <c r="H55" s="4" t="s">
        <v>35</v>
      </c>
      <c r="I55" s="8"/>
      <c r="J55" s="8"/>
      <c r="K55" s="4" t="s">
        <v>136</v>
      </c>
      <c r="L55" s="4">
        <f>DEGREES(ATAN(RADIANS(DEGREES(C14/(C13/3)))))</f>
        <v>30.963756532073528</v>
      </c>
      <c r="M55" s="4" t="s">
        <v>35</v>
      </c>
      <c r="N55" s="9"/>
    </row>
    <row r="56" spans="6:14" x14ac:dyDescent="0.2">
      <c r="F56" s="10" t="s">
        <v>63</v>
      </c>
      <c r="G56" s="4">
        <f>((1.2*G7+1.6*K9)*SIN(RADIANS(C15))*0.5*C13*(H54-0.5))/(2*SIN(RADIANS(G55)))</f>
        <v>0.67704356739262905</v>
      </c>
      <c r="H56" s="4" t="s">
        <v>21</v>
      </c>
      <c r="I56" s="8"/>
      <c r="J56" s="8"/>
      <c r="K56" s="4" t="s">
        <v>63</v>
      </c>
      <c r="L56" s="4">
        <f>((1.2*G7+1.6*K9)*SIN(RADIANS(C15))*(1/3)*C13*(H54-0.5))/(SIN(RADIANS(G55)))</f>
        <v>0.90272475652350548</v>
      </c>
      <c r="M56" s="4" t="s">
        <v>21</v>
      </c>
      <c r="N56" s="9"/>
    </row>
    <row r="57" spans="6:14" ht="20.25" x14ac:dyDescent="0.2">
      <c r="F57" s="10" t="s">
        <v>213</v>
      </c>
      <c r="G57" s="4">
        <f>0.85*0.78*(((22/7)/4)*(1)^2)*C10</f>
        <v>1.2502285714285712</v>
      </c>
      <c r="H57" s="4" t="s">
        <v>21</v>
      </c>
      <c r="I57" s="4" t="str">
        <f>IF(G56&lt;=G57,"Safe","Unsafe")</f>
        <v>Safe</v>
      </c>
      <c r="J57" s="8"/>
      <c r="K57" s="4" t="s">
        <v>213</v>
      </c>
      <c r="L57" s="4">
        <f>0.85*0.78*(((22/7)/4)*(1)^2)*C10</f>
        <v>1.2502285714285712</v>
      </c>
      <c r="M57" s="4" t="s">
        <v>21</v>
      </c>
      <c r="N57" s="11" t="str">
        <f>IF(L56&lt;=L57,"Safe","Unsafe")</f>
        <v>Safe</v>
      </c>
    </row>
    <row r="58" spans="6:14" ht="21" thickBot="1" x14ac:dyDescent="0.25">
      <c r="F58" s="46" t="s">
        <v>214</v>
      </c>
      <c r="G58" s="16">
        <f>0.7*0.78*(((22/7)/4)*(1)^2)*C11</f>
        <v>1.5872999999999999</v>
      </c>
      <c r="H58" s="16" t="s">
        <v>21</v>
      </c>
      <c r="I58" s="16" t="str">
        <f>IF(G56&lt;=G58,"Safe","Unsafe")</f>
        <v>Safe</v>
      </c>
      <c r="J58" s="15"/>
      <c r="K58" s="16" t="s">
        <v>214</v>
      </c>
      <c r="L58" s="16">
        <f>0.7*0.78*(((22/7)/4)*(1)^2)*C11</f>
        <v>1.5872999999999999</v>
      </c>
      <c r="M58" s="16" t="s">
        <v>21</v>
      </c>
      <c r="N58" s="17" t="str">
        <f>IF(L56&lt;=L58,"Safe","Unsafe")</f>
        <v>Safe</v>
      </c>
    </row>
  </sheetData>
  <mergeCells count="85">
    <mergeCell ref="N34:O35"/>
    <mergeCell ref="I34:J34"/>
    <mergeCell ref="K34:K35"/>
    <mergeCell ref="L34:M35"/>
    <mergeCell ref="I35:J35"/>
    <mergeCell ref="A30:B30"/>
    <mergeCell ref="F38:G38"/>
    <mergeCell ref="F39:G39"/>
    <mergeCell ref="F46:G46"/>
    <mergeCell ref="F49:G49"/>
    <mergeCell ref="A31:B31"/>
    <mergeCell ref="W1:X1"/>
    <mergeCell ref="AB2:AD2"/>
    <mergeCell ref="K18:L18"/>
    <mergeCell ref="K19:M19"/>
    <mergeCell ref="K24:M24"/>
    <mergeCell ref="N7:O7"/>
    <mergeCell ref="AE2:AG2"/>
    <mergeCell ref="A17:B17"/>
    <mergeCell ref="A19:B19"/>
    <mergeCell ref="A6:B7"/>
    <mergeCell ref="C6:C7"/>
    <mergeCell ref="D6:D7"/>
    <mergeCell ref="A9:B9"/>
    <mergeCell ref="A10:B10"/>
    <mergeCell ref="A11:B11"/>
    <mergeCell ref="U2:AA2"/>
    <mergeCell ref="A8:B8"/>
    <mergeCell ref="C8:D8"/>
    <mergeCell ref="A13:B13"/>
    <mergeCell ref="C12:D12"/>
    <mergeCell ref="A14:B14"/>
    <mergeCell ref="A18:B18"/>
    <mergeCell ref="A12:B12"/>
    <mergeCell ref="A21:B21"/>
    <mergeCell ref="A22:B22"/>
    <mergeCell ref="A23:B23"/>
    <mergeCell ref="A29:B29"/>
    <mergeCell ref="A24:B24"/>
    <mergeCell ref="A25:B25"/>
    <mergeCell ref="A26:B26"/>
    <mergeCell ref="A20:B20"/>
    <mergeCell ref="A27:B27"/>
    <mergeCell ref="A28:B28"/>
    <mergeCell ref="A15:B15"/>
    <mergeCell ref="A16:B16"/>
    <mergeCell ref="C9:D9"/>
    <mergeCell ref="F34:G34"/>
    <mergeCell ref="F35:G35"/>
    <mergeCell ref="F18:G18"/>
    <mergeCell ref="F19:G19"/>
    <mergeCell ref="F20:G20"/>
    <mergeCell ref="F21:G21"/>
    <mergeCell ref="F22:G22"/>
    <mergeCell ref="F24:G24"/>
    <mergeCell ref="F25:G25"/>
    <mergeCell ref="F26:G26"/>
    <mergeCell ref="F27:G27"/>
    <mergeCell ref="F30:G31"/>
    <mergeCell ref="F33:G33"/>
    <mergeCell ref="F23:G23"/>
    <mergeCell ref="C17:D17"/>
    <mergeCell ref="F6:G6"/>
    <mergeCell ref="J6:K6"/>
    <mergeCell ref="J7:K7"/>
    <mergeCell ref="F53:G53"/>
    <mergeCell ref="K53:L53"/>
    <mergeCell ref="I40:I41"/>
    <mergeCell ref="F52:G52"/>
    <mergeCell ref="F50:G50"/>
    <mergeCell ref="F17:G17"/>
    <mergeCell ref="F54:G54"/>
    <mergeCell ref="K54:L54"/>
    <mergeCell ref="A32:B32"/>
    <mergeCell ref="A38:B38"/>
    <mergeCell ref="A37:B37"/>
    <mergeCell ref="A36:B36"/>
    <mergeCell ref="A35:B35"/>
    <mergeCell ref="A34:B34"/>
    <mergeCell ref="A33:B33"/>
    <mergeCell ref="F43:G43"/>
    <mergeCell ref="F44:G44"/>
    <mergeCell ref="K49:L49"/>
    <mergeCell ref="K44:K46"/>
    <mergeCell ref="F45:G45"/>
  </mergeCells>
  <phoneticPr fontId="2" type="noConversion"/>
  <conditionalFormatting sqref="L40:L41 N44:N45 N50 I50 I57:I58 N57:N58">
    <cfRule type="cellIs" dxfId="7" priority="2" operator="equal">
      <formula>"Safe"</formula>
    </cfRule>
  </conditionalFormatting>
  <conditionalFormatting sqref="L40:L41 N44:N45 N50 I50 I57:I58 N57:N58">
    <cfRule type="cellIs" dxfId="6" priority="1" operator="equal">
      <formula>"Unsafe"</formula>
    </cfRule>
  </conditionalFormatting>
  <dataValidations disablePrompts="1" count="4">
    <dataValidation type="list" allowBlank="1" showInputMessage="1" showErrorMessage="1" sqref="C9" xr:uid="{7F11860F-6482-445E-9776-DED7ACC1A491}">
      <formula1>$B$1:$B$3</formula1>
    </dataValidation>
    <dataValidation type="list" allowBlank="1" showInputMessage="1" showErrorMessage="1" sqref="C12:D12" xr:uid="{D3A5BB0C-7B6B-4801-9011-5BD4E9F63732}">
      <formula1>$C$1:$C$3</formula1>
    </dataValidation>
    <dataValidation type="list" allowBlank="1" showInputMessage="1" showErrorMessage="1" sqref="C8" xr:uid="{3B8DBA80-AF65-4042-9DCA-024E95A148E4}">
      <formula1>$G$1:$G$2</formula1>
    </dataValidation>
    <dataValidation type="list" allowBlank="1" showInputMessage="1" showErrorMessage="1" sqref="C17" xr:uid="{CAE012A6-75EF-4FDE-A8C1-359E931C7D19}">
      <formula1>$R$4:$R$21</formula1>
    </dataValidation>
  </dataValidations>
  <pageMargins left="0.7" right="0.7" top="0.75" bottom="0.75" header="0.3" footer="0.3"/>
  <pageSetup paperSize="9" orientation="portrait" r:id="rId1"/>
  <ignoredErrors>
    <ignoredError sqref="L2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CAE9-CAE8-46FE-AB71-93F93CD01589}">
  <sheetPr codeName="Sheet3"/>
  <dimension ref="A1:AE100"/>
  <sheetViews>
    <sheetView workbookViewId="0">
      <selection activeCell="E5" sqref="E5"/>
    </sheetView>
  </sheetViews>
  <sheetFormatPr defaultRowHeight="19.5" x14ac:dyDescent="0.2"/>
  <cols>
    <col min="1" max="1" width="9" style="124"/>
    <col min="2" max="2" width="9.5" style="124" customWidth="1"/>
    <col min="3" max="3" width="10" style="124" customWidth="1"/>
    <col min="4" max="6" width="9" style="124"/>
    <col min="7" max="7" width="12" style="124" customWidth="1"/>
    <col min="8" max="10" width="9" style="124"/>
    <col min="11" max="11" width="11.75" style="124" bestFit="1" customWidth="1"/>
    <col min="12" max="13" width="9" style="124"/>
    <col min="14" max="14" width="9.875" style="124" customWidth="1"/>
    <col min="15" max="15" width="9.125" style="124" bestFit="1" customWidth="1"/>
    <col min="16" max="16" width="10.25" style="124" customWidth="1"/>
    <col min="17" max="17" width="8" style="124" customWidth="1"/>
    <col min="18" max="18" width="12.875" style="124" customWidth="1"/>
    <col min="19" max="16384" width="9" style="124"/>
  </cols>
  <sheetData>
    <row r="1" spans="1:31" x14ac:dyDescent="0.2">
      <c r="B1" s="124">
        <v>37</v>
      </c>
      <c r="C1" s="124">
        <v>0</v>
      </c>
      <c r="E1" s="124" t="s">
        <v>97</v>
      </c>
      <c r="G1" s="176" t="s">
        <v>59</v>
      </c>
      <c r="W1" s="177" t="s">
        <v>64</v>
      </c>
      <c r="X1" s="177"/>
    </row>
    <row r="2" spans="1:31" x14ac:dyDescent="0.2">
      <c r="B2" s="124">
        <v>44</v>
      </c>
      <c r="C2" s="124">
        <v>1</v>
      </c>
      <c r="G2" s="176" t="s">
        <v>60</v>
      </c>
      <c r="R2" s="178" t="s">
        <v>65</v>
      </c>
      <c r="S2" s="179" t="s">
        <v>152</v>
      </c>
      <c r="T2" s="179"/>
      <c r="U2" s="179"/>
      <c r="V2" s="180"/>
      <c r="W2" s="181" t="s">
        <v>16</v>
      </c>
      <c r="X2" s="181" t="s">
        <v>215</v>
      </c>
      <c r="Y2" s="182" t="s">
        <v>153</v>
      </c>
      <c r="Z2" s="183"/>
      <c r="AA2" s="184"/>
      <c r="AB2" s="182" t="s">
        <v>147</v>
      </c>
      <c r="AC2" s="183"/>
      <c r="AD2" s="184"/>
      <c r="AE2" s="185" t="s">
        <v>96</v>
      </c>
    </row>
    <row r="3" spans="1:31" ht="22.5" x14ac:dyDescent="0.2">
      <c r="B3" s="124">
        <v>52</v>
      </c>
      <c r="C3" s="124">
        <v>2</v>
      </c>
      <c r="R3" s="186"/>
      <c r="S3" s="187" t="s">
        <v>10</v>
      </c>
      <c r="T3" s="188" t="s">
        <v>11</v>
      </c>
      <c r="U3" s="188" t="s">
        <v>19</v>
      </c>
      <c r="V3" s="188" t="s">
        <v>18</v>
      </c>
      <c r="W3" s="189" t="s">
        <v>284</v>
      </c>
      <c r="X3" s="189" t="s">
        <v>156</v>
      </c>
      <c r="Y3" s="188" t="s">
        <v>285</v>
      </c>
      <c r="Z3" s="188" t="s">
        <v>286</v>
      </c>
      <c r="AA3" s="188" t="s">
        <v>287</v>
      </c>
      <c r="AB3" s="188" t="s">
        <v>288</v>
      </c>
      <c r="AC3" s="188" t="s">
        <v>289</v>
      </c>
      <c r="AD3" s="188" t="s">
        <v>290</v>
      </c>
      <c r="AE3" s="189" t="s">
        <v>163</v>
      </c>
    </row>
    <row r="4" spans="1:31" x14ac:dyDescent="0.2">
      <c r="R4" s="123" t="s">
        <v>66</v>
      </c>
      <c r="S4" s="137">
        <v>30</v>
      </c>
      <c r="T4" s="138">
        <v>25</v>
      </c>
      <c r="U4" s="138">
        <v>4</v>
      </c>
      <c r="V4" s="138">
        <v>6</v>
      </c>
      <c r="W4" s="139">
        <v>2.54</v>
      </c>
      <c r="X4" s="139">
        <v>1.99</v>
      </c>
      <c r="Y4" s="139">
        <v>2.87</v>
      </c>
      <c r="Z4" s="139">
        <v>1.91</v>
      </c>
      <c r="AA4" s="139">
        <v>1.06</v>
      </c>
      <c r="AB4" s="139">
        <v>1.28</v>
      </c>
      <c r="AC4" s="139">
        <v>0.89</v>
      </c>
      <c r="AD4" s="139">
        <v>0.71</v>
      </c>
      <c r="AE4" s="139">
        <v>1.06</v>
      </c>
    </row>
    <row r="5" spans="1:31" ht="20.25" thickBot="1" x14ac:dyDescent="0.25">
      <c r="R5" s="123" t="s">
        <v>67</v>
      </c>
      <c r="S5" s="125">
        <v>40</v>
      </c>
      <c r="T5" s="126">
        <v>20</v>
      </c>
      <c r="U5" s="126">
        <v>4</v>
      </c>
      <c r="V5" s="126">
        <v>6</v>
      </c>
      <c r="W5" s="127">
        <v>2.54</v>
      </c>
      <c r="X5" s="127">
        <v>1.99</v>
      </c>
      <c r="Y5" s="141">
        <v>4.8</v>
      </c>
      <c r="Z5" s="141">
        <v>2.4</v>
      </c>
      <c r="AA5" s="127">
        <v>1.38</v>
      </c>
      <c r="AB5" s="127">
        <v>0.73</v>
      </c>
      <c r="AC5" s="127">
        <v>0.57999999999999996</v>
      </c>
      <c r="AD5" s="127">
        <v>0.54</v>
      </c>
      <c r="AE5" s="127">
        <v>0.73</v>
      </c>
    </row>
    <row r="6" spans="1:31" x14ac:dyDescent="0.2">
      <c r="A6" s="194" t="s">
        <v>0</v>
      </c>
      <c r="B6" s="194"/>
      <c r="C6" s="194" t="s">
        <v>1</v>
      </c>
      <c r="D6" s="194" t="s">
        <v>2</v>
      </c>
      <c r="F6" s="143" t="s">
        <v>29</v>
      </c>
      <c r="G6" s="143"/>
      <c r="J6" s="151" t="s">
        <v>37</v>
      </c>
      <c r="K6" s="152"/>
      <c r="L6" s="153"/>
      <c r="M6" s="153"/>
      <c r="N6" s="153"/>
      <c r="O6" s="153"/>
      <c r="P6" s="154"/>
      <c r="R6" s="123" t="s">
        <v>68</v>
      </c>
      <c r="S6" s="125">
        <v>40</v>
      </c>
      <c r="T6" s="126">
        <v>24</v>
      </c>
      <c r="U6" s="126">
        <v>4</v>
      </c>
      <c r="V6" s="126">
        <v>6</v>
      </c>
      <c r="W6" s="127">
        <v>2.86</v>
      </c>
      <c r="X6" s="127">
        <v>2.2400000000000002</v>
      </c>
      <c r="Y6" s="127">
        <v>5.84</v>
      </c>
      <c r="Z6" s="127">
        <v>2.92</v>
      </c>
      <c r="AA6" s="127">
        <v>1.43</v>
      </c>
      <c r="AB6" s="127">
        <v>1.35</v>
      </c>
      <c r="AC6" s="141">
        <v>0.9</v>
      </c>
      <c r="AD6" s="127">
        <v>0.69</v>
      </c>
      <c r="AE6" s="141">
        <v>0.9</v>
      </c>
    </row>
    <row r="7" spans="1:31" ht="21" x14ac:dyDescent="0.2">
      <c r="A7" s="194"/>
      <c r="B7" s="194"/>
      <c r="C7" s="194"/>
      <c r="D7" s="194"/>
      <c r="F7" s="123" t="s">
        <v>291</v>
      </c>
      <c r="G7" s="123">
        <f>(C18+C16*((0.01*C14)/COS(RADIANS(C15))))*10^-5</f>
        <v>1.9183189511445492E-4</v>
      </c>
      <c r="H7" s="123" t="s">
        <v>36</v>
      </c>
      <c r="J7" s="159" t="s">
        <v>38</v>
      </c>
      <c r="K7" s="128"/>
      <c r="L7" s="157"/>
      <c r="M7" s="157"/>
      <c r="N7" s="128" t="s">
        <v>40</v>
      </c>
      <c r="O7" s="128"/>
      <c r="P7" s="158"/>
      <c r="R7" s="123" t="s">
        <v>69</v>
      </c>
      <c r="S7" s="125">
        <v>50</v>
      </c>
      <c r="T7" s="126">
        <v>25</v>
      </c>
      <c r="U7" s="126">
        <v>4</v>
      </c>
      <c r="V7" s="126">
        <v>6</v>
      </c>
      <c r="W7" s="127">
        <v>3.34</v>
      </c>
      <c r="X7" s="127">
        <v>2.62</v>
      </c>
      <c r="Y7" s="141">
        <v>10.8</v>
      </c>
      <c r="Z7" s="127">
        <v>4.32</v>
      </c>
      <c r="AA7" s="141">
        <v>1.8</v>
      </c>
      <c r="AB7" s="127">
        <v>1.73</v>
      </c>
      <c r="AC7" s="127">
        <v>1.05</v>
      </c>
      <c r="AD7" s="127">
        <v>0.72</v>
      </c>
      <c r="AE7" s="127">
        <v>0.85</v>
      </c>
    </row>
    <row r="8" spans="1:31" ht="21.75" x14ac:dyDescent="0.2">
      <c r="A8" s="120" t="s">
        <v>61</v>
      </c>
      <c r="B8" s="121"/>
      <c r="C8" s="190" t="s">
        <v>60</v>
      </c>
      <c r="D8" s="191"/>
      <c r="F8" s="123" t="s">
        <v>292</v>
      </c>
      <c r="G8" s="123">
        <f>G7*COS(RADIANS(C15))</f>
        <v>1.8996500029802677E-4</v>
      </c>
      <c r="H8" s="123" t="s">
        <v>36</v>
      </c>
      <c r="J8" s="160" t="s">
        <v>39</v>
      </c>
      <c r="K8" s="123">
        <f>(10^-7)*IF(C8=G1,200-(250*TAN(RADIANS(C15))),60-(66.67*TAN(RADIANS(C15))))</f>
        <v>5.063014255039156E-6</v>
      </c>
      <c r="L8" s="123" t="s">
        <v>293</v>
      </c>
      <c r="M8" s="157"/>
      <c r="N8" s="123" t="s">
        <v>294</v>
      </c>
      <c r="O8" s="123">
        <f>0.1*(C13/4)*COS(RADIANS(C15))</f>
        <v>14.854021031123555</v>
      </c>
      <c r="P8" s="192" t="s">
        <v>20</v>
      </c>
      <c r="R8" s="123" t="s">
        <v>70</v>
      </c>
      <c r="S8" s="132">
        <v>50</v>
      </c>
      <c r="T8" s="133">
        <v>35</v>
      </c>
      <c r="U8" s="133">
        <v>4</v>
      </c>
      <c r="V8" s="133">
        <v>6</v>
      </c>
      <c r="W8" s="134">
        <v>4.1399999999999997</v>
      </c>
      <c r="X8" s="134">
        <v>3.25</v>
      </c>
      <c r="Y8" s="134">
        <v>15.03</v>
      </c>
      <c r="Z8" s="134">
        <v>6.01</v>
      </c>
      <c r="AA8" s="134">
        <v>1.91</v>
      </c>
      <c r="AB8" s="134">
        <v>4.78</v>
      </c>
      <c r="AC8" s="134">
        <v>2.14</v>
      </c>
      <c r="AD8" s="134">
        <v>1.07</v>
      </c>
      <c r="AE8" s="134">
        <v>1.27</v>
      </c>
    </row>
    <row r="9" spans="1:31" ht="21" x14ac:dyDescent="0.2">
      <c r="A9" s="128" t="s">
        <v>4</v>
      </c>
      <c r="B9" s="128"/>
      <c r="C9" s="190">
        <v>37</v>
      </c>
      <c r="D9" s="191"/>
      <c r="F9" s="123" t="s">
        <v>295</v>
      </c>
      <c r="G9" s="123">
        <f>G7*SIN(RADIANS(C15))</f>
        <v>2.6697839706124717E-5</v>
      </c>
      <c r="H9" s="123" t="s">
        <v>36</v>
      </c>
      <c r="J9" s="160" t="s">
        <v>296</v>
      </c>
      <c r="K9" s="123">
        <f>K8*C14</f>
        <v>8.8602749463185225E-4</v>
      </c>
      <c r="L9" s="123" t="s">
        <v>36</v>
      </c>
      <c r="M9" s="157"/>
      <c r="N9" s="123" t="s">
        <v>297</v>
      </c>
      <c r="O9" s="123">
        <f>0.1*(C13/4)*SIN(RADIANS(C15))</f>
        <v>2.0875965144009814</v>
      </c>
      <c r="P9" s="192" t="s">
        <v>20</v>
      </c>
      <c r="R9" s="123" t="s">
        <v>71</v>
      </c>
      <c r="S9" s="137">
        <v>60</v>
      </c>
      <c r="T9" s="138">
        <v>30</v>
      </c>
      <c r="U9" s="138">
        <v>4</v>
      </c>
      <c r="V9" s="138">
        <v>6</v>
      </c>
      <c r="W9" s="139">
        <v>4.1399999999999997</v>
      </c>
      <c r="X9" s="139">
        <v>3.24</v>
      </c>
      <c r="Y9" s="140">
        <v>20.3</v>
      </c>
      <c r="Z9" s="139">
        <v>6.77</v>
      </c>
      <c r="AA9" s="139">
        <v>2.2200000000000002</v>
      </c>
      <c r="AB9" s="139">
        <v>3.29</v>
      </c>
      <c r="AC9" s="139">
        <v>1.62</v>
      </c>
      <c r="AD9" s="139">
        <v>0.89</v>
      </c>
      <c r="AE9" s="139">
        <v>0.97</v>
      </c>
    </row>
    <row r="10" spans="1:31" ht="21.75" x14ac:dyDescent="0.2">
      <c r="A10" s="128" t="s">
        <v>298</v>
      </c>
      <c r="B10" s="128"/>
      <c r="C10" s="123">
        <f>IF(C9=B1,2.4,IF(C9=B2,2.8,3.6))</f>
        <v>2.4</v>
      </c>
      <c r="D10" s="123" t="s">
        <v>293</v>
      </c>
      <c r="F10" s="123" t="s">
        <v>299</v>
      </c>
      <c r="G10" s="123">
        <f>G8*((C13)^2/8)</f>
        <v>8.5484250134112045</v>
      </c>
      <c r="H10" s="123" t="s">
        <v>20</v>
      </c>
      <c r="J10" s="160" t="s">
        <v>300</v>
      </c>
      <c r="K10" s="123">
        <f>K9*COS(RADIANS(C15))</f>
        <v>8.7740473596101644E-4</v>
      </c>
      <c r="L10" s="123" t="s">
        <v>36</v>
      </c>
      <c r="M10" s="157"/>
      <c r="N10" s="123" t="s">
        <v>283</v>
      </c>
      <c r="O10" s="123">
        <f>(0.1/2)*COS(RADIANS(C15))</f>
        <v>4.9513403437078524E-2</v>
      </c>
      <c r="P10" s="192" t="s">
        <v>21</v>
      </c>
      <c r="R10" s="123" t="s">
        <v>72</v>
      </c>
      <c r="S10" s="125">
        <v>65</v>
      </c>
      <c r="T10" s="126">
        <v>38</v>
      </c>
      <c r="U10" s="126">
        <v>4</v>
      </c>
      <c r="V10" s="126">
        <v>6</v>
      </c>
      <c r="W10" s="127">
        <v>4.9800000000000004</v>
      </c>
      <c r="X10" s="141">
        <v>3.9</v>
      </c>
      <c r="Y10" s="127">
        <v>30.71</v>
      </c>
      <c r="Z10" s="127">
        <v>9.4499999999999993</v>
      </c>
      <c r="AA10" s="127">
        <v>2.48</v>
      </c>
      <c r="AB10" s="127">
        <v>6.82</v>
      </c>
      <c r="AC10" s="127">
        <v>2.68</v>
      </c>
      <c r="AD10" s="127">
        <v>1.17</v>
      </c>
      <c r="AE10" s="127">
        <v>1.25</v>
      </c>
    </row>
    <row r="11" spans="1:31" ht="21.75" x14ac:dyDescent="0.2">
      <c r="A11" s="128" t="s">
        <v>301</v>
      </c>
      <c r="B11" s="128"/>
      <c r="C11" s="123">
        <f>IF(C9=B1,3.7,IF(C9=B2,4.4,5.2))</f>
        <v>3.7</v>
      </c>
      <c r="D11" s="123" t="s">
        <v>293</v>
      </c>
      <c r="F11" s="123" t="s">
        <v>302</v>
      </c>
      <c r="G11" s="123">
        <f>IF(C12=C1,G9*((C13)^2/8),IF(C12=C2,G9*((C13/2)^2/8),IF(C12=C3,G9*((C13/3)^2/8))))</f>
        <v>0.30035069669390307</v>
      </c>
      <c r="H11" s="123" t="s">
        <v>20</v>
      </c>
      <c r="J11" s="160" t="s">
        <v>303</v>
      </c>
      <c r="K11" s="123">
        <f>K9*SIN(RADIANS(C15))</f>
        <v>1.2331119396379262E-4</v>
      </c>
      <c r="L11" s="123" t="s">
        <v>36</v>
      </c>
      <c r="M11" s="157"/>
      <c r="N11" s="157"/>
      <c r="O11" s="157"/>
      <c r="P11" s="158"/>
      <c r="R11" s="123" t="s">
        <v>73</v>
      </c>
      <c r="S11" s="125">
        <v>70</v>
      </c>
      <c r="T11" s="126">
        <v>25</v>
      </c>
      <c r="U11" s="126">
        <v>4</v>
      </c>
      <c r="V11" s="126">
        <v>6</v>
      </c>
      <c r="W11" s="127">
        <v>4.1399999999999997</v>
      </c>
      <c r="X11" s="127">
        <v>3.25</v>
      </c>
      <c r="Y11" s="141">
        <v>25.4</v>
      </c>
      <c r="Z11" s="127">
        <v>7.26</v>
      </c>
      <c r="AA11" s="127">
        <v>2.48</v>
      </c>
      <c r="AB11" s="126">
        <v>2</v>
      </c>
      <c r="AC11" s="127">
        <v>1.1299999999999999</v>
      </c>
      <c r="AD11" s="141">
        <v>0.7</v>
      </c>
      <c r="AE11" s="127">
        <v>0.73</v>
      </c>
    </row>
    <row r="12" spans="1:31" ht="21" x14ac:dyDescent="0.2">
      <c r="A12" s="128" t="s">
        <v>17</v>
      </c>
      <c r="B12" s="128"/>
      <c r="C12" s="190">
        <v>1</v>
      </c>
      <c r="D12" s="191"/>
      <c r="F12" s="123" t="s">
        <v>304</v>
      </c>
      <c r="G12" s="123">
        <f>G8*(C13/2)</f>
        <v>5.6989500089408028E-2</v>
      </c>
      <c r="H12" s="123" t="s">
        <v>21</v>
      </c>
      <c r="J12" s="160" t="s">
        <v>294</v>
      </c>
      <c r="K12" s="123">
        <f>K10*(C13^2/8)</f>
        <v>39.483213118245743</v>
      </c>
      <c r="L12" s="123" t="s">
        <v>20</v>
      </c>
      <c r="M12" s="157"/>
      <c r="N12" s="193" t="s">
        <v>41</v>
      </c>
      <c r="O12" s="157"/>
      <c r="P12" s="158"/>
      <c r="R12" s="123" t="s">
        <v>74</v>
      </c>
      <c r="S12" s="125">
        <v>80</v>
      </c>
      <c r="T12" s="126">
        <v>45</v>
      </c>
      <c r="U12" s="126">
        <v>4</v>
      </c>
      <c r="V12" s="126">
        <v>6</v>
      </c>
      <c r="W12" s="127">
        <v>6.14</v>
      </c>
      <c r="X12" s="127">
        <v>4.8099999999999996</v>
      </c>
      <c r="Y12" s="127">
        <v>58.81</v>
      </c>
      <c r="Z12" s="141">
        <v>14.7</v>
      </c>
      <c r="AA12" s="141">
        <v>3.1</v>
      </c>
      <c r="AB12" s="127">
        <v>12.05</v>
      </c>
      <c r="AC12" s="127">
        <v>3.91</v>
      </c>
      <c r="AD12" s="141">
        <v>1.4</v>
      </c>
      <c r="AE12" s="127">
        <v>1.41</v>
      </c>
    </row>
    <row r="13" spans="1:31" ht="21" x14ac:dyDescent="0.2">
      <c r="A13" s="128" t="s">
        <v>305</v>
      </c>
      <c r="B13" s="128"/>
      <c r="C13" s="122">
        <v>600</v>
      </c>
      <c r="D13" s="123" t="s">
        <v>7</v>
      </c>
      <c r="J13" s="160" t="s">
        <v>297</v>
      </c>
      <c r="K13" s="123">
        <f>IF(C12=C1,K11*((C13)^2/8),IF(C12=C2,K11*((C13/2)^2/8),IF(C12=C3,K11*((C13/3)^2/8))))</f>
        <v>1.3872509320926669</v>
      </c>
      <c r="L13" s="123" t="s">
        <v>20</v>
      </c>
      <c r="M13" s="157"/>
      <c r="N13" s="123" t="s">
        <v>294</v>
      </c>
      <c r="O13" s="123">
        <f>MAX(K12,O8)</f>
        <v>39.483213118245743</v>
      </c>
      <c r="P13" s="192" t="s">
        <v>20</v>
      </c>
      <c r="R13" s="123" t="s">
        <v>75</v>
      </c>
      <c r="S13" s="132">
        <v>100</v>
      </c>
      <c r="T13" s="133">
        <v>50</v>
      </c>
      <c r="U13" s="133">
        <v>4</v>
      </c>
      <c r="V13" s="133">
        <v>6</v>
      </c>
      <c r="W13" s="134">
        <v>7.34</v>
      </c>
      <c r="X13" s="134">
        <v>5.76</v>
      </c>
      <c r="Y13" s="135">
        <v>109.4</v>
      </c>
      <c r="Z13" s="134">
        <v>21.88</v>
      </c>
      <c r="AA13" s="134">
        <v>3.86</v>
      </c>
      <c r="AB13" s="134">
        <v>17.670000000000002</v>
      </c>
      <c r="AC13" s="133">
        <v>5</v>
      </c>
      <c r="AD13" s="134">
        <v>1.56</v>
      </c>
      <c r="AE13" s="134">
        <v>1.46</v>
      </c>
    </row>
    <row r="14" spans="1:31" ht="21" x14ac:dyDescent="0.2">
      <c r="A14" s="120" t="s">
        <v>33</v>
      </c>
      <c r="B14" s="121"/>
      <c r="C14" s="122">
        <v>175</v>
      </c>
      <c r="D14" s="123" t="s">
        <v>7</v>
      </c>
      <c r="J14" s="160" t="s">
        <v>283</v>
      </c>
      <c r="K14" s="123">
        <f>K10*(C13/2)</f>
        <v>0.26322142078830496</v>
      </c>
      <c r="L14" s="123" t="s">
        <v>21</v>
      </c>
      <c r="M14" s="157"/>
      <c r="N14" s="123" t="s">
        <v>297</v>
      </c>
      <c r="O14" s="123">
        <f>IF(K12&gt;O8,K13,O9)</f>
        <v>1.3872509320926669</v>
      </c>
      <c r="P14" s="192" t="s">
        <v>20</v>
      </c>
      <c r="R14" s="123" t="s">
        <v>76</v>
      </c>
      <c r="S14" s="137">
        <v>120</v>
      </c>
      <c r="T14" s="138">
        <v>60</v>
      </c>
      <c r="U14" s="138">
        <v>4</v>
      </c>
      <c r="V14" s="138">
        <v>6</v>
      </c>
      <c r="W14" s="139">
        <v>8.94</v>
      </c>
      <c r="X14" s="139">
        <v>7.01</v>
      </c>
      <c r="Y14" s="140">
        <v>195.8</v>
      </c>
      <c r="Z14" s="139">
        <v>32.630000000000003</v>
      </c>
      <c r="AA14" s="139">
        <v>4.68</v>
      </c>
      <c r="AB14" s="140">
        <v>31.5</v>
      </c>
      <c r="AC14" s="139">
        <v>7.34</v>
      </c>
      <c r="AD14" s="139">
        <v>1.88</v>
      </c>
      <c r="AE14" s="139">
        <v>1.71</v>
      </c>
    </row>
    <row r="15" spans="1:31" ht="22.5" thickBot="1" x14ac:dyDescent="0.25">
      <c r="A15" s="109" t="s">
        <v>137</v>
      </c>
      <c r="B15" s="110"/>
      <c r="C15" s="122">
        <v>8</v>
      </c>
      <c r="D15" s="123" t="s">
        <v>35</v>
      </c>
      <c r="J15" s="167"/>
      <c r="K15" s="168"/>
      <c r="L15" s="168"/>
      <c r="M15" s="168"/>
      <c r="N15" s="169" t="s">
        <v>283</v>
      </c>
      <c r="O15" s="169">
        <f>IF(OR(K12&gt;O8,K13&gt;O9),K14,O10)</f>
        <v>0.26322142078830496</v>
      </c>
      <c r="P15" s="175" t="s">
        <v>21</v>
      </c>
      <c r="R15" s="123" t="s">
        <v>77</v>
      </c>
      <c r="S15" s="125">
        <v>140</v>
      </c>
      <c r="T15" s="126">
        <v>65</v>
      </c>
      <c r="U15" s="126">
        <v>4</v>
      </c>
      <c r="V15" s="126">
        <v>6</v>
      </c>
      <c r="W15" s="127">
        <v>10.14</v>
      </c>
      <c r="X15" s="127">
        <v>7.96</v>
      </c>
      <c r="Y15" s="127">
        <v>300.13</v>
      </c>
      <c r="Z15" s="127">
        <v>42.88</v>
      </c>
      <c r="AA15" s="127">
        <v>5.44</v>
      </c>
      <c r="AB15" s="127">
        <v>41.54</v>
      </c>
      <c r="AC15" s="127">
        <v>8.7799999999999994</v>
      </c>
      <c r="AD15" s="127">
        <v>2.02</v>
      </c>
      <c r="AE15" s="127">
        <v>1.77</v>
      </c>
    </row>
    <row r="16" spans="1:31" ht="21.75" x14ac:dyDescent="0.2">
      <c r="A16" s="120" t="s">
        <v>32</v>
      </c>
      <c r="B16" s="121"/>
      <c r="C16" s="122">
        <v>6</v>
      </c>
      <c r="D16" s="123" t="s">
        <v>251</v>
      </c>
      <c r="R16" s="123" t="s">
        <v>78</v>
      </c>
      <c r="S16" s="125">
        <v>160</v>
      </c>
      <c r="T16" s="126">
        <v>65</v>
      </c>
      <c r="U16" s="126">
        <v>4</v>
      </c>
      <c r="V16" s="126">
        <v>6</v>
      </c>
      <c r="W16" s="127">
        <v>10.94</v>
      </c>
      <c r="X16" s="127">
        <v>8.58</v>
      </c>
      <c r="Y16" s="127">
        <v>411.28</v>
      </c>
      <c r="Z16" s="127">
        <v>51.41</v>
      </c>
      <c r="AA16" s="127">
        <v>6.13</v>
      </c>
      <c r="AB16" s="127">
        <v>43.37</v>
      </c>
      <c r="AC16" s="127">
        <v>8.9499999999999993</v>
      </c>
      <c r="AD16" s="127">
        <v>1.99</v>
      </c>
      <c r="AE16" s="127">
        <v>1.65</v>
      </c>
    </row>
    <row r="17" spans="1:31" x14ac:dyDescent="0.3">
      <c r="A17" s="128" t="s">
        <v>8</v>
      </c>
      <c r="B17" s="128"/>
      <c r="C17" s="129" t="s">
        <v>78</v>
      </c>
      <c r="D17" s="130"/>
      <c r="H17" s="131" t="s">
        <v>48</v>
      </c>
      <c r="I17" s="131"/>
      <c r="R17" s="123" t="s">
        <v>79</v>
      </c>
      <c r="S17" s="132">
        <v>180</v>
      </c>
      <c r="T17" s="133">
        <v>80</v>
      </c>
      <c r="U17" s="133">
        <v>4</v>
      </c>
      <c r="V17" s="133">
        <v>6</v>
      </c>
      <c r="W17" s="134">
        <v>12.94</v>
      </c>
      <c r="X17" s="134">
        <v>10.16</v>
      </c>
      <c r="Y17" s="134">
        <v>637.23</v>
      </c>
      <c r="Z17" s="135">
        <v>70.8</v>
      </c>
      <c r="AA17" s="134">
        <v>7.02</v>
      </c>
      <c r="AB17" s="134">
        <v>80.45</v>
      </c>
      <c r="AC17" s="135">
        <v>13.6</v>
      </c>
      <c r="AD17" s="134">
        <v>2.4900000000000002</v>
      </c>
      <c r="AE17" s="134">
        <v>2.09</v>
      </c>
    </row>
    <row r="18" spans="1:31" ht="21" x14ac:dyDescent="0.2">
      <c r="A18" s="128" t="s">
        <v>30</v>
      </c>
      <c r="B18" s="128"/>
      <c r="C18" s="123">
        <f>VLOOKUP(C17,table1,7,FALSE)</f>
        <v>8.58</v>
      </c>
      <c r="D18" s="123" t="s">
        <v>31</v>
      </c>
      <c r="H18" s="123" t="s">
        <v>252</v>
      </c>
      <c r="I18" s="136">
        <f>1.2*G10+1.6*O13</f>
        <v>73.43125100528664</v>
      </c>
      <c r="J18" s="123" t="s">
        <v>20</v>
      </c>
      <c r="R18" s="123" t="s">
        <v>80</v>
      </c>
      <c r="S18" s="137">
        <v>200</v>
      </c>
      <c r="T18" s="138">
        <v>80</v>
      </c>
      <c r="U18" s="138">
        <v>4</v>
      </c>
      <c r="V18" s="138">
        <v>6</v>
      </c>
      <c r="W18" s="139">
        <v>13.74</v>
      </c>
      <c r="X18" s="139">
        <v>10.78</v>
      </c>
      <c r="Y18" s="139">
        <v>816.04</v>
      </c>
      <c r="Z18" s="140">
        <v>81.599999999999994</v>
      </c>
      <c r="AA18" s="139">
        <v>7.71</v>
      </c>
      <c r="AB18" s="139">
        <v>83.13</v>
      </c>
      <c r="AC18" s="140">
        <v>13.8</v>
      </c>
      <c r="AD18" s="139">
        <v>2.46</v>
      </c>
      <c r="AE18" s="139">
        <v>1.98</v>
      </c>
    </row>
    <row r="19" spans="1:31" ht="21.75" x14ac:dyDescent="0.2">
      <c r="A19" s="120" t="s">
        <v>16</v>
      </c>
      <c r="B19" s="121"/>
      <c r="C19" s="123">
        <f>VLOOKUP(C17,table1,6,FALSE)</f>
        <v>10.94</v>
      </c>
      <c r="D19" s="123" t="s">
        <v>253</v>
      </c>
      <c r="H19" s="123" t="s">
        <v>254</v>
      </c>
      <c r="I19" s="136">
        <f>1.2*G11+1.6*O14</f>
        <v>2.5800223273809508</v>
      </c>
      <c r="J19" s="123" t="s">
        <v>20</v>
      </c>
      <c r="R19" s="123" t="s">
        <v>81</v>
      </c>
      <c r="S19" s="125">
        <v>200</v>
      </c>
      <c r="T19" s="126">
        <v>100</v>
      </c>
      <c r="U19" s="126">
        <v>4</v>
      </c>
      <c r="V19" s="126">
        <v>6</v>
      </c>
      <c r="W19" s="127">
        <v>15.34</v>
      </c>
      <c r="X19" s="127">
        <v>12.04</v>
      </c>
      <c r="Y19" s="141">
        <v>969.7</v>
      </c>
      <c r="Z19" s="127">
        <v>96.97</v>
      </c>
      <c r="AA19" s="127">
        <v>7.95</v>
      </c>
      <c r="AB19" s="127">
        <v>154.37</v>
      </c>
      <c r="AC19" s="127">
        <v>21.17</v>
      </c>
      <c r="AD19" s="127">
        <v>3.17</v>
      </c>
      <c r="AE19" s="127">
        <v>2.71</v>
      </c>
    </row>
    <row r="20" spans="1:31" ht="21" x14ac:dyDescent="0.2">
      <c r="A20" s="120" t="s">
        <v>102</v>
      </c>
      <c r="B20" s="121"/>
      <c r="C20" s="123">
        <f>VLOOKUP(C17,table1,2,FALSE)</f>
        <v>160</v>
      </c>
      <c r="D20" s="123" t="s">
        <v>9</v>
      </c>
      <c r="H20" s="123" t="s">
        <v>255</v>
      </c>
      <c r="I20" s="136">
        <f>1.2*G12+1.6*O15</f>
        <v>0.48954167336857757</v>
      </c>
      <c r="J20" s="123" t="s">
        <v>21</v>
      </c>
      <c r="R20" s="123" t="s">
        <v>82</v>
      </c>
      <c r="S20" s="125">
        <v>60</v>
      </c>
      <c r="T20" s="126">
        <v>40</v>
      </c>
      <c r="U20" s="141">
        <v>3.6</v>
      </c>
      <c r="V20" s="126">
        <v>6</v>
      </c>
      <c r="W20" s="127">
        <v>4.4800000000000004</v>
      </c>
      <c r="X20" s="127">
        <v>3.51</v>
      </c>
      <c r="Y20" s="127">
        <v>24.48</v>
      </c>
      <c r="Z20" s="127">
        <v>8.16</v>
      </c>
      <c r="AA20" s="127">
        <v>2.34</v>
      </c>
      <c r="AB20" s="127">
        <v>7.02</v>
      </c>
      <c r="AC20" s="127">
        <v>2.66</v>
      </c>
      <c r="AD20" s="127">
        <v>1.25</v>
      </c>
      <c r="AE20" s="127">
        <v>1.36</v>
      </c>
    </row>
    <row r="21" spans="1:31" x14ac:dyDescent="0.2">
      <c r="A21" s="120" t="s">
        <v>103</v>
      </c>
      <c r="B21" s="121"/>
      <c r="C21" s="123">
        <f>VLOOKUP(C17,table1,3,FALSE)</f>
        <v>65</v>
      </c>
      <c r="D21" s="123" t="s">
        <v>9</v>
      </c>
      <c r="R21" s="123" t="s">
        <v>83</v>
      </c>
      <c r="S21" s="132">
        <v>60</v>
      </c>
      <c r="T21" s="133">
        <v>40</v>
      </c>
      <c r="U21" s="133">
        <v>4</v>
      </c>
      <c r="V21" s="133">
        <v>6</v>
      </c>
      <c r="W21" s="134">
        <v>4.9400000000000004</v>
      </c>
      <c r="X21" s="134">
        <v>3.87</v>
      </c>
      <c r="Y21" s="134">
        <v>26.58</v>
      </c>
      <c r="Z21" s="134">
        <v>8.86</v>
      </c>
      <c r="AA21" s="134">
        <v>2.3199999999999998</v>
      </c>
      <c r="AB21" s="134">
        <v>7.64</v>
      </c>
      <c r="AC21" s="134">
        <v>2.92</v>
      </c>
      <c r="AD21" s="134">
        <v>1.24</v>
      </c>
      <c r="AE21" s="134">
        <v>1.38</v>
      </c>
    </row>
    <row r="22" spans="1:31" x14ac:dyDescent="0.2">
      <c r="A22" s="120" t="s">
        <v>19</v>
      </c>
      <c r="B22" s="121"/>
      <c r="C22" s="123">
        <f>VLOOKUP(C17,table1,4,FALSE)</f>
        <v>4</v>
      </c>
      <c r="D22" s="123" t="s">
        <v>9</v>
      </c>
      <c r="R22" s="123" t="s">
        <v>84</v>
      </c>
      <c r="S22" s="137">
        <v>80</v>
      </c>
      <c r="T22" s="138">
        <v>40</v>
      </c>
      <c r="U22" s="139">
        <v>2.25</v>
      </c>
      <c r="V22" s="138">
        <v>6</v>
      </c>
      <c r="W22" s="139">
        <v>3.32</v>
      </c>
      <c r="X22" s="139">
        <v>2.61</v>
      </c>
      <c r="Y22" s="139">
        <v>32.33</v>
      </c>
      <c r="Z22" s="139">
        <v>8.08</v>
      </c>
      <c r="AA22" s="139">
        <v>3.12</v>
      </c>
      <c r="AB22" s="139">
        <v>5.24</v>
      </c>
      <c r="AC22" s="139">
        <v>1.83</v>
      </c>
      <c r="AD22" s="139">
        <v>1.26</v>
      </c>
      <c r="AE22" s="139">
        <v>1.1399999999999999</v>
      </c>
    </row>
    <row r="23" spans="1:31" x14ac:dyDescent="0.2">
      <c r="A23" s="120" t="s">
        <v>18</v>
      </c>
      <c r="B23" s="121"/>
      <c r="C23" s="123">
        <f>VLOOKUP(C17,table1,5,FALSE)</f>
        <v>6</v>
      </c>
      <c r="D23" s="123" t="s">
        <v>9</v>
      </c>
      <c r="F23" s="142" t="s">
        <v>22</v>
      </c>
      <c r="G23" s="142"/>
      <c r="R23" s="123" t="s">
        <v>85</v>
      </c>
      <c r="S23" s="125">
        <v>80</v>
      </c>
      <c r="T23" s="126">
        <v>40</v>
      </c>
      <c r="U23" s="141">
        <v>2.5</v>
      </c>
      <c r="V23" s="126">
        <v>6</v>
      </c>
      <c r="W23" s="127">
        <v>3.68</v>
      </c>
      <c r="X23" s="127">
        <v>2.89</v>
      </c>
      <c r="Y23" s="127">
        <v>35.520000000000003</v>
      </c>
      <c r="Z23" s="127">
        <v>8.8800000000000008</v>
      </c>
      <c r="AA23" s="127">
        <v>3.11</v>
      </c>
      <c r="AB23" s="127">
        <v>5.75</v>
      </c>
      <c r="AC23" s="127">
        <v>2.02</v>
      </c>
      <c r="AD23" s="127">
        <v>1.25</v>
      </c>
      <c r="AE23" s="127">
        <v>1.1499999999999999</v>
      </c>
    </row>
    <row r="24" spans="1:31" ht="21.75" x14ac:dyDescent="0.2">
      <c r="A24" s="120" t="s">
        <v>256</v>
      </c>
      <c r="B24" s="121"/>
      <c r="C24" s="123">
        <f>VLOOKUP(C17,table1,8,FALSE)</f>
        <v>411.28</v>
      </c>
      <c r="D24" s="123" t="s">
        <v>257</v>
      </c>
      <c r="F24" s="142"/>
      <c r="G24" s="142"/>
      <c r="R24" s="123" t="s">
        <v>86</v>
      </c>
      <c r="S24" s="125">
        <v>80</v>
      </c>
      <c r="T24" s="126">
        <v>40</v>
      </c>
      <c r="U24" s="126">
        <v>3</v>
      </c>
      <c r="V24" s="126">
        <v>6</v>
      </c>
      <c r="W24" s="127">
        <v>4.37</v>
      </c>
      <c r="X24" s="127">
        <v>3.43</v>
      </c>
      <c r="Y24" s="127">
        <v>41.66</v>
      </c>
      <c r="Z24" s="127">
        <v>10.42</v>
      </c>
      <c r="AA24" s="127">
        <v>3.09</v>
      </c>
      <c r="AB24" s="127">
        <v>6.75</v>
      </c>
      <c r="AC24" s="127">
        <v>2.39</v>
      </c>
      <c r="AD24" s="127">
        <v>1.24</v>
      </c>
      <c r="AE24" s="127">
        <v>1.18</v>
      </c>
    </row>
    <row r="25" spans="1:31" ht="21.75" x14ac:dyDescent="0.2">
      <c r="A25" s="120" t="s">
        <v>258</v>
      </c>
      <c r="B25" s="121"/>
      <c r="C25" s="123">
        <f>VLOOKUP(C17,table1,9,FALSE)</f>
        <v>51.41</v>
      </c>
      <c r="D25" s="123" t="s">
        <v>259</v>
      </c>
      <c r="R25" s="123" t="s">
        <v>87</v>
      </c>
      <c r="S25" s="125">
        <v>80</v>
      </c>
      <c r="T25" s="126">
        <v>40</v>
      </c>
      <c r="U25" s="126">
        <v>4</v>
      </c>
      <c r="V25" s="126">
        <v>6</v>
      </c>
      <c r="W25" s="127">
        <v>5.74</v>
      </c>
      <c r="X25" s="141">
        <v>4.5</v>
      </c>
      <c r="Y25" s="127">
        <v>53.04</v>
      </c>
      <c r="Z25" s="127">
        <v>13.26</v>
      </c>
      <c r="AA25" s="127">
        <v>3.04</v>
      </c>
      <c r="AB25" s="141">
        <v>8.6</v>
      </c>
      <c r="AC25" s="127">
        <v>3.09</v>
      </c>
      <c r="AD25" s="127">
        <v>1.22</v>
      </c>
      <c r="AE25" s="127">
        <v>1.22</v>
      </c>
    </row>
    <row r="26" spans="1:31" ht="21" x14ac:dyDescent="0.2">
      <c r="A26" s="120" t="s">
        <v>260</v>
      </c>
      <c r="B26" s="121"/>
      <c r="C26" s="123">
        <f>VLOOKUP(C17,table1,10,FALSE)</f>
        <v>6.13</v>
      </c>
      <c r="D26" s="123" t="s">
        <v>7</v>
      </c>
      <c r="F26" s="143" t="s">
        <v>23</v>
      </c>
      <c r="G26" s="143"/>
      <c r="R26" s="123" t="s">
        <v>88</v>
      </c>
      <c r="S26" s="132">
        <v>80</v>
      </c>
      <c r="T26" s="133">
        <v>50</v>
      </c>
      <c r="U26" s="133">
        <v>5</v>
      </c>
      <c r="V26" s="133">
        <v>6</v>
      </c>
      <c r="W26" s="134">
        <v>8.0500000000000007</v>
      </c>
      <c r="X26" s="134">
        <v>6.32</v>
      </c>
      <c r="Y26" s="135">
        <v>77.3</v>
      </c>
      <c r="Z26" s="134">
        <v>19.329999999999998</v>
      </c>
      <c r="AA26" s="135">
        <v>3.1</v>
      </c>
      <c r="AB26" s="134">
        <v>19.55</v>
      </c>
      <c r="AC26" s="134">
        <v>5.85</v>
      </c>
      <c r="AD26" s="134">
        <v>1.56</v>
      </c>
      <c r="AE26" s="134">
        <v>1.66</v>
      </c>
    </row>
    <row r="27" spans="1:31" ht="21.75" x14ac:dyDescent="0.2">
      <c r="A27" s="120" t="s">
        <v>261</v>
      </c>
      <c r="B27" s="121"/>
      <c r="C27" s="123">
        <f>VLOOKUP(C17,table1,11,FALSE)</f>
        <v>43.37</v>
      </c>
      <c r="D27" s="123" t="s">
        <v>257</v>
      </c>
      <c r="F27" s="144" t="s">
        <v>262</v>
      </c>
      <c r="G27" s="144"/>
      <c r="H27" s="123">
        <f>(C20-2*C22-2*C23)/C22</f>
        <v>35</v>
      </c>
      <c r="I27" s="123" t="str">
        <f>IF(H27&lt;=200,"Ok")</f>
        <v>Ok</v>
      </c>
      <c r="J27" s="145" t="s">
        <v>27</v>
      </c>
      <c r="K27" s="146" t="str">
        <f>IF(AND(I27=E1,I28=E1),"The Section satisfies Code Limits")</f>
        <v>The Section satisfies Code Limits</v>
      </c>
      <c r="L27" s="146"/>
      <c r="M27" s="146"/>
      <c r="N27" s="146"/>
      <c r="R27" s="123" t="s">
        <v>89</v>
      </c>
      <c r="S27" s="137">
        <v>100</v>
      </c>
      <c r="T27" s="138">
        <v>40</v>
      </c>
      <c r="U27" s="138">
        <v>3</v>
      </c>
      <c r="V27" s="138">
        <v>6</v>
      </c>
      <c r="W27" s="139">
        <v>4.97</v>
      </c>
      <c r="X27" s="139">
        <v>3.91</v>
      </c>
      <c r="Y27" s="139">
        <v>70.959999999999994</v>
      </c>
      <c r="Z27" s="139">
        <v>14.19</v>
      </c>
      <c r="AA27" s="139">
        <v>3.78</v>
      </c>
      <c r="AB27" s="139">
        <v>7.31</v>
      </c>
      <c r="AC27" s="139">
        <v>2.48</v>
      </c>
      <c r="AD27" s="139">
        <v>1.21</v>
      </c>
      <c r="AE27" s="139">
        <v>1.05</v>
      </c>
    </row>
    <row r="28" spans="1:31" ht="21.75" x14ac:dyDescent="0.2">
      <c r="A28" s="120" t="s">
        <v>263</v>
      </c>
      <c r="B28" s="121"/>
      <c r="C28" s="123">
        <f>VLOOKUP(C17,table1,12,FALSE)</f>
        <v>8.9499999999999993</v>
      </c>
      <c r="D28" s="123" t="s">
        <v>259</v>
      </c>
      <c r="F28" s="144" t="s">
        <v>264</v>
      </c>
      <c r="G28" s="144"/>
      <c r="H28" s="123">
        <f>(C21-C22-C23)/C22</f>
        <v>13.75</v>
      </c>
      <c r="I28" s="123" t="str">
        <f>IF(H28&lt;=40,"Ok")</f>
        <v>Ok</v>
      </c>
      <c r="J28" s="145"/>
      <c r="K28" s="146"/>
      <c r="L28" s="146"/>
      <c r="M28" s="146"/>
      <c r="N28" s="146"/>
      <c r="R28" s="123" t="s">
        <v>90</v>
      </c>
      <c r="S28" s="125">
        <v>100</v>
      </c>
      <c r="T28" s="126">
        <v>40</v>
      </c>
      <c r="U28" s="126">
        <v>4</v>
      </c>
      <c r="V28" s="126">
        <v>6</v>
      </c>
      <c r="W28" s="127">
        <v>6.54</v>
      </c>
      <c r="X28" s="127">
        <v>5.13</v>
      </c>
      <c r="Y28" s="127">
        <v>90.97</v>
      </c>
      <c r="Z28" s="127">
        <v>18.190000000000001</v>
      </c>
      <c r="AA28" s="127">
        <v>3.73</v>
      </c>
      <c r="AB28" s="127">
        <v>9.33</v>
      </c>
      <c r="AC28" s="127">
        <v>3.21</v>
      </c>
      <c r="AD28" s="127">
        <v>1.19</v>
      </c>
      <c r="AE28" s="127">
        <v>1.0900000000000001</v>
      </c>
    </row>
    <row r="29" spans="1:31" ht="21" x14ac:dyDescent="0.2">
      <c r="A29" s="120" t="s">
        <v>265</v>
      </c>
      <c r="B29" s="121"/>
      <c r="C29" s="123">
        <f>VLOOKUP(C17,table1,13,FALSE)</f>
        <v>1.99</v>
      </c>
      <c r="D29" s="123" t="s">
        <v>7</v>
      </c>
      <c r="R29" s="123" t="s">
        <v>91</v>
      </c>
      <c r="S29" s="132">
        <v>100</v>
      </c>
      <c r="T29" s="133">
        <v>50</v>
      </c>
      <c r="U29" s="133">
        <v>5</v>
      </c>
      <c r="V29" s="133">
        <v>6</v>
      </c>
      <c r="W29" s="134">
        <v>9.0500000000000007</v>
      </c>
      <c r="X29" s="135">
        <v>7.1</v>
      </c>
      <c r="Y29" s="134">
        <v>131.83000000000001</v>
      </c>
      <c r="Z29" s="134">
        <v>26.37</v>
      </c>
      <c r="AA29" s="134">
        <v>3.82</v>
      </c>
      <c r="AB29" s="134">
        <v>21.32</v>
      </c>
      <c r="AC29" s="135">
        <v>6.1</v>
      </c>
      <c r="AD29" s="134">
        <v>1.53</v>
      </c>
      <c r="AE29" s="134">
        <v>1.51</v>
      </c>
    </row>
    <row r="30" spans="1:31" ht="20.25" thickBot="1" x14ac:dyDescent="0.25">
      <c r="A30" s="120" t="s">
        <v>96</v>
      </c>
      <c r="B30" s="121"/>
      <c r="C30" s="123">
        <f>VLOOKUP(C17,table1,14,FALSE)</f>
        <v>1.65</v>
      </c>
      <c r="D30" s="123" t="s">
        <v>7</v>
      </c>
      <c r="R30" s="123" t="s">
        <v>76</v>
      </c>
      <c r="S30" s="147">
        <v>120</v>
      </c>
      <c r="T30" s="148">
        <v>60</v>
      </c>
      <c r="U30" s="148">
        <v>4</v>
      </c>
      <c r="V30" s="148">
        <v>6</v>
      </c>
      <c r="W30" s="149">
        <v>8.94</v>
      </c>
      <c r="X30" s="149">
        <v>7.01</v>
      </c>
      <c r="Y30" s="150">
        <v>195.8</v>
      </c>
      <c r="Z30" s="149">
        <v>32.630000000000003</v>
      </c>
      <c r="AA30" s="149">
        <v>4.68</v>
      </c>
      <c r="AB30" s="150">
        <v>31.5</v>
      </c>
      <c r="AC30" s="149">
        <v>7.35</v>
      </c>
      <c r="AD30" s="149">
        <v>1.88</v>
      </c>
      <c r="AE30" s="149">
        <v>1.71</v>
      </c>
    </row>
    <row r="31" spans="1:31" x14ac:dyDescent="0.2">
      <c r="F31" s="151" t="s">
        <v>98</v>
      </c>
      <c r="G31" s="152"/>
      <c r="H31" s="153"/>
      <c r="I31" s="153"/>
      <c r="J31" s="153"/>
      <c r="K31" s="153"/>
      <c r="L31" s="153"/>
      <c r="M31" s="153"/>
      <c r="N31" s="153"/>
      <c r="O31" s="153"/>
      <c r="P31" s="154"/>
      <c r="R31" s="123" t="s">
        <v>92</v>
      </c>
      <c r="S31" s="125">
        <v>140</v>
      </c>
      <c r="T31" s="126">
        <v>63</v>
      </c>
      <c r="U31" s="126">
        <v>4</v>
      </c>
      <c r="V31" s="126">
        <v>6</v>
      </c>
      <c r="W31" s="127">
        <v>9.98</v>
      </c>
      <c r="X31" s="127">
        <v>7.83</v>
      </c>
      <c r="Y31" s="127">
        <v>292.73</v>
      </c>
      <c r="Z31" s="127">
        <v>41.82</v>
      </c>
      <c r="AA31" s="127">
        <v>5.42</v>
      </c>
      <c r="AB31" s="127">
        <v>38.049999999999997</v>
      </c>
      <c r="AC31" s="127">
        <v>8.27</v>
      </c>
      <c r="AD31" s="127">
        <v>1.95</v>
      </c>
      <c r="AE31" s="141">
        <v>1.7</v>
      </c>
    </row>
    <row r="32" spans="1:31" x14ac:dyDescent="0.2">
      <c r="F32" s="155"/>
      <c r="G32" s="156"/>
      <c r="H32" s="157"/>
      <c r="I32" s="157"/>
      <c r="J32" s="157"/>
      <c r="K32" s="157"/>
      <c r="L32" s="157"/>
      <c r="M32" s="157"/>
      <c r="N32" s="157"/>
      <c r="O32" s="157"/>
      <c r="P32" s="158"/>
      <c r="R32" s="123" t="s">
        <v>93</v>
      </c>
      <c r="S32" s="125">
        <v>160</v>
      </c>
      <c r="T32" s="126">
        <v>63</v>
      </c>
      <c r="U32" s="126">
        <v>4</v>
      </c>
      <c r="V32" s="126">
        <v>6</v>
      </c>
      <c r="W32" s="127">
        <v>10.78</v>
      </c>
      <c r="X32" s="127">
        <v>8.4600000000000009</v>
      </c>
      <c r="Y32" s="127">
        <v>401.54</v>
      </c>
      <c r="Z32" s="127">
        <v>50.19</v>
      </c>
      <c r="AA32" s="141">
        <v>6.1</v>
      </c>
      <c r="AB32" s="141">
        <v>39.700000000000003</v>
      </c>
      <c r="AC32" s="127">
        <v>8.43</v>
      </c>
      <c r="AD32" s="127">
        <v>1.92</v>
      </c>
      <c r="AE32" s="127">
        <v>1.59</v>
      </c>
    </row>
    <row r="33" spans="6:31" x14ac:dyDescent="0.2">
      <c r="F33" s="159" t="s">
        <v>95</v>
      </c>
      <c r="G33" s="128"/>
      <c r="H33" s="157"/>
      <c r="I33" s="157"/>
      <c r="J33" s="157"/>
      <c r="K33" s="157"/>
      <c r="L33" s="128" t="s">
        <v>101</v>
      </c>
      <c r="M33" s="128"/>
      <c r="N33" s="157"/>
      <c r="O33" s="157"/>
      <c r="P33" s="158"/>
      <c r="R33" s="123" t="s">
        <v>94</v>
      </c>
      <c r="S33" s="132">
        <v>180</v>
      </c>
      <c r="T33" s="133">
        <v>75</v>
      </c>
      <c r="U33" s="133">
        <v>4</v>
      </c>
      <c r="V33" s="133">
        <v>6</v>
      </c>
      <c r="W33" s="134">
        <v>12.54</v>
      </c>
      <c r="X33" s="134">
        <v>9.84</v>
      </c>
      <c r="Y33" s="134">
        <v>606.25</v>
      </c>
      <c r="Z33" s="134">
        <v>67.36</v>
      </c>
      <c r="AA33" s="134">
        <v>6.95</v>
      </c>
      <c r="AB33" s="135">
        <v>67.2</v>
      </c>
      <c r="AC33" s="134">
        <v>12.01</v>
      </c>
      <c r="AD33" s="134">
        <v>2.3199999999999998</v>
      </c>
      <c r="AE33" s="135">
        <v>1.9</v>
      </c>
    </row>
    <row r="34" spans="6:31" x14ac:dyDescent="0.2">
      <c r="F34" s="160" t="s">
        <v>193</v>
      </c>
      <c r="G34" s="122">
        <v>-1</v>
      </c>
      <c r="H34" s="123" t="s">
        <v>47</v>
      </c>
      <c r="I34" s="157"/>
      <c r="J34" s="157"/>
      <c r="K34" s="157"/>
      <c r="L34" s="123" t="s">
        <v>193</v>
      </c>
      <c r="M34" s="122">
        <v>1</v>
      </c>
      <c r="N34" s="123" t="s">
        <v>47</v>
      </c>
      <c r="O34" s="157"/>
      <c r="P34" s="158"/>
    </row>
    <row r="35" spans="6:31" x14ac:dyDescent="0.2">
      <c r="F35" s="160" t="s">
        <v>99</v>
      </c>
      <c r="G35" s="122">
        <v>23.9</v>
      </c>
      <c r="H35" s="123" t="s">
        <v>47</v>
      </c>
      <c r="I35" s="157"/>
      <c r="J35" s="157"/>
      <c r="K35" s="157"/>
      <c r="L35" s="123" t="s">
        <v>99</v>
      </c>
      <c r="M35" s="122">
        <v>0.43</v>
      </c>
      <c r="N35" s="123" t="s">
        <v>47</v>
      </c>
      <c r="O35" s="157"/>
      <c r="P35" s="158"/>
    </row>
    <row r="36" spans="6:31" ht="21" x14ac:dyDescent="0.2">
      <c r="F36" s="160" t="s">
        <v>266</v>
      </c>
      <c r="G36" s="123">
        <f>(((C20-2*C22-2*C23)/C22)/44)*SQRT(C10/G35)</f>
        <v>0.25207050894129024</v>
      </c>
      <c r="H36" s="123" t="s">
        <v>47</v>
      </c>
      <c r="I36" s="157"/>
      <c r="J36" s="157"/>
      <c r="K36" s="157"/>
      <c r="L36" s="123" t="s">
        <v>266</v>
      </c>
      <c r="M36" s="123">
        <f>(((C21-C22-C23)/C22)/44)*SQRT(C10/M35)</f>
        <v>0.7382805290232729</v>
      </c>
      <c r="N36" s="123" t="s">
        <v>47</v>
      </c>
      <c r="O36" s="157"/>
      <c r="P36" s="158"/>
    </row>
    <row r="37" spans="6:31" x14ac:dyDescent="0.2">
      <c r="F37" s="161" t="s">
        <v>100</v>
      </c>
      <c r="G37" s="123">
        <f>(1.1*G36-0.16-0.1*G34)/(G36)^2</f>
        <v>3.4195644913635328</v>
      </c>
      <c r="H37" s="123" t="s">
        <v>47</v>
      </c>
      <c r="I37" s="162" t="str">
        <f>IF(G37&gt;=1,"Fully Effective","Partially Effective")</f>
        <v>Fully Effective</v>
      </c>
      <c r="J37" s="163"/>
      <c r="K37" s="157"/>
      <c r="L37" s="164" t="s">
        <v>100</v>
      </c>
      <c r="M37" s="123">
        <f>(M36-0.15-0.05*M34)/(M36)^2</f>
        <v>0.98756534391469797</v>
      </c>
      <c r="N37" s="123" t="s">
        <v>47</v>
      </c>
      <c r="O37" s="162" t="str">
        <f>IF(M37&gt;=1,"Fully Effective","Partially Effective")</f>
        <v>Partially Effective</v>
      </c>
      <c r="P37" s="165"/>
    </row>
    <row r="38" spans="6:31" ht="21" x14ac:dyDescent="0.2">
      <c r="F38" s="160" t="s">
        <v>267</v>
      </c>
      <c r="G38" s="123">
        <f>IF(G37&lt;=1,G37*(C20-2*C22-2*C23),(C20-2*C22-2*C23))</f>
        <v>140</v>
      </c>
      <c r="H38" s="123" t="s">
        <v>9</v>
      </c>
      <c r="I38" s="157"/>
      <c r="J38" s="157"/>
      <c r="K38" s="157"/>
      <c r="L38" s="123" t="s">
        <v>268</v>
      </c>
      <c r="M38" s="123">
        <f>IF(M37&lt;=1,M37*(C21-C22-C23),(C21-C22-C23))</f>
        <v>54.316093915308386</v>
      </c>
      <c r="N38" s="123" t="s">
        <v>9</v>
      </c>
      <c r="O38" s="157"/>
      <c r="P38" s="158"/>
    </row>
    <row r="39" spans="6:31" x14ac:dyDescent="0.2">
      <c r="F39" s="160" t="s">
        <v>104</v>
      </c>
      <c r="G39" s="123">
        <f>0.1*(C20-2*C22-2*C23-G38)</f>
        <v>0</v>
      </c>
      <c r="H39" s="123" t="s">
        <v>7</v>
      </c>
      <c r="I39" s="157"/>
      <c r="J39" s="157"/>
      <c r="K39" s="157"/>
      <c r="L39" s="123" t="s">
        <v>104</v>
      </c>
      <c r="M39" s="123">
        <f>0.1*(C21-C22-C23-M38)</f>
        <v>6.839060846916141E-2</v>
      </c>
      <c r="N39" s="123" t="s">
        <v>7</v>
      </c>
      <c r="O39" s="157"/>
      <c r="P39" s="158"/>
    </row>
    <row r="40" spans="6:31" x14ac:dyDescent="0.2">
      <c r="F40" s="166"/>
      <c r="G40" s="157"/>
      <c r="H40" s="157"/>
      <c r="I40" s="157"/>
      <c r="J40" s="157"/>
      <c r="K40" s="157"/>
      <c r="L40" s="157"/>
      <c r="M40" s="157"/>
      <c r="N40" s="157"/>
      <c r="O40" s="157"/>
      <c r="P40" s="158"/>
    </row>
    <row r="41" spans="6:31" x14ac:dyDescent="0.2">
      <c r="F41" s="166"/>
      <c r="G41" s="157"/>
      <c r="H41" s="157"/>
      <c r="I41" s="156" t="s">
        <v>105</v>
      </c>
      <c r="J41" s="156"/>
      <c r="K41" s="156"/>
      <c r="L41" s="157"/>
      <c r="M41" s="157"/>
      <c r="N41" s="157"/>
      <c r="O41" s="157"/>
      <c r="P41" s="158"/>
    </row>
    <row r="42" spans="6:31" ht="21.75" x14ac:dyDescent="0.2">
      <c r="F42" s="166"/>
      <c r="G42" s="157"/>
      <c r="H42" s="157"/>
      <c r="I42" s="123" t="s">
        <v>269</v>
      </c>
      <c r="J42" s="123">
        <f>C24-((M39*0.1*C22)*(0.1*(C20/2)-0.1*(C22/2))^2)</f>
        <v>409.61564615229446</v>
      </c>
      <c r="K42" s="123" t="s">
        <v>257</v>
      </c>
      <c r="L42" s="157"/>
      <c r="M42" s="157"/>
      <c r="N42" s="157"/>
      <c r="O42" s="157"/>
      <c r="P42" s="158"/>
    </row>
    <row r="43" spans="6:31" ht="22.5" thickBot="1" x14ac:dyDescent="0.25">
      <c r="F43" s="167"/>
      <c r="G43" s="168"/>
      <c r="H43" s="168"/>
      <c r="I43" s="169" t="s">
        <v>270</v>
      </c>
      <c r="J43" s="169">
        <f>C27-((M39*0.1*C22)*(0.1*C21-C30-0.5*M39)^2)</f>
        <v>42.735554690877059</v>
      </c>
      <c r="K43" s="169" t="s">
        <v>257</v>
      </c>
      <c r="L43" s="168"/>
      <c r="M43" s="168"/>
      <c r="N43" s="168"/>
      <c r="O43" s="168"/>
      <c r="P43" s="170"/>
    </row>
    <row r="46" spans="6:31" x14ac:dyDescent="0.2">
      <c r="F46" s="143" t="s">
        <v>106</v>
      </c>
      <c r="G46" s="143"/>
      <c r="K46" s="143" t="s">
        <v>107</v>
      </c>
      <c r="L46" s="143"/>
    </row>
    <row r="47" spans="6:31" ht="21" x14ac:dyDescent="0.2">
      <c r="F47" s="123" t="s">
        <v>271</v>
      </c>
      <c r="G47" s="123">
        <f>((I18/J42)*(0.1*C20/2)+(I19/J43)*(0.1*C21-C30))/(0.85*C10)</f>
        <v>0.84654537495106597</v>
      </c>
      <c r="H47" s="123" t="str">
        <f>IF(G47&lt;=1,"Safe","Unsafe")</f>
        <v>Safe</v>
      </c>
      <c r="K47" s="123" t="s">
        <v>108</v>
      </c>
      <c r="L47" s="123">
        <f>C20/C22</f>
        <v>40</v>
      </c>
      <c r="M47" s="123" t="str">
        <f>IF(L47&lt;=110.9/SQRT(C10),"Safe","Unsafe")</f>
        <v>Safe</v>
      </c>
    </row>
    <row r="48" spans="6:31" ht="21" x14ac:dyDescent="0.2">
      <c r="K48" s="123" t="s">
        <v>272</v>
      </c>
      <c r="L48" s="123">
        <f>I20/(0.85*0.6*C10*0.1*C20*0.1*C22)</f>
        <v>6.2492554300523064E-2</v>
      </c>
      <c r="M48" s="123" t="str">
        <f>IF(L48&lt;=1,"Safe","Unsafe")</f>
        <v>Safe</v>
      </c>
    </row>
    <row r="51" spans="9:12" x14ac:dyDescent="0.2">
      <c r="I51" s="143" t="s">
        <v>109</v>
      </c>
      <c r="J51" s="143"/>
    </row>
    <row r="52" spans="9:12" x14ac:dyDescent="0.2">
      <c r="I52" s="123" t="s">
        <v>58</v>
      </c>
      <c r="J52" s="123">
        <f>(5/384)*((K10*(C13^4))/(2100*J42))</f>
        <v>1.7212657371232152</v>
      </c>
      <c r="K52" s="123" t="s">
        <v>7</v>
      </c>
      <c r="L52" s="123" t="str">
        <f>IF(J52&lt;=(C13/200),"Safe","Unsafe")</f>
        <v>Safe</v>
      </c>
    </row>
    <row r="78" spans="1:2" x14ac:dyDescent="0.2">
      <c r="A78" s="171" t="s">
        <v>53</v>
      </c>
      <c r="B78" s="171"/>
    </row>
    <row r="80" spans="1:2" x14ac:dyDescent="0.2">
      <c r="A80" s="172" t="s">
        <v>54</v>
      </c>
      <c r="B80" s="172"/>
    </row>
    <row r="81" spans="1:9" ht="21" x14ac:dyDescent="0.2">
      <c r="A81" s="123" t="s">
        <v>273</v>
      </c>
      <c r="B81" s="123" t="e">
        <f>#REF!*C10</f>
        <v>#REF!</v>
      </c>
      <c r="C81" s="123" t="s">
        <v>20</v>
      </c>
      <c r="D81" s="173" t="s">
        <v>27</v>
      </c>
      <c r="E81" s="174" t="s">
        <v>274</v>
      </c>
      <c r="F81" s="174" t="e">
        <f>#REF!/(0.85*B81)</f>
        <v>#REF!</v>
      </c>
      <c r="G81" s="123" t="e">
        <f>IF(F81&lt;=1,"safe","unsafe")</f>
        <v>#REF!</v>
      </c>
    </row>
    <row r="82" spans="1:9" ht="21" x14ac:dyDescent="0.2">
      <c r="A82" s="123" t="s">
        <v>275</v>
      </c>
      <c r="B82" s="123">
        <f>C29*C10</f>
        <v>4.7759999999999998</v>
      </c>
      <c r="C82" s="123" t="s">
        <v>20</v>
      </c>
      <c r="D82" s="173"/>
      <c r="E82" s="174" t="s">
        <v>276</v>
      </c>
      <c r="F82" s="174" t="e">
        <f>#REF!/(0.85*B82)</f>
        <v>#REF!</v>
      </c>
      <c r="G82" s="123" t="e">
        <f>IF(F82&lt;=1,"safe","unsafe")</f>
        <v>#REF!</v>
      </c>
    </row>
    <row r="84" spans="1:9" ht="21" x14ac:dyDescent="0.2">
      <c r="A84" s="172" t="s">
        <v>52</v>
      </c>
      <c r="B84" s="172"/>
      <c r="F84" s="173" t="s">
        <v>27</v>
      </c>
      <c r="G84" s="123" t="s">
        <v>274</v>
      </c>
      <c r="H84" s="123" t="e">
        <f>IF(C13&lt;=C32,#REF!/(0.85*D85),IF(AND(C13&gt;C32,C13&lt;=C35),#REF!/(0.85*D86),IF(C13&gt;C35,#REF!/(0.85*D87))))</f>
        <v>#REF!</v>
      </c>
      <c r="I84" s="123" t="e">
        <f>IF(H84&lt;=1,"safe","unsafe")</f>
        <v>#REF!</v>
      </c>
    </row>
    <row r="85" spans="1:9" ht="21" x14ac:dyDescent="0.2">
      <c r="A85" s="145" t="s">
        <v>277</v>
      </c>
      <c r="B85" s="145"/>
      <c r="C85" s="123" t="s">
        <v>273</v>
      </c>
      <c r="D85" s="123" t="e">
        <f>#REF!*C10</f>
        <v>#REF!</v>
      </c>
      <c r="E85" s="123" t="s">
        <v>20</v>
      </c>
      <c r="F85" s="173"/>
      <c r="G85" s="123" t="s">
        <v>276</v>
      </c>
      <c r="H85" s="123">
        <f>IF(C13&lt;=C32,M31/(0.85*C29*C10),IF(AND(C13&gt;C32,C13&lt;=C35),M31/(0.85*C10*C28),IF(C13&gt;C35,M31/(0.85*C10*C28))))</f>
        <v>0</v>
      </c>
      <c r="I85" s="123" t="str">
        <f>IF(H85&lt;=1,"safe","unsafe")</f>
        <v>safe</v>
      </c>
    </row>
    <row r="86" spans="1:9" ht="21" x14ac:dyDescent="0.2">
      <c r="A86" s="145" t="s">
        <v>278</v>
      </c>
      <c r="B86" s="145"/>
      <c r="C86" s="123" t="s">
        <v>273</v>
      </c>
      <c r="D86" s="123" t="e">
        <f>(#REF!*C10)-((#REF!*C10-C25*0.75*C10)*((C13-C32)/(C35-C32)))</f>
        <v>#REF!</v>
      </c>
      <c r="E86" s="123" t="s">
        <v>20</v>
      </c>
      <c r="F86" s="173"/>
    </row>
    <row r="87" spans="1:9" ht="21" x14ac:dyDescent="0.2">
      <c r="A87" s="145" t="s">
        <v>279</v>
      </c>
      <c r="B87" s="145"/>
      <c r="C87" s="123" t="s">
        <v>273</v>
      </c>
      <c r="D87" s="123" t="e">
        <f>C25*SQRT(((1380*0.1*C21*0.1*C23)/(0.1*C20*C13))^2+(20700/(C13/C33)^2)^2)</f>
        <v>#DIV/0!</v>
      </c>
      <c r="E87" s="123" t="s">
        <v>20</v>
      </c>
    </row>
    <row r="90" spans="1:9" x14ac:dyDescent="0.2">
      <c r="A90" s="171" t="s">
        <v>56</v>
      </c>
      <c r="B90" s="171"/>
    </row>
    <row r="91" spans="1:9" ht="21" x14ac:dyDescent="0.2">
      <c r="A91" s="145" t="s">
        <v>280</v>
      </c>
      <c r="B91" s="145"/>
      <c r="C91" s="123" t="e">
        <f>#REF!/(0.8*0.6*C10*0.1*C20*0.1*#REF!)</f>
        <v>#REF!</v>
      </c>
      <c r="D91" s="123" t="e">
        <f>IF(C91&lt;=1,"safe","unsafe")</f>
        <v>#REF!</v>
      </c>
    </row>
    <row r="94" spans="1:9" x14ac:dyDescent="0.2">
      <c r="A94" s="171" t="s">
        <v>57</v>
      </c>
      <c r="B94" s="171"/>
    </row>
    <row r="95" spans="1:9" x14ac:dyDescent="0.2">
      <c r="A95" s="123" t="s">
        <v>58</v>
      </c>
      <c r="B95" s="123"/>
      <c r="C95" s="123"/>
    </row>
    <row r="97" spans="1:3" x14ac:dyDescent="0.2">
      <c r="A97" s="171" t="s">
        <v>62</v>
      </c>
      <c r="B97" s="171"/>
    </row>
    <row r="98" spans="1:3" x14ac:dyDescent="0.2">
      <c r="A98" s="123" t="s">
        <v>63</v>
      </c>
      <c r="B98" s="123"/>
      <c r="C98" s="123" t="s">
        <v>21</v>
      </c>
    </row>
    <row r="99" spans="1:3" ht="21" x14ac:dyDescent="0.2">
      <c r="A99" s="123" t="s">
        <v>281</v>
      </c>
      <c r="B99" s="123"/>
      <c r="C99" s="123" t="s">
        <v>21</v>
      </c>
    </row>
    <row r="100" spans="1:3" ht="21" x14ac:dyDescent="0.2">
      <c r="A100" s="123" t="s">
        <v>282</v>
      </c>
      <c r="B100" s="123"/>
      <c r="C100" s="123" t="s">
        <v>21</v>
      </c>
    </row>
  </sheetData>
  <mergeCells count="67">
    <mergeCell ref="O37:P37"/>
    <mergeCell ref="I41:K41"/>
    <mergeCell ref="F46:G46"/>
    <mergeCell ref="A26:B26"/>
    <mergeCell ref="A27:B27"/>
    <mergeCell ref="K27:N28"/>
    <mergeCell ref="J27:J28"/>
    <mergeCell ref="K46:L46"/>
    <mergeCell ref="F31:G32"/>
    <mergeCell ref="F33:G33"/>
    <mergeCell ref="F26:G26"/>
    <mergeCell ref="F27:G27"/>
    <mergeCell ref="I51:J51"/>
    <mergeCell ref="I37:J37"/>
    <mergeCell ref="L33:M33"/>
    <mergeCell ref="A24:B24"/>
    <mergeCell ref="A25:B25"/>
    <mergeCell ref="A28:B28"/>
    <mergeCell ref="F23:G24"/>
    <mergeCell ref="F28:G28"/>
    <mergeCell ref="A80:B80"/>
    <mergeCell ref="A29:B29"/>
    <mergeCell ref="A30:B30"/>
    <mergeCell ref="D81:D82"/>
    <mergeCell ref="A22:B22"/>
    <mergeCell ref="A23:B23"/>
    <mergeCell ref="A18:B18"/>
    <mergeCell ref="A19:B19"/>
    <mergeCell ref="A20:B20"/>
    <mergeCell ref="A21:B21"/>
    <mergeCell ref="A78:B78"/>
    <mergeCell ref="A90:B90"/>
    <mergeCell ref="A84:B84"/>
    <mergeCell ref="A85:B85"/>
    <mergeCell ref="F84:F86"/>
    <mergeCell ref="A86:B86"/>
    <mergeCell ref="A91:B91"/>
    <mergeCell ref="A94:B94"/>
    <mergeCell ref="A97:B97"/>
    <mergeCell ref="A87:B87"/>
    <mergeCell ref="AB2:AD2"/>
    <mergeCell ref="A6:B7"/>
    <mergeCell ref="C6:C7"/>
    <mergeCell ref="D6:D7"/>
    <mergeCell ref="C17:D17"/>
    <mergeCell ref="Y2:AA2"/>
    <mergeCell ref="C12:D12"/>
    <mergeCell ref="F6:G6"/>
    <mergeCell ref="A9:B9"/>
    <mergeCell ref="A8:B8"/>
    <mergeCell ref="C9:D9"/>
    <mergeCell ref="C8:D8"/>
    <mergeCell ref="A11:B11"/>
    <mergeCell ref="A10:B10"/>
    <mergeCell ref="A12:B12"/>
    <mergeCell ref="A17:B17"/>
    <mergeCell ref="W1:X1"/>
    <mergeCell ref="R2:R3"/>
    <mergeCell ref="N7:O7"/>
    <mergeCell ref="H17:I17"/>
    <mergeCell ref="J6:K6"/>
    <mergeCell ref="J7:K7"/>
    <mergeCell ref="S2:V2"/>
    <mergeCell ref="A13:B13"/>
    <mergeCell ref="A14:B14"/>
    <mergeCell ref="A15:B15"/>
    <mergeCell ref="A16:B16"/>
  </mergeCells>
  <phoneticPr fontId="2" type="noConversion"/>
  <conditionalFormatting sqref="H47 M47:M48 L52">
    <cfRule type="cellIs" dxfId="5" priority="2" operator="equal">
      <formula>"Safe"</formula>
    </cfRule>
  </conditionalFormatting>
  <conditionalFormatting sqref="H47 M47:M48 L52">
    <cfRule type="cellIs" dxfId="4" priority="1" operator="equal">
      <formula>"Unsafe"</formula>
    </cfRule>
  </conditionalFormatting>
  <dataValidations count="4">
    <dataValidation type="list" allowBlank="1" showInputMessage="1" showErrorMessage="1" sqref="C9" xr:uid="{1304CA30-BB19-4DFE-813B-EEA7ED77C3C7}">
      <formula1>$B$1:$B$3</formula1>
    </dataValidation>
    <dataValidation type="list" allowBlank="1" showInputMessage="1" showErrorMessage="1" sqref="C8:D8" xr:uid="{6CC0E31A-E59C-48DE-8E29-4FCF1C45017E}">
      <formula1>$G$1:$G$2</formula1>
    </dataValidation>
    <dataValidation type="list" allowBlank="1" showInputMessage="1" showErrorMessage="1" sqref="C12:D12" xr:uid="{B4D2C723-4F28-4E68-8152-5ADE9F4BC4F5}">
      <formula1>$C$1:$C$3</formula1>
    </dataValidation>
    <dataValidation type="list" allowBlank="1" showInputMessage="1" showErrorMessage="1" sqref="C17" xr:uid="{C58B6F65-B89C-45C8-A52E-895E9C26C7C0}">
      <formula1>$R$4:$R$33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5FAD-1510-4335-8A9B-067D0123200F}">
  <dimension ref="A1:AO57"/>
  <sheetViews>
    <sheetView tabSelected="1" workbookViewId="0">
      <selection activeCell="P4" sqref="P4"/>
    </sheetView>
  </sheetViews>
  <sheetFormatPr defaultRowHeight="19.5" x14ac:dyDescent="0.2"/>
  <cols>
    <col min="1" max="2" width="9" style="124"/>
    <col min="3" max="3" width="9.75" style="124" customWidth="1"/>
    <col min="4" max="6" width="9" style="124"/>
    <col min="7" max="7" width="12.125" style="124" customWidth="1"/>
    <col min="8" max="10" width="9" style="124"/>
    <col min="11" max="11" width="8.5" style="124" customWidth="1"/>
    <col min="12" max="12" width="9" style="124"/>
    <col min="13" max="13" width="10" style="124" customWidth="1"/>
    <col min="14" max="14" width="9" style="124" customWidth="1"/>
    <col min="15" max="15" width="9" style="124"/>
    <col min="16" max="16" width="9.125" style="124" customWidth="1"/>
    <col min="17" max="18" width="9" style="124"/>
    <col min="19" max="19" width="19.5" style="124" customWidth="1"/>
    <col min="20" max="16384" width="9" style="124"/>
  </cols>
  <sheetData>
    <row r="1" spans="1:33" x14ac:dyDescent="0.2">
      <c r="A1" s="124">
        <v>37</v>
      </c>
      <c r="C1" s="124">
        <v>0</v>
      </c>
      <c r="E1" s="124" t="s">
        <v>97</v>
      </c>
      <c r="G1" s="176" t="s">
        <v>59</v>
      </c>
      <c r="Y1" s="203" t="s">
        <v>131</v>
      </c>
      <c r="Z1" s="203"/>
    </row>
    <row r="2" spans="1:33" ht="18" customHeight="1" x14ac:dyDescent="0.2">
      <c r="A2" s="124">
        <v>44</v>
      </c>
      <c r="C2" s="124">
        <v>1</v>
      </c>
      <c r="G2" s="176" t="s">
        <v>60</v>
      </c>
      <c r="S2" s="178" t="s">
        <v>8</v>
      </c>
      <c r="T2" s="204" t="s">
        <v>152</v>
      </c>
      <c r="U2" s="205"/>
      <c r="V2" s="205"/>
      <c r="W2" s="205"/>
      <c r="X2" s="206"/>
      <c r="Y2" s="207" t="s">
        <v>16</v>
      </c>
      <c r="Z2" s="207" t="s">
        <v>30</v>
      </c>
      <c r="AA2" s="182" t="s">
        <v>153</v>
      </c>
      <c r="AB2" s="183"/>
      <c r="AC2" s="184"/>
      <c r="AD2" s="182" t="s">
        <v>147</v>
      </c>
      <c r="AE2" s="183"/>
      <c r="AF2" s="184"/>
      <c r="AG2" s="185" t="s">
        <v>96</v>
      </c>
    </row>
    <row r="3" spans="1:33" ht="22.5" x14ac:dyDescent="0.2">
      <c r="A3" s="124">
        <v>52</v>
      </c>
      <c r="C3" s="124">
        <v>2</v>
      </c>
      <c r="S3" s="186"/>
      <c r="T3" s="185" t="s">
        <v>10</v>
      </c>
      <c r="U3" s="185" t="s">
        <v>11</v>
      </c>
      <c r="V3" s="185" t="s">
        <v>154</v>
      </c>
      <c r="W3" s="185" t="s">
        <v>19</v>
      </c>
      <c r="X3" s="185" t="s">
        <v>18</v>
      </c>
      <c r="Y3" s="208" t="s">
        <v>284</v>
      </c>
      <c r="Z3" s="208" t="s">
        <v>156</v>
      </c>
      <c r="AA3" s="185" t="s">
        <v>285</v>
      </c>
      <c r="AB3" s="185" t="s">
        <v>286</v>
      </c>
      <c r="AC3" s="185" t="s">
        <v>287</v>
      </c>
      <c r="AD3" s="185" t="s">
        <v>288</v>
      </c>
      <c r="AE3" s="185" t="s">
        <v>289</v>
      </c>
      <c r="AF3" s="185" t="s">
        <v>290</v>
      </c>
      <c r="AG3" s="181" t="s">
        <v>163</v>
      </c>
    </row>
    <row r="4" spans="1:33" x14ac:dyDescent="0.2">
      <c r="S4" s="123" t="s">
        <v>111</v>
      </c>
      <c r="T4" s="195">
        <v>100</v>
      </c>
      <c r="U4" s="195">
        <v>40</v>
      </c>
      <c r="V4" s="195">
        <v>15</v>
      </c>
      <c r="W4" s="195">
        <v>3</v>
      </c>
      <c r="X4" s="195">
        <v>6</v>
      </c>
      <c r="Y4" s="197">
        <v>5.45</v>
      </c>
      <c r="Z4" s="198">
        <v>4.28</v>
      </c>
      <c r="AA4" s="198">
        <v>76.88</v>
      </c>
      <c r="AB4" s="198">
        <v>15.38</v>
      </c>
      <c r="AC4" s="198">
        <v>3.76</v>
      </c>
      <c r="AD4" s="198">
        <v>10.41</v>
      </c>
      <c r="AE4" s="198">
        <v>3.84</v>
      </c>
      <c r="AF4" s="198">
        <v>1.38</v>
      </c>
      <c r="AG4" s="198">
        <v>1.29</v>
      </c>
    </row>
    <row r="5" spans="1:33" ht="20.25" thickBot="1" x14ac:dyDescent="0.25">
      <c r="S5" s="123" t="s">
        <v>112</v>
      </c>
      <c r="T5" s="195">
        <v>140</v>
      </c>
      <c r="U5" s="195">
        <v>70</v>
      </c>
      <c r="V5" s="195">
        <v>30</v>
      </c>
      <c r="W5" s="195">
        <v>3</v>
      </c>
      <c r="X5" s="195">
        <v>6</v>
      </c>
      <c r="Y5" s="197">
        <v>9.35</v>
      </c>
      <c r="Z5" s="198">
        <v>7.34</v>
      </c>
      <c r="AA5" s="198">
        <v>280.23</v>
      </c>
      <c r="AB5" s="198">
        <v>40.03</v>
      </c>
      <c r="AC5" s="198">
        <v>5.47</v>
      </c>
      <c r="AD5" s="196">
        <v>67.3</v>
      </c>
      <c r="AE5" s="198">
        <v>15.44</v>
      </c>
      <c r="AF5" s="198">
        <v>2.68</v>
      </c>
      <c r="AG5" s="198">
        <v>2.64</v>
      </c>
    </row>
    <row r="6" spans="1:33" x14ac:dyDescent="0.2">
      <c r="A6" s="194" t="s">
        <v>0</v>
      </c>
      <c r="B6" s="194"/>
      <c r="C6" s="194" t="s">
        <v>1</v>
      </c>
      <c r="D6" s="194" t="s">
        <v>2</v>
      </c>
      <c r="F6" s="143" t="s">
        <v>29</v>
      </c>
      <c r="G6" s="143"/>
      <c r="J6" s="151" t="s">
        <v>37</v>
      </c>
      <c r="K6" s="152"/>
      <c r="L6" s="153"/>
      <c r="M6" s="153"/>
      <c r="N6" s="153"/>
      <c r="O6" s="153"/>
      <c r="P6" s="154"/>
      <c r="S6" s="123" t="s">
        <v>113</v>
      </c>
      <c r="T6" s="195">
        <v>160</v>
      </c>
      <c r="U6" s="195">
        <v>70</v>
      </c>
      <c r="V6" s="195">
        <v>30</v>
      </c>
      <c r="W6" s="195">
        <v>3</v>
      </c>
      <c r="X6" s="195">
        <v>6</v>
      </c>
      <c r="Y6" s="197">
        <v>9.9499999999999993</v>
      </c>
      <c r="Z6" s="198">
        <v>7.81</v>
      </c>
      <c r="AA6" s="198">
        <v>384.69</v>
      </c>
      <c r="AB6" s="198">
        <v>48.09</v>
      </c>
      <c r="AC6" s="198">
        <v>6.22</v>
      </c>
      <c r="AD6" s="196">
        <v>70.8</v>
      </c>
      <c r="AE6" s="196">
        <v>15.7</v>
      </c>
      <c r="AF6" s="198">
        <v>2.67</v>
      </c>
      <c r="AG6" s="198">
        <v>2.4900000000000002</v>
      </c>
    </row>
    <row r="7" spans="1:33" ht="21" x14ac:dyDescent="0.2">
      <c r="A7" s="194"/>
      <c r="B7" s="194"/>
      <c r="C7" s="194"/>
      <c r="D7" s="194"/>
      <c r="F7" s="123" t="s">
        <v>291</v>
      </c>
      <c r="G7" s="123">
        <f>(C18+C16*((0.01*C14)/COS(RADIANS(C15))))*10^-5</f>
        <v>2.0189838261402764E-4</v>
      </c>
      <c r="H7" s="123" t="s">
        <v>36</v>
      </c>
      <c r="J7" s="159" t="s">
        <v>38</v>
      </c>
      <c r="K7" s="128"/>
      <c r="L7" s="157"/>
      <c r="M7" s="157"/>
      <c r="N7" s="128" t="s">
        <v>40</v>
      </c>
      <c r="O7" s="128"/>
      <c r="P7" s="158"/>
      <c r="S7" s="123" t="s">
        <v>114</v>
      </c>
      <c r="T7" s="195">
        <v>160</v>
      </c>
      <c r="U7" s="195">
        <v>80</v>
      </c>
      <c r="V7" s="195">
        <v>34</v>
      </c>
      <c r="W7" s="195">
        <v>3</v>
      </c>
      <c r="X7" s="195">
        <v>6</v>
      </c>
      <c r="Y7" s="197">
        <v>10.79</v>
      </c>
      <c r="Z7" s="198">
        <v>8.4700000000000006</v>
      </c>
      <c r="AA7" s="196">
        <v>427.2</v>
      </c>
      <c r="AB7" s="196">
        <v>53.4</v>
      </c>
      <c r="AC7" s="198">
        <v>6.29</v>
      </c>
      <c r="AD7" s="196">
        <v>103.1</v>
      </c>
      <c r="AE7" s="198">
        <v>20.68</v>
      </c>
      <c r="AF7" s="198">
        <v>3.09</v>
      </c>
      <c r="AG7" s="198">
        <v>3.01</v>
      </c>
    </row>
    <row r="8" spans="1:33" ht="21.75" x14ac:dyDescent="0.2">
      <c r="A8" s="120" t="s">
        <v>61</v>
      </c>
      <c r="B8" s="121"/>
      <c r="C8" s="190" t="s">
        <v>60</v>
      </c>
      <c r="D8" s="191"/>
      <c r="F8" s="123" t="s">
        <v>292</v>
      </c>
      <c r="G8" s="123">
        <f>G7*COS(RADIANS(C15))</f>
        <v>2.0089660730545497E-4</v>
      </c>
      <c r="H8" s="123" t="s">
        <v>36</v>
      </c>
      <c r="J8" s="160" t="s">
        <v>39</v>
      </c>
      <c r="K8" s="123">
        <f>(10^-7)*IF(C8=G1,200-(250*TAN(RADIANS(C15))),60-(66.67*TAN(RADIANS(C15))))</f>
        <v>5.3333697082418045E-6</v>
      </c>
      <c r="L8" s="123" t="s">
        <v>293</v>
      </c>
      <c r="M8" s="157"/>
      <c r="N8" s="123" t="s">
        <v>294</v>
      </c>
      <c r="O8" s="123">
        <f>0.1*(C13/4)*COS(RADIANS(C15))</f>
        <v>24.875955505982461</v>
      </c>
      <c r="P8" s="192" t="s">
        <v>20</v>
      </c>
      <c r="S8" s="123" t="s">
        <v>115</v>
      </c>
      <c r="T8" s="195">
        <v>160</v>
      </c>
      <c r="U8" s="195">
        <v>80</v>
      </c>
      <c r="V8" s="195">
        <v>34</v>
      </c>
      <c r="W8" s="198">
        <v>3.65</v>
      </c>
      <c r="X8" s="195">
        <v>6</v>
      </c>
      <c r="Y8" s="197">
        <v>13.01</v>
      </c>
      <c r="Z8" s="198">
        <v>10.210000000000001</v>
      </c>
      <c r="AA8" s="198">
        <v>510.03</v>
      </c>
      <c r="AB8" s="198">
        <v>63.75</v>
      </c>
      <c r="AC8" s="198">
        <v>6.26</v>
      </c>
      <c r="AD8" s="198">
        <v>121.93</v>
      </c>
      <c r="AE8" s="198">
        <v>24.46</v>
      </c>
      <c r="AF8" s="198">
        <v>3.06</v>
      </c>
      <c r="AG8" s="198">
        <v>3.01</v>
      </c>
    </row>
    <row r="9" spans="1:33" ht="21" x14ac:dyDescent="0.2">
      <c r="A9" s="128" t="s">
        <v>4</v>
      </c>
      <c r="B9" s="128"/>
      <c r="C9" s="190">
        <v>37</v>
      </c>
      <c r="D9" s="191"/>
      <c r="F9" s="123" t="s">
        <v>295</v>
      </c>
      <c r="G9" s="123">
        <f>G7*SIN(RADIANS(C15))</f>
        <v>2.008756021317939E-5</v>
      </c>
      <c r="H9" s="123" t="s">
        <v>36</v>
      </c>
      <c r="J9" s="160" t="s">
        <v>296</v>
      </c>
      <c r="K9" s="123">
        <f>K8*C14</f>
        <v>1.0666739416483608E-3</v>
      </c>
      <c r="L9" s="123" t="s">
        <v>36</v>
      </c>
      <c r="M9" s="157"/>
      <c r="N9" s="123" t="s">
        <v>297</v>
      </c>
      <c r="O9" s="123">
        <f>0.1*(C13/4)*SIN(RADIANS(C15))</f>
        <v>2.4873354547348083</v>
      </c>
      <c r="P9" s="192" t="s">
        <v>20</v>
      </c>
      <c r="S9" s="123" t="s">
        <v>116</v>
      </c>
      <c r="T9" s="195">
        <v>160</v>
      </c>
      <c r="U9" s="195">
        <v>80</v>
      </c>
      <c r="V9" s="195">
        <v>30</v>
      </c>
      <c r="W9" s="195">
        <v>4</v>
      </c>
      <c r="X9" s="195">
        <v>6</v>
      </c>
      <c r="Y9" s="197">
        <v>13.87</v>
      </c>
      <c r="Z9" s="198">
        <v>10.89</v>
      </c>
      <c r="AA9" s="198">
        <v>545.86</v>
      </c>
      <c r="AB9" s="198">
        <v>68.23</v>
      </c>
      <c r="AC9" s="198">
        <v>6.27</v>
      </c>
      <c r="AD9" s="198">
        <v>124.07</v>
      </c>
      <c r="AE9" s="198">
        <v>24.35</v>
      </c>
      <c r="AF9" s="198">
        <v>2.99</v>
      </c>
      <c r="AG9" s="196">
        <v>2.9</v>
      </c>
    </row>
    <row r="10" spans="1:33" ht="21.75" x14ac:dyDescent="0.2">
      <c r="A10" s="128" t="s">
        <v>298</v>
      </c>
      <c r="B10" s="128"/>
      <c r="C10" s="123">
        <f>IF(C9=A1,2.4,IF(C9=A2,2.8,3.6))</f>
        <v>2.4</v>
      </c>
      <c r="D10" s="123" t="s">
        <v>293</v>
      </c>
      <c r="F10" s="123" t="s">
        <v>299</v>
      </c>
      <c r="G10" s="123">
        <f>G8*((C13)^2/8)</f>
        <v>25.112075913181872</v>
      </c>
      <c r="H10" s="123" t="s">
        <v>20</v>
      </c>
      <c r="J10" s="160" t="s">
        <v>300</v>
      </c>
      <c r="K10" s="123">
        <f>K9*COS(RADIANS(C15))</f>
        <v>1.0613813404734222E-3</v>
      </c>
      <c r="L10" s="123" t="s">
        <v>36</v>
      </c>
      <c r="M10" s="157"/>
      <c r="N10" s="123" t="s">
        <v>283</v>
      </c>
      <c r="O10" s="123">
        <f>(0.1/2)*COS(RADIANS(C15))</f>
        <v>4.9751911011964925E-2</v>
      </c>
      <c r="P10" s="192" t="s">
        <v>21</v>
      </c>
      <c r="S10" s="123" t="s">
        <v>117</v>
      </c>
      <c r="T10" s="195">
        <v>160</v>
      </c>
      <c r="U10" s="195">
        <v>80</v>
      </c>
      <c r="V10" s="195">
        <v>35</v>
      </c>
      <c r="W10" s="195">
        <v>4</v>
      </c>
      <c r="X10" s="195">
        <v>6</v>
      </c>
      <c r="Y10" s="197">
        <v>14.27</v>
      </c>
      <c r="Z10" s="196">
        <v>11.2</v>
      </c>
      <c r="AA10" s="196">
        <v>554.9</v>
      </c>
      <c r="AB10" s="198">
        <v>69.36</v>
      </c>
      <c r="AC10" s="198">
        <v>6.24</v>
      </c>
      <c r="AD10" s="198">
        <v>133.38999999999999</v>
      </c>
      <c r="AE10" s="196">
        <v>26.9</v>
      </c>
      <c r="AF10" s="198">
        <v>3.06</v>
      </c>
      <c r="AG10" s="198">
        <v>3.04</v>
      </c>
    </row>
    <row r="11" spans="1:33" ht="21.75" x14ac:dyDescent="0.2">
      <c r="A11" s="128" t="s">
        <v>301</v>
      </c>
      <c r="B11" s="128"/>
      <c r="C11" s="123">
        <f>IF(C9=A1,3.7,IF(C9=A2,4.4,5.2))</f>
        <v>3.7</v>
      </c>
      <c r="D11" s="123" t="s">
        <v>293</v>
      </c>
      <c r="F11" s="123" t="s">
        <v>302</v>
      </c>
      <c r="G11" s="123">
        <f>IF(C12=C1,G9*((C13)^2/8),IF(C12=C2,G9*((C13/2)^2/8),IF(C12=C3,G9*((C13/3)^2/8))))</f>
        <v>2.5109450266474238</v>
      </c>
      <c r="H11" s="123" t="s">
        <v>20</v>
      </c>
      <c r="J11" s="160" t="s">
        <v>303</v>
      </c>
      <c r="K11" s="123">
        <f>K9*SIN(RADIANS(C15))</f>
        <v>1.0612703654814785E-4</v>
      </c>
      <c r="L11" s="123" t="s">
        <v>36</v>
      </c>
      <c r="M11" s="157"/>
      <c r="N11" s="157"/>
      <c r="O11" s="157"/>
      <c r="P11" s="158"/>
      <c r="S11" s="123" t="s">
        <v>118</v>
      </c>
      <c r="T11" s="195">
        <v>180</v>
      </c>
      <c r="U11" s="195">
        <v>80</v>
      </c>
      <c r="V11" s="195">
        <v>25</v>
      </c>
      <c r="W11" s="196">
        <v>3.6</v>
      </c>
      <c r="X11" s="195">
        <v>6</v>
      </c>
      <c r="Y11" s="197">
        <v>12.91</v>
      </c>
      <c r="Z11" s="198">
        <v>11.14</v>
      </c>
      <c r="AA11" s="198">
        <v>642.27</v>
      </c>
      <c r="AB11" s="198">
        <v>71.36</v>
      </c>
      <c r="AC11" s="198">
        <v>7.05</v>
      </c>
      <c r="AD11" s="198">
        <v>109.29</v>
      </c>
      <c r="AE11" s="196">
        <v>20.3</v>
      </c>
      <c r="AF11" s="198">
        <v>2.91</v>
      </c>
      <c r="AG11" s="198">
        <v>2.62</v>
      </c>
    </row>
    <row r="12" spans="1:33" ht="21" x14ac:dyDescent="0.2">
      <c r="A12" s="128" t="s">
        <v>17</v>
      </c>
      <c r="B12" s="128"/>
      <c r="C12" s="190">
        <v>0</v>
      </c>
      <c r="D12" s="191"/>
      <c r="F12" s="123" t="s">
        <v>304</v>
      </c>
      <c r="G12" s="123">
        <f>G8*(C13/2)</f>
        <v>0.10044830365272749</v>
      </c>
      <c r="H12" s="123" t="s">
        <v>21</v>
      </c>
      <c r="J12" s="160" t="s">
        <v>294</v>
      </c>
      <c r="K12" s="123">
        <f>K10*(C13^2/8)</f>
        <v>132.67266755917777</v>
      </c>
      <c r="L12" s="123" t="s">
        <v>20</v>
      </c>
      <c r="M12" s="157"/>
      <c r="N12" s="193" t="s">
        <v>41</v>
      </c>
      <c r="O12" s="157"/>
      <c r="P12" s="158"/>
      <c r="S12" s="123" t="s">
        <v>119</v>
      </c>
      <c r="T12" s="195">
        <v>180</v>
      </c>
      <c r="U12" s="195">
        <v>80</v>
      </c>
      <c r="V12" s="195">
        <v>25</v>
      </c>
      <c r="W12" s="195">
        <v>4</v>
      </c>
      <c r="X12" s="195">
        <v>6</v>
      </c>
      <c r="Y12" s="197">
        <v>14.27</v>
      </c>
      <c r="Z12" s="196">
        <v>11.2</v>
      </c>
      <c r="AA12" s="196">
        <v>705.6</v>
      </c>
      <c r="AB12" s="196">
        <v>78.400000000000006</v>
      </c>
      <c r="AC12" s="198">
        <v>7.03</v>
      </c>
      <c r="AD12" s="198">
        <v>119.15</v>
      </c>
      <c r="AE12" s="198">
        <v>22.13</v>
      </c>
      <c r="AF12" s="198">
        <v>2.89</v>
      </c>
      <c r="AG12" s="198">
        <v>2.62</v>
      </c>
    </row>
    <row r="13" spans="1:33" ht="21" x14ac:dyDescent="0.2">
      <c r="A13" s="128" t="s">
        <v>305</v>
      </c>
      <c r="B13" s="128"/>
      <c r="C13" s="122">
        <v>1000</v>
      </c>
      <c r="D13" s="123" t="s">
        <v>7</v>
      </c>
      <c r="J13" s="160" t="s">
        <v>297</v>
      </c>
      <c r="K13" s="123">
        <f>IF(C12=C1,K11*((C13)^2/8),IF(C12=C2,K11*((C13/2)^2/8),IF(C12=C3,K11*((C13/3)^2/8))))</f>
        <v>13.26587956851848</v>
      </c>
      <c r="L13" s="123" t="s">
        <v>20</v>
      </c>
      <c r="M13" s="157"/>
      <c r="N13" s="123" t="s">
        <v>294</v>
      </c>
      <c r="O13" s="123">
        <f>MAX(K12,O8)</f>
        <v>132.67266755917777</v>
      </c>
      <c r="P13" s="192" t="s">
        <v>20</v>
      </c>
      <c r="S13" s="123" t="s">
        <v>120</v>
      </c>
      <c r="T13" s="195">
        <v>100</v>
      </c>
      <c r="U13" s="195">
        <v>50</v>
      </c>
      <c r="V13" s="195">
        <v>20</v>
      </c>
      <c r="W13" s="195">
        <v>2</v>
      </c>
      <c r="X13" s="195">
        <v>6</v>
      </c>
      <c r="Y13" s="197">
        <v>4.33</v>
      </c>
      <c r="Z13" s="196">
        <v>3.4</v>
      </c>
      <c r="AA13" s="198">
        <v>65.92</v>
      </c>
      <c r="AB13" s="198">
        <v>13.18</v>
      </c>
      <c r="AC13" s="196">
        <v>3.9</v>
      </c>
      <c r="AD13" s="198">
        <v>15.36</v>
      </c>
      <c r="AE13" s="198">
        <v>4.8499999999999996</v>
      </c>
      <c r="AF13" s="198">
        <v>1.88</v>
      </c>
      <c r="AG13" s="198">
        <v>1.84</v>
      </c>
    </row>
    <row r="14" spans="1:33" ht="21" x14ac:dyDescent="0.2">
      <c r="A14" s="120" t="s">
        <v>33</v>
      </c>
      <c r="B14" s="121"/>
      <c r="C14" s="122">
        <v>200</v>
      </c>
      <c r="D14" s="123" t="s">
        <v>7</v>
      </c>
      <c r="J14" s="160" t="s">
        <v>283</v>
      </c>
      <c r="K14" s="123">
        <f>K10*(C13/2)</f>
        <v>0.53069067023671113</v>
      </c>
      <c r="L14" s="123" t="s">
        <v>21</v>
      </c>
      <c r="M14" s="157"/>
      <c r="N14" s="123" t="s">
        <v>297</v>
      </c>
      <c r="O14" s="123">
        <f>IF(K12&gt;O8,K13,O9)</f>
        <v>13.26587956851848</v>
      </c>
      <c r="P14" s="192" t="s">
        <v>20</v>
      </c>
      <c r="S14" s="123" t="s">
        <v>121</v>
      </c>
      <c r="T14" s="195">
        <v>200</v>
      </c>
      <c r="U14" s="195">
        <v>60</v>
      </c>
      <c r="V14" s="195">
        <v>20</v>
      </c>
      <c r="W14" s="195">
        <v>2</v>
      </c>
      <c r="X14" s="195">
        <v>6</v>
      </c>
      <c r="Y14" s="197">
        <v>6.73</v>
      </c>
      <c r="Z14" s="198">
        <v>5.28</v>
      </c>
      <c r="AA14" s="198">
        <v>386.55</v>
      </c>
      <c r="AB14" s="198">
        <v>38.659999999999997</v>
      </c>
      <c r="AC14" s="198">
        <v>7.58</v>
      </c>
      <c r="AD14" s="198">
        <v>30.47</v>
      </c>
      <c r="AE14" s="198">
        <v>6.96</v>
      </c>
      <c r="AF14" s="198">
        <v>2.13</v>
      </c>
      <c r="AG14" s="198">
        <v>1.62</v>
      </c>
    </row>
    <row r="15" spans="1:33" ht="21.75" thickBot="1" x14ac:dyDescent="0.25">
      <c r="A15" s="77" t="s">
        <v>34</v>
      </c>
      <c r="B15" s="78"/>
      <c r="C15" s="122">
        <v>5.71</v>
      </c>
      <c r="D15" s="123" t="s">
        <v>35</v>
      </c>
      <c r="J15" s="167"/>
      <c r="K15" s="168"/>
      <c r="L15" s="168"/>
      <c r="M15" s="168"/>
      <c r="N15" s="169" t="s">
        <v>283</v>
      </c>
      <c r="O15" s="169">
        <f>IF(OR(K12&gt;O8,K13&gt;O9),K14,O10)</f>
        <v>0.53069067023671113</v>
      </c>
      <c r="P15" s="175" t="s">
        <v>21</v>
      </c>
      <c r="S15" s="123" t="s">
        <v>122</v>
      </c>
      <c r="T15" s="195">
        <v>250</v>
      </c>
      <c r="U15" s="195">
        <v>70</v>
      </c>
      <c r="V15" s="195">
        <v>20</v>
      </c>
      <c r="W15" s="195">
        <v>2</v>
      </c>
      <c r="X15" s="195">
        <v>6</v>
      </c>
      <c r="Y15" s="197">
        <v>8.1300000000000008</v>
      </c>
      <c r="Z15" s="198">
        <v>6.38</v>
      </c>
      <c r="AA15" s="198">
        <v>723.51</v>
      </c>
      <c r="AB15" s="198">
        <v>57.88</v>
      </c>
      <c r="AC15" s="198">
        <v>9.43</v>
      </c>
      <c r="AD15" s="198">
        <v>47.56</v>
      </c>
      <c r="AE15" s="198">
        <v>9.0500000000000007</v>
      </c>
      <c r="AF15" s="198">
        <v>2.42</v>
      </c>
      <c r="AG15" s="198">
        <v>1.74</v>
      </c>
    </row>
    <row r="16" spans="1:33" ht="21.75" x14ac:dyDescent="0.2">
      <c r="A16" s="120" t="s">
        <v>32</v>
      </c>
      <c r="B16" s="121"/>
      <c r="C16" s="122">
        <v>6</v>
      </c>
      <c r="D16" s="123" t="s">
        <v>251</v>
      </c>
      <c r="S16" s="123" t="s">
        <v>123</v>
      </c>
      <c r="T16" s="195">
        <v>185</v>
      </c>
      <c r="U16" s="195">
        <v>60</v>
      </c>
      <c r="V16" s="195">
        <v>25</v>
      </c>
      <c r="W16" s="196">
        <v>1.5</v>
      </c>
      <c r="X16" s="195">
        <v>6</v>
      </c>
      <c r="Y16" s="197">
        <v>5</v>
      </c>
      <c r="Z16" s="198">
        <v>3.93</v>
      </c>
      <c r="AA16" s="198">
        <v>251.81</v>
      </c>
      <c r="AB16" s="198">
        <v>27.22</v>
      </c>
      <c r="AC16" s="198">
        <v>7.09</v>
      </c>
      <c r="AD16" s="196">
        <v>25.6</v>
      </c>
      <c r="AE16" s="198">
        <v>6.12</v>
      </c>
      <c r="AF16" s="198">
        <v>2.2599999999999998</v>
      </c>
      <c r="AG16" s="198">
        <v>1.82</v>
      </c>
    </row>
    <row r="17" spans="1:33" x14ac:dyDescent="0.3">
      <c r="A17" s="128" t="s">
        <v>8</v>
      </c>
      <c r="B17" s="128"/>
      <c r="C17" s="129" t="s">
        <v>122</v>
      </c>
      <c r="D17" s="130"/>
      <c r="H17" s="199" t="s">
        <v>48</v>
      </c>
      <c r="I17" s="199"/>
      <c r="S17" s="123" t="s">
        <v>124</v>
      </c>
      <c r="T17" s="195">
        <v>185</v>
      </c>
      <c r="U17" s="195">
        <v>60</v>
      </c>
      <c r="V17" s="196">
        <v>26.4</v>
      </c>
      <c r="W17" s="195">
        <v>2</v>
      </c>
      <c r="X17" s="195">
        <v>6</v>
      </c>
      <c r="Y17" s="197">
        <v>6.69</v>
      </c>
      <c r="Z17" s="198">
        <v>5.25</v>
      </c>
      <c r="AA17" s="198">
        <v>333.19</v>
      </c>
      <c r="AB17" s="198">
        <v>36.020000000000003</v>
      </c>
      <c r="AC17" s="198">
        <v>7.06</v>
      </c>
      <c r="AD17" s="198">
        <v>34.090000000000003</v>
      </c>
      <c r="AE17" s="198">
        <v>8.2200000000000006</v>
      </c>
      <c r="AF17" s="198">
        <v>2.2599999999999998</v>
      </c>
      <c r="AG17" s="198">
        <v>1.85</v>
      </c>
    </row>
    <row r="18" spans="1:33" ht="21" x14ac:dyDescent="0.2">
      <c r="A18" s="128" t="s">
        <v>30</v>
      </c>
      <c r="B18" s="128"/>
      <c r="C18" s="123">
        <f>VLOOKUP(C17,table3,7,FALSE)</f>
        <v>8.1300000000000008</v>
      </c>
      <c r="D18" s="123" t="s">
        <v>31</v>
      </c>
      <c r="H18" s="123" t="s">
        <v>252</v>
      </c>
      <c r="I18" s="136">
        <f>1.2*G10+1.6*O13</f>
        <v>242.41075919050269</v>
      </c>
      <c r="J18" s="123" t="s">
        <v>20</v>
      </c>
      <c r="S18" s="123" t="s">
        <v>125</v>
      </c>
      <c r="T18" s="195">
        <v>185</v>
      </c>
      <c r="U18" s="195">
        <v>60</v>
      </c>
      <c r="V18" s="196">
        <v>27.7</v>
      </c>
      <c r="W18" s="196">
        <v>2.5</v>
      </c>
      <c r="X18" s="195">
        <v>6</v>
      </c>
      <c r="Y18" s="197">
        <v>8.36</v>
      </c>
      <c r="Z18" s="198">
        <v>6.56</v>
      </c>
      <c r="AA18" s="198">
        <v>412.99</v>
      </c>
      <c r="AB18" s="198">
        <v>44.65</v>
      </c>
      <c r="AC18" s="198">
        <v>7.03</v>
      </c>
      <c r="AD18" s="198">
        <v>42.46</v>
      </c>
      <c r="AE18" s="198">
        <v>10.32</v>
      </c>
      <c r="AF18" s="198">
        <v>2.25</v>
      </c>
      <c r="AG18" s="198">
        <v>1.89</v>
      </c>
    </row>
    <row r="19" spans="1:33" ht="21.75" x14ac:dyDescent="0.2">
      <c r="A19" s="120" t="s">
        <v>16</v>
      </c>
      <c r="B19" s="121"/>
      <c r="C19" s="123">
        <f>VLOOKUP(C17,table3,8,FALSE)</f>
        <v>6.38</v>
      </c>
      <c r="D19" s="123" t="s">
        <v>253</v>
      </c>
      <c r="H19" s="123" t="s">
        <v>254</v>
      </c>
      <c r="I19" s="136">
        <f>1.2*G11+1.6*O14</f>
        <v>24.238541341606478</v>
      </c>
      <c r="J19" s="123" t="s">
        <v>20</v>
      </c>
      <c r="S19" s="123" t="s">
        <v>126</v>
      </c>
      <c r="T19" s="195">
        <v>185</v>
      </c>
      <c r="U19" s="195">
        <v>60</v>
      </c>
      <c r="V19" s="196">
        <v>29.1</v>
      </c>
      <c r="W19" s="195">
        <v>3</v>
      </c>
      <c r="X19" s="195">
        <v>6</v>
      </c>
      <c r="Y19" s="197">
        <v>10.050000000000001</v>
      </c>
      <c r="Z19" s="198">
        <v>7.89</v>
      </c>
      <c r="AA19" s="198">
        <v>491.57</v>
      </c>
      <c r="AB19" s="198">
        <v>53.14</v>
      </c>
      <c r="AC19" s="195">
        <v>7</v>
      </c>
      <c r="AD19" s="198">
        <v>50.82</v>
      </c>
      <c r="AE19" s="198">
        <v>12.46</v>
      </c>
      <c r="AF19" s="198">
        <v>2.25</v>
      </c>
      <c r="AG19" s="198">
        <v>1.92</v>
      </c>
    </row>
    <row r="20" spans="1:33" ht="21" x14ac:dyDescent="0.2">
      <c r="A20" s="120" t="s">
        <v>102</v>
      </c>
      <c r="B20" s="121"/>
      <c r="C20" s="123">
        <f>VLOOKUP(C17,table3,2,FALSE)</f>
        <v>250</v>
      </c>
      <c r="D20" s="123" t="s">
        <v>9</v>
      </c>
      <c r="H20" s="123" t="s">
        <v>255</v>
      </c>
      <c r="I20" s="136">
        <f>1.2*G12+1.6*O15</f>
        <v>0.96964303676201091</v>
      </c>
      <c r="J20" s="123" t="s">
        <v>21</v>
      </c>
      <c r="S20" s="123" t="s">
        <v>127</v>
      </c>
      <c r="T20" s="195">
        <v>215</v>
      </c>
      <c r="U20" s="195">
        <v>60</v>
      </c>
      <c r="V20" s="195">
        <v>25</v>
      </c>
      <c r="W20" s="196">
        <v>1.5</v>
      </c>
      <c r="X20" s="195">
        <v>6</v>
      </c>
      <c r="Y20" s="197">
        <v>5.46</v>
      </c>
      <c r="Z20" s="198">
        <v>4.29</v>
      </c>
      <c r="AA20" s="198">
        <v>360.67</v>
      </c>
      <c r="AB20" s="198">
        <v>33.549999999999997</v>
      </c>
      <c r="AC20" s="198">
        <v>8.1300000000000008</v>
      </c>
      <c r="AD20" s="198">
        <v>26.86</v>
      </c>
      <c r="AE20" s="198">
        <v>6.21</v>
      </c>
      <c r="AF20" s="198">
        <v>2.2200000000000002</v>
      </c>
      <c r="AG20" s="198">
        <v>1.67</v>
      </c>
    </row>
    <row r="21" spans="1:33" x14ac:dyDescent="0.2">
      <c r="A21" s="120" t="s">
        <v>103</v>
      </c>
      <c r="B21" s="121"/>
      <c r="C21" s="123">
        <f>VLOOKUP(C17,table3,3,FALSE)</f>
        <v>70</v>
      </c>
      <c r="D21" s="123" t="s">
        <v>9</v>
      </c>
      <c r="S21" s="123" t="s">
        <v>128</v>
      </c>
      <c r="T21" s="195">
        <v>215</v>
      </c>
      <c r="U21" s="195">
        <v>60</v>
      </c>
      <c r="V21" s="196">
        <v>26.4</v>
      </c>
      <c r="W21" s="195">
        <v>2</v>
      </c>
      <c r="X21" s="195">
        <v>6</v>
      </c>
      <c r="Y21" s="197">
        <v>7.29</v>
      </c>
      <c r="Z21" s="198">
        <v>5.72</v>
      </c>
      <c r="AA21" s="198">
        <v>477.98</v>
      </c>
      <c r="AB21" s="198">
        <v>44.46</v>
      </c>
      <c r="AC21" s="196">
        <v>8.1</v>
      </c>
      <c r="AD21" s="198">
        <v>35.79</v>
      </c>
      <c r="AE21" s="198">
        <v>8.34</v>
      </c>
      <c r="AF21" s="198">
        <v>2.21</v>
      </c>
      <c r="AG21" s="196">
        <v>1.7</v>
      </c>
    </row>
    <row r="22" spans="1:33" x14ac:dyDescent="0.2">
      <c r="A22" s="120" t="s">
        <v>132</v>
      </c>
      <c r="B22" s="121"/>
      <c r="C22" s="123">
        <f>VLOOKUP(C17,table3,4,FALSE)</f>
        <v>20</v>
      </c>
      <c r="D22" s="123" t="s">
        <v>9</v>
      </c>
      <c r="S22" s="123" t="s">
        <v>129</v>
      </c>
      <c r="T22" s="195">
        <v>215</v>
      </c>
      <c r="U22" s="195">
        <v>60</v>
      </c>
      <c r="V22" s="196">
        <v>27.7</v>
      </c>
      <c r="W22" s="196">
        <v>2.5</v>
      </c>
      <c r="X22" s="195">
        <v>6</v>
      </c>
      <c r="Y22" s="197">
        <v>9.11</v>
      </c>
      <c r="Z22" s="198">
        <v>7.15</v>
      </c>
      <c r="AA22" s="198">
        <v>593.41</v>
      </c>
      <c r="AB22" s="196">
        <v>55.2</v>
      </c>
      <c r="AC22" s="198">
        <v>8.07</v>
      </c>
      <c r="AD22" s="198">
        <v>44.59</v>
      </c>
      <c r="AE22" s="198">
        <v>10.47</v>
      </c>
      <c r="AF22" s="198">
        <v>2.21</v>
      </c>
      <c r="AG22" s="198">
        <v>1.74</v>
      </c>
    </row>
    <row r="23" spans="1:33" x14ac:dyDescent="0.2">
      <c r="A23" s="120" t="s">
        <v>19</v>
      </c>
      <c r="B23" s="121"/>
      <c r="C23" s="123">
        <f>VLOOKUP(C17,table3,5,FALSE)</f>
        <v>2</v>
      </c>
      <c r="D23" s="123" t="s">
        <v>9</v>
      </c>
      <c r="F23" s="142" t="s">
        <v>22</v>
      </c>
      <c r="G23" s="142"/>
      <c r="S23" s="123" t="s">
        <v>130</v>
      </c>
      <c r="T23" s="195">
        <v>215</v>
      </c>
      <c r="U23" s="195">
        <v>60</v>
      </c>
      <c r="V23" s="196">
        <v>29.1</v>
      </c>
      <c r="W23" s="195">
        <v>3</v>
      </c>
      <c r="X23" s="195">
        <v>6</v>
      </c>
      <c r="Y23" s="197">
        <v>10.95</v>
      </c>
      <c r="Z23" s="198">
        <v>8.59</v>
      </c>
      <c r="AA23" s="198">
        <v>707.49</v>
      </c>
      <c r="AB23" s="198">
        <v>65.81</v>
      </c>
      <c r="AC23" s="198">
        <v>8.0399999999999991</v>
      </c>
      <c r="AD23" s="198">
        <v>53.41</v>
      </c>
      <c r="AE23" s="198">
        <v>12.64</v>
      </c>
      <c r="AF23" s="198">
        <v>2.21</v>
      </c>
      <c r="AG23" s="198">
        <v>1.78</v>
      </c>
    </row>
    <row r="24" spans="1:33" x14ac:dyDescent="0.2">
      <c r="A24" s="120" t="s">
        <v>18</v>
      </c>
      <c r="B24" s="121"/>
      <c r="C24" s="123">
        <f>VLOOKUP(C17,table3,6,FALSE)</f>
        <v>6</v>
      </c>
      <c r="D24" s="123" t="s">
        <v>9</v>
      </c>
      <c r="F24" s="142"/>
      <c r="G24" s="142"/>
    </row>
    <row r="25" spans="1:33" ht="21.75" x14ac:dyDescent="0.2">
      <c r="A25" s="120" t="s">
        <v>256</v>
      </c>
      <c r="B25" s="121"/>
      <c r="C25" s="123">
        <f>VLOOKUP(C17,table3,9,FALSE)</f>
        <v>723.51</v>
      </c>
      <c r="D25" s="123" t="s">
        <v>257</v>
      </c>
    </row>
    <row r="26" spans="1:33" ht="21.75" x14ac:dyDescent="0.2">
      <c r="A26" s="120" t="s">
        <v>258</v>
      </c>
      <c r="B26" s="121"/>
      <c r="C26" s="123">
        <f>VLOOKUP(C17,table3,10,FALSE)</f>
        <v>57.88</v>
      </c>
      <c r="D26" s="123" t="s">
        <v>259</v>
      </c>
      <c r="F26" s="143" t="s">
        <v>23</v>
      </c>
      <c r="G26" s="143"/>
    </row>
    <row r="27" spans="1:33" ht="21" x14ac:dyDescent="0.2">
      <c r="A27" s="120" t="s">
        <v>260</v>
      </c>
      <c r="B27" s="121"/>
      <c r="C27" s="123">
        <f>VLOOKUP(C17,table3,11,FALSE)</f>
        <v>9.43</v>
      </c>
      <c r="D27" s="123" t="s">
        <v>7</v>
      </c>
      <c r="F27" s="144" t="s">
        <v>142</v>
      </c>
      <c r="G27" s="144"/>
      <c r="H27" s="123">
        <f>(C20-2*C23-2*C24)/C23</f>
        <v>117</v>
      </c>
      <c r="I27" s="123" t="str">
        <f>IF(H27&lt;=200,"Ok")</f>
        <v>Ok</v>
      </c>
      <c r="J27" s="145" t="s">
        <v>27</v>
      </c>
      <c r="K27" s="200" t="str">
        <f>IF(AND(I27=E1,I28=E1),"The Section satisfies Code Limits")</f>
        <v>The Section satisfies Code Limits</v>
      </c>
      <c r="L27" s="201"/>
      <c r="M27" s="201"/>
      <c r="N27" s="201"/>
      <c r="O27" s="201"/>
    </row>
    <row r="28" spans="1:33" ht="21.75" x14ac:dyDescent="0.2">
      <c r="A28" s="120" t="s">
        <v>261</v>
      </c>
      <c r="B28" s="121"/>
      <c r="C28" s="123">
        <f>VLOOKUP(C17,table3,12,FALSE)</f>
        <v>47.56</v>
      </c>
      <c r="D28" s="123" t="s">
        <v>257</v>
      </c>
      <c r="F28" s="144" t="s">
        <v>141</v>
      </c>
      <c r="G28" s="144"/>
      <c r="H28" s="123">
        <f>(C21-2*C23-2*C24)/C23</f>
        <v>27</v>
      </c>
      <c r="I28" s="123" t="str">
        <f>IF(H28&lt;=40,"Ok")</f>
        <v>Ok</v>
      </c>
      <c r="J28" s="145"/>
      <c r="K28" s="200"/>
      <c r="L28" s="201"/>
      <c r="M28" s="201"/>
      <c r="N28" s="201"/>
      <c r="O28" s="201"/>
    </row>
    <row r="29" spans="1:33" ht="21.75" x14ac:dyDescent="0.2">
      <c r="A29" s="120" t="s">
        <v>263</v>
      </c>
      <c r="B29" s="121"/>
      <c r="C29" s="123">
        <f>VLOOKUP(C17,table3,13,FALSE)</f>
        <v>9.0500000000000007</v>
      </c>
      <c r="D29" s="123" t="s">
        <v>259</v>
      </c>
      <c r="F29" s="145" t="s">
        <v>138</v>
      </c>
      <c r="G29" s="145"/>
      <c r="H29" s="123">
        <f>(C22-C23-C24)/C23</f>
        <v>6</v>
      </c>
      <c r="I29" s="123" t="str">
        <f>IF(H29&lt;=40,"Ok")</f>
        <v>Ok</v>
      </c>
      <c r="J29" s="145"/>
      <c r="K29" s="200"/>
      <c r="L29" s="201"/>
      <c r="M29" s="201"/>
      <c r="N29" s="201"/>
      <c r="O29" s="201"/>
    </row>
    <row r="30" spans="1:33" ht="21.75" thickBot="1" x14ac:dyDescent="0.25">
      <c r="A30" s="120" t="s">
        <v>265</v>
      </c>
      <c r="B30" s="121"/>
      <c r="C30" s="123">
        <f>VLOOKUP(C17,table3,14,FALSE)</f>
        <v>2.42</v>
      </c>
      <c r="D30" s="123" t="s">
        <v>7</v>
      </c>
    </row>
    <row r="31" spans="1:33" x14ac:dyDescent="0.2">
      <c r="A31" s="120" t="s">
        <v>96</v>
      </c>
      <c r="B31" s="121"/>
      <c r="C31" s="123">
        <f>VLOOKUP(C17,table3,15,FALSE)</f>
        <v>1.74</v>
      </c>
      <c r="D31" s="123" t="s">
        <v>7</v>
      </c>
      <c r="F31" s="151" t="s">
        <v>98</v>
      </c>
      <c r="G31" s="152"/>
      <c r="H31" s="153"/>
      <c r="I31" s="153"/>
      <c r="J31" s="153"/>
      <c r="K31" s="153"/>
      <c r="L31" s="153"/>
      <c r="M31" s="153"/>
      <c r="N31" s="153"/>
      <c r="O31" s="153"/>
      <c r="P31" s="154"/>
    </row>
    <row r="32" spans="1:33" x14ac:dyDescent="0.2">
      <c r="F32" s="155"/>
      <c r="G32" s="156"/>
      <c r="H32" s="157"/>
      <c r="I32" s="157"/>
      <c r="J32" s="157"/>
      <c r="K32" s="157"/>
      <c r="L32" s="157"/>
      <c r="M32" s="157"/>
      <c r="N32" s="157"/>
      <c r="O32" s="157"/>
      <c r="P32" s="158"/>
    </row>
    <row r="33" spans="6:16" x14ac:dyDescent="0.2">
      <c r="F33" s="159" t="s">
        <v>95</v>
      </c>
      <c r="G33" s="128"/>
      <c r="H33" s="157"/>
      <c r="I33" s="157"/>
      <c r="J33" s="157"/>
      <c r="K33" s="157"/>
      <c r="L33" s="128" t="s">
        <v>101</v>
      </c>
      <c r="M33" s="128"/>
      <c r="N33" s="157"/>
      <c r="O33" s="157"/>
      <c r="P33" s="158"/>
    </row>
    <row r="34" spans="6:16" x14ac:dyDescent="0.2">
      <c r="F34" s="160" t="s">
        <v>193</v>
      </c>
      <c r="G34" s="122">
        <v>-1</v>
      </c>
      <c r="H34" s="123" t="s">
        <v>47</v>
      </c>
      <c r="I34" s="157"/>
      <c r="J34" s="157"/>
      <c r="K34" s="157"/>
      <c r="L34" s="123" t="s">
        <v>193</v>
      </c>
      <c r="M34" s="122">
        <v>1</v>
      </c>
      <c r="N34" s="123" t="s">
        <v>47</v>
      </c>
      <c r="O34" s="157"/>
      <c r="P34" s="158"/>
    </row>
    <row r="35" spans="6:16" x14ac:dyDescent="0.2">
      <c r="F35" s="160" t="s">
        <v>99</v>
      </c>
      <c r="G35" s="122">
        <v>23.9</v>
      </c>
      <c r="H35" s="123" t="s">
        <v>47</v>
      </c>
      <c r="I35" s="157"/>
      <c r="J35" s="157"/>
      <c r="K35" s="157"/>
      <c r="L35" s="123" t="s">
        <v>139</v>
      </c>
      <c r="M35" s="123">
        <f>1.28*SQRT(2100/C10)</f>
        <v>37.862910611837542</v>
      </c>
      <c r="N35" s="123" t="s">
        <v>47</v>
      </c>
      <c r="O35" s="157"/>
      <c r="P35" s="158"/>
    </row>
    <row r="36" spans="6:16" ht="21" x14ac:dyDescent="0.2">
      <c r="F36" s="160" t="s">
        <v>266</v>
      </c>
      <c r="G36" s="123">
        <f>(((C20-2*C23-2*C24)/C23)/44)*SQRT(C10/G35)</f>
        <v>0.84263570131802745</v>
      </c>
      <c r="H36" s="123" t="s">
        <v>47</v>
      </c>
      <c r="I36" s="157"/>
      <c r="J36" s="157"/>
      <c r="K36" s="157"/>
      <c r="L36" s="123" t="s">
        <v>140</v>
      </c>
      <c r="M36" s="123">
        <f>(C21-2*C23-2*C24)/C23</f>
        <v>27</v>
      </c>
      <c r="N36" s="123" t="s">
        <v>47</v>
      </c>
      <c r="O36" s="157"/>
      <c r="P36" s="158"/>
    </row>
    <row r="37" spans="6:16" x14ac:dyDescent="0.2">
      <c r="F37" s="161" t="s">
        <v>100</v>
      </c>
      <c r="G37" s="123">
        <f>(G36-0.15-0.05*G34)/(G36)^2</f>
        <v>1.0459143276312384</v>
      </c>
      <c r="H37" s="123" t="s">
        <v>47</v>
      </c>
      <c r="I37" s="162" t="str">
        <f>IF(G37&gt;=1,"Fully Effective","Partially Effective")</f>
        <v>Fully Effective</v>
      </c>
      <c r="J37" s="163"/>
      <c r="K37" s="157"/>
      <c r="L37" s="123" t="s">
        <v>145</v>
      </c>
      <c r="M37" s="123">
        <f>C22/(C21-2*C23-2*C24)</f>
        <v>0.37037037037037035</v>
      </c>
      <c r="N37" s="123" t="s">
        <v>47</v>
      </c>
      <c r="O37" s="157"/>
      <c r="P37" s="158"/>
    </row>
    <row r="38" spans="6:16" ht="21.75" x14ac:dyDescent="0.2">
      <c r="F38" s="160" t="s">
        <v>267</v>
      </c>
      <c r="G38" s="123">
        <f>IF(G37&lt;=1,G37*(C20-2*C23-2*C24),(C20-2*C23-2*C24))</f>
        <v>234</v>
      </c>
      <c r="H38" s="123" t="s">
        <v>9</v>
      </c>
      <c r="I38" s="157"/>
      <c r="J38" s="157"/>
      <c r="K38" s="157"/>
      <c r="L38" s="123" t="s">
        <v>143</v>
      </c>
      <c r="M38" s="123">
        <f>IF(AND(M36&lt;=(M35/3),M37&lt;=0.25),0,IF(AND(M36&gt;(M35/3),M36&lt;M35),399*(((M36/M35)-0.33)^3*C23^4),IF(M36&gt;=M35,(115*(M36/M35)+5)*C23^4)))</f>
        <v>358.94309363019124</v>
      </c>
      <c r="N38" s="123" t="s">
        <v>306</v>
      </c>
      <c r="O38" s="157"/>
      <c r="P38" s="158"/>
    </row>
    <row r="39" spans="6:16" ht="21.75" x14ac:dyDescent="0.2">
      <c r="F39" s="160" t="s">
        <v>104</v>
      </c>
      <c r="G39" s="123">
        <f>0.1*(C20-2*C23-2*C24-G38)</f>
        <v>0</v>
      </c>
      <c r="H39" s="123" t="s">
        <v>7</v>
      </c>
      <c r="I39" s="157"/>
      <c r="J39" s="157"/>
      <c r="K39" s="157"/>
      <c r="L39" s="123" t="s">
        <v>144</v>
      </c>
      <c r="M39" s="123">
        <f>(C23*(C22-C23-C24)^3)/12</f>
        <v>288</v>
      </c>
      <c r="N39" s="123" t="s">
        <v>306</v>
      </c>
      <c r="O39" s="157"/>
      <c r="P39" s="158"/>
    </row>
    <row r="40" spans="6:16" x14ac:dyDescent="0.2">
      <c r="F40" s="166"/>
      <c r="G40" s="157"/>
      <c r="H40" s="157"/>
      <c r="I40" s="157"/>
      <c r="J40" s="157"/>
      <c r="K40" s="157"/>
      <c r="L40" s="123" t="s">
        <v>99</v>
      </c>
      <c r="M40" s="123">
        <f>IF(AND(M36&gt;(M35/3),M36&lt;M35,M37&lt;=0.25),MIN(3.57*SQRT(M39/M38)+0.43,4),IF(AND(M36&gt;(M35/3),M36&lt;M35,M37&gt;0.25,M37&lt;=0.8),MIN((4.82-5*M37)*SQRT(M39/M38)+0.43,5.25-5*M37),IF(AND(M36&gt;=M35,M37&lt;=0.25),MIN(3.57*((M39/M38)^1/3)+0.43,4),IF(AND(M36&gt;=M35,M37&gt;0.25,M37&lt;=0.8),MIN((4.82-5*M37)*((M39/M38)^1/3)+0.43,5.25-5*M37)))))</f>
        <v>3.0886980500213275</v>
      </c>
      <c r="N40" s="123" t="s">
        <v>47</v>
      </c>
      <c r="O40" s="157"/>
      <c r="P40" s="158"/>
    </row>
    <row r="41" spans="6:16" ht="21" x14ac:dyDescent="0.2">
      <c r="F41" s="159" t="s">
        <v>110</v>
      </c>
      <c r="G41" s="128"/>
      <c r="H41" s="157"/>
      <c r="I41" s="157"/>
      <c r="J41" s="157"/>
      <c r="K41" s="157"/>
      <c r="L41" s="123" t="s">
        <v>266</v>
      </c>
      <c r="M41" s="123">
        <f>(((C21-2*C23-2*C24)/C23)/44)*SQRT(C10/M40)</f>
        <v>0.54091494599044554</v>
      </c>
      <c r="N41" s="123" t="s">
        <v>47</v>
      </c>
      <c r="O41" s="157"/>
      <c r="P41" s="158"/>
    </row>
    <row r="42" spans="6:16" x14ac:dyDescent="0.2">
      <c r="F42" s="161" t="s">
        <v>100</v>
      </c>
      <c r="G42" s="122">
        <v>1</v>
      </c>
      <c r="H42" s="123" t="s">
        <v>47</v>
      </c>
      <c r="I42" s="162" t="str">
        <f>IF(G42&gt;=1,"Fully Effective","Partially Effective")</f>
        <v>Fully Effective</v>
      </c>
      <c r="J42" s="163"/>
      <c r="K42" s="157"/>
      <c r="L42" s="164" t="s">
        <v>100</v>
      </c>
      <c r="M42" s="123">
        <f>(M41-0.15-0.05*M34)/(M41)^2</f>
        <v>1.1651667379731288</v>
      </c>
      <c r="N42" s="123" t="s">
        <v>47</v>
      </c>
      <c r="O42" s="162" t="str">
        <f>IF(M42&gt;=1,"Fully Effective","Partially Effective")</f>
        <v>Fully Effective</v>
      </c>
      <c r="P42" s="165"/>
    </row>
    <row r="43" spans="6:16" ht="21" x14ac:dyDescent="0.2">
      <c r="F43" s="160" t="s">
        <v>307</v>
      </c>
      <c r="G43" s="123">
        <f>G42*(C22-C23-C24)</f>
        <v>12</v>
      </c>
      <c r="H43" s="123" t="s">
        <v>9</v>
      </c>
      <c r="I43" s="157"/>
      <c r="J43" s="157"/>
      <c r="K43" s="157"/>
      <c r="L43" s="123" t="s">
        <v>268</v>
      </c>
      <c r="M43" s="123">
        <f>IF(M42&lt;=1,M42*(C21-2*C23-2*C24),(C21-2*C23-2*C24))</f>
        <v>54</v>
      </c>
      <c r="N43" s="123" t="s">
        <v>9</v>
      </c>
      <c r="O43" s="157"/>
      <c r="P43" s="158"/>
    </row>
    <row r="44" spans="6:16" x14ac:dyDescent="0.2">
      <c r="F44" s="166"/>
      <c r="G44" s="157"/>
      <c r="H44" s="157"/>
      <c r="I44" s="157"/>
      <c r="J44" s="157"/>
      <c r="K44" s="157"/>
      <c r="L44" s="123" t="s">
        <v>104</v>
      </c>
      <c r="M44" s="123">
        <f>0.1*(C21-2*C23-2*C24-M43)</f>
        <v>0</v>
      </c>
      <c r="N44" s="123" t="s">
        <v>7</v>
      </c>
      <c r="O44" s="157"/>
      <c r="P44" s="158"/>
    </row>
    <row r="45" spans="6:16" x14ac:dyDescent="0.2">
      <c r="F45" s="166"/>
      <c r="G45" s="157"/>
      <c r="H45" s="157"/>
      <c r="I45" s="157"/>
      <c r="J45" s="157"/>
      <c r="K45" s="157"/>
      <c r="L45" s="157"/>
      <c r="M45" s="157"/>
      <c r="N45" s="157"/>
      <c r="O45" s="157"/>
      <c r="P45" s="158"/>
    </row>
    <row r="46" spans="6:16" x14ac:dyDescent="0.2">
      <c r="F46" s="166"/>
      <c r="G46" s="157"/>
      <c r="H46" s="157"/>
      <c r="I46" s="202" t="s">
        <v>105</v>
      </c>
      <c r="J46" s="202"/>
      <c r="K46" s="202"/>
      <c r="L46" s="157"/>
      <c r="M46" s="157"/>
      <c r="N46" s="157"/>
      <c r="O46" s="157"/>
      <c r="P46" s="158"/>
    </row>
    <row r="47" spans="6:16" ht="21.75" x14ac:dyDescent="0.2">
      <c r="F47" s="166"/>
      <c r="G47" s="157"/>
      <c r="H47" s="157"/>
      <c r="I47" s="123" t="s">
        <v>269</v>
      </c>
      <c r="J47" s="123">
        <f>C25-((M44*0.1*C23)*(0.1*(C20/2)-0.1*(C23/2))^2)</f>
        <v>723.51</v>
      </c>
      <c r="K47" s="123" t="s">
        <v>257</v>
      </c>
      <c r="L47" s="157"/>
      <c r="M47" s="157"/>
      <c r="N47" s="157"/>
      <c r="O47" s="157"/>
      <c r="P47" s="158"/>
    </row>
    <row r="48" spans="6:16" ht="22.5" thickBot="1" x14ac:dyDescent="0.25">
      <c r="F48" s="167"/>
      <c r="G48" s="168"/>
      <c r="H48" s="168"/>
      <c r="I48" s="169" t="s">
        <v>270</v>
      </c>
      <c r="J48" s="169">
        <f>C28-((M44*0.1*C23)*(0.1*C21-C31-0.5*M44)^2)</f>
        <v>47.56</v>
      </c>
      <c r="K48" s="169" t="s">
        <v>257</v>
      </c>
      <c r="L48" s="168"/>
      <c r="M48" s="168"/>
      <c r="N48" s="168"/>
      <c r="O48" s="168"/>
      <c r="P48" s="170"/>
    </row>
    <row r="51" spans="5:41" x14ac:dyDescent="0.2">
      <c r="E51" s="143" t="s">
        <v>106</v>
      </c>
      <c r="F51" s="143"/>
      <c r="I51" s="143" t="s">
        <v>107</v>
      </c>
      <c r="J51" s="143"/>
      <c r="M51" s="143" t="s">
        <v>109</v>
      </c>
      <c r="N51" s="143"/>
    </row>
    <row r="52" spans="5:41" ht="21" x14ac:dyDescent="0.2">
      <c r="E52" s="123" t="s">
        <v>271</v>
      </c>
      <c r="F52" s="123">
        <f>((I18/J47)*(0.1*C20/2)+(I19/J48)*(0.1*C21-C31))/(0.85*C10)</f>
        <v>3.3670669035669105</v>
      </c>
      <c r="G52" s="123" t="str">
        <f>IF(F52&lt;=1,"Safe","Unsafe")</f>
        <v>Unsafe</v>
      </c>
      <c r="I52" s="123" t="s">
        <v>108</v>
      </c>
      <c r="J52" s="123">
        <f>C20/C23</f>
        <v>125</v>
      </c>
      <c r="K52" s="123" t="str">
        <f>IF(J52&lt;=110.9/SQRT(C10),"Safe","Unsafe")</f>
        <v>Unsafe</v>
      </c>
      <c r="M52" s="123" t="s">
        <v>58</v>
      </c>
      <c r="N52" s="123">
        <f>(5/384)*((K10*(C13^4))/(2100*J47))</f>
        <v>9.0959150447220285</v>
      </c>
      <c r="O52" s="123" t="s">
        <v>7</v>
      </c>
      <c r="P52" s="123" t="str">
        <f>IF(N52&lt;=(C13/200),"Safe","Unsafe")</f>
        <v>Unsafe</v>
      </c>
    </row>
    <row r="53" spans="5:41" ht="21" x14ac:dyDescent="0.2">
      <c r="I53" s="123" t="s">
        <v>272</v>
      </c>
      <c r="J53" s="123">
        <f>I20/(0.85*0.6*C10*0.1*C20*0.1*C23)</f>
        <v>0.15843840469967496</v>
      </c>
      <c r="K53" s="123" t="str">
        <f>IF(J53&lt;=1,"Safe","Unsafe")</f>
        <v>Safe</v>
      </c>
    </row>
    <row r="54" spans="5:41" x14ac:dyDescent="0.2"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</row>
    <row r="55" spans="5:41" x14ac:dyDescent="0.2"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</row>
    <row r="56" spans="5:41" x14ac:dyDescent="0.2"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</row>
    <row r="57" spans="5:41" x14ac:dyDescent="0.2"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</row>
  </sheetData>
  <mergeCells count="59">
    <mergeCell ref="Y1:Z1"/>
    <mergeCell ref="T2:X2"/>
    <mergeCell ref="A22:B22"/>
    <mergeCell ref="S2:S3"/>
    <mergeCell ref="F28:G28"/>
    <mergeCell ref="F6:G6"/>
    <mergeCell ref="J6:K6"/>
    <mergeCell ref="J7:K7"/>
    <mergeCell ref="N7:O7"/>
    <mergeCell ref="A21:B21"/>
    <mergeCell ref="A23:B23"/>
    <mergeCell ref="A24:B24"/>
    <mergeCell ref="A25:B25"/>
    <mergeCell ref="H17:I17"/>
    <mergeCell ref="F23:G24"/>
    <mergeCell ref="O42:P42"/>
    <mergeCell ref="I46:K46"/>
    <mergeCell ref="E51:F51"/>
    <mergeCell ref="I51:J51"/>
    <mergeCell ref="F31:G32"/>
    <mergeCell ref="F33:G33"/>
    <mergeCell ref="M51:N51"/>
    <mergeCell ref="F41:G41"/>
    <mergeCell ref="I42:J42"/>
    <mergeCell ref="L33:M33"/>
    <mergeCell ref="I37:J37"/>
    <mergeCell ref="A30:B30"/>
    <mergeCell ref="A31:B31"/>
    <mergeCell ref="A26:B26"/>
    <mergeCell ref="A27:B27"/>
    <mergeCell ref="F26:G26"/>
    <mergeCell ref="F27:G27"/>
    <mergeCell ref="AD2:AF2"/>
    <mergeCell ref="C17:D17"/>
    <mergeCell ref="A14:B14"/>
    <mergeCell ref="A6:B7"/>
    <mergeCell ref="C6:C7"/>
    <mergeCell ref="D6:D7"/>
    <mergeCell ref="A9:B9"/>
    <mergeCell ref="C9:D9"/>
    <mergeCell ref="A8:B8"/>
    <mergeCell ref="C8:D8"/>
    <mergeCell ref="A10:B10"/>
    <mergeCell ref="A11:B11"/>
    <mergeCell ref="A12:B12"/>
    <mergeCell ref="C12:D12"/>
    <mergeCell ref="A13:B13"/>
    <mergeCell ref="A15:B15"/>
    <mergeCell ref="AA2:AC2"/>
    <mergeCell ref="F29:G29"/>
    <mergeCell ref="J27:J29"/>
    <mergeCell ref="K27:O29"/>
    <mergeCell ref="A20:B20"/>
    <mergeCell ref="A16:B16"/>
    <mergeCell ref="A17:B17"/>
    <mergeCell ref="A18:B18"/>
    <mergeCell ref="A19:B19"/>
    <mergeCell ref="A28:B28"/>
    <mergeCell ref="A29:B29"/>
  </mergeCells>
  <phoneticPr fontId="2" type="noConversion"/>
  <conditionalFormatting sqref="G52 K52:K53 P52">
    <cfRule type="cellIs" dxfId="3" priority="2" operator="equal">
      <formula>"safe"</formula>
    </cfRule>
  </conditionalFormatting>
  <conditionalFormatting sqref="G52 K52:K53 P52">
    <cfRule type="cellIs" dxfId="2" priority="1" operator="equal">
      <formula>"unsafe"</formula>
    </cfRule>
  </conditionalFormatting>
  <dataValidations disablePrompts="1" count="4">
    <dataValidation type="list" allowBlank="1" showInputMessage="1" showErrorMessage="1" sqref="C12:D12" xr:uid="{9C9794B7-4160-4AC7-9BDF-86DEADC01D68}">
      <formula1>$C$1:$C$3</formula1>
    </dataValidation>
    <dataValidation type="list" allowBlank="1" showInputMessage="1" showErrorMessage="1" sqref="C8:D8" xr:uid="{6D0CF245-846A-42F7-91B3-5A334C26995C}">
      <formula1>$G$1:$G$2</formula1>
    </dataValidation>
    <dataValidation type="list" allowBlank="1" showInputMessage="1" showErrorMessage="1" sqref="C17" xr:uid="{DA8A7003-0290-45A6-AA7C-436642148787}">
      <formula1>$S$4:$S$23</formula1>
    </dataValidation>
    <dataValidation type="list" allowBlank="1" showInputMessage="1" showErrorMessage="1" sqref="C9" xr:uid="{32C1219D-70A8-43F7-A9EA-4C65183ABA60}">
      <formula1>$A$1:$A$3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346-5BCB-4B8D-BCAF-5EFC06F5EABF}">
  <dimension ref="A1:AN57"/>
  <sheetViews>
    <sheetView workbookViewId="0">
      <selection activeCell="F17" sqref="F17"/>
    </sheetView>
  </sheetViews>
  <sheetFormatPr defaultRowHeight="18.75" x14ac:dyDescent="0.2"/>
  <cols>
    <col min="1" max="2" width="9" style="1"/>
    <col min="3" max="3" width="9.75" style="1" customWidth="1"/>
    <col min="4" max="6" width="9" style="1"/>
    <col min="7" max="7" width="12.125" style="1" customWidth="1"/>
    <col min="8" max="10" width="9" style="1"/>
    <col min="11" max="11" width="8.5" style="1" customWidth="1"/>
    <col min="12" max="12" width="9" style="1"/>
    <col min="13" max="13" width="10" style="1" customWidth="1"/>
    <col min="14" max="15" width="9" style="1"/>
    <col min="16" max="16" width="9.125" style="1" customWidth="1"/>
    <col min="17" max="18" width="9" style="1"/>
    <col min="19" max="19" width="19.5" style="1" customWidth="1"/>
    <col min="20" max="16384" width="9" style="1"/>
  </cols>
  <sheetData>
    <row r="1" spans="1:32" x14ac:dyDescent="0.2">
      <c r="B1" s="1">
        <v>37</v>
      </c>
      <c r="C1" s="1">
        <v>0</v>
      </c>
      <c r="E1" s="1" t="s">
        <v>97</v>
      </c>
      <c r="G1" s="2" t="s">
        <v>59</v>
      </c>
      <c r="Y1" s="117" t="s">
        <v>146</v>
      </c>
      <c r="Z1" s="117"/>
    </row>
    <row r="2" spans="1:32" ht="18" customHeight="1" x14ac:dyDescent="0.2">
      <c r="B2" s="1">
        <v>44</v>
      </c>
      <c r="C2" s="1">
        <v>1</v>
      </c>
      <c r="G2" s="2" t="s">
        <v>60</v>
      </c>
      <c r="S2" s="94" t="s">
        <v>8</v>
      </c>
      <c r="T2" s="119" t="s">
        <v>152</v>
      </c>
      <c r="U2" s="119"/>
      <c r="V2" s="119"/>
      <c r="W2" s="119"/>
      <c r="X2" s="119"/>
      <c r="Y2" s="62" t="s">
        <v>16</v>
      </c>
      <c r="Z2" s="62" t="s">
        <v>30</v>
      </c>
      <c r="AA2" s="119" t="s">
        <v>153</v>
      </c>
      <c r="AB2" s="119"/>
      <c r="AC2" s="119"/>
      <c r="AD2" s="119" t="s">
        <v>147</v>
      </c>
      <c r="AE2" s="119"/>
      <c r="AF2" s="119"/>
    </row>
    <row r="3" spans="1:32" ht="19.5" x14ac:dyDescent="0.2">
      <c r="B3" s="1">
        <v>52</v>
      </c>
      <c r="C3" s="1">
        <v>2</v>
      </c>
      <c r="S3" s="108"/>
      <c r="T3" s="62" t="s">
        <v>10</v>
      </c>
      <c r="U3" s="62" t="s">
        <v>11</v>
      </c>
      <c r="V3" s="62" t="s">
        <v>154</v>
      </c>
      <c r="W3" s="62" t="s">
        <v>19</v>
      </c>
      <c r="X3" s="62" t="s">
        <v>18</v>
      </c>
      <c r="Y3" s="62" t="s">
        <v>244</v>
      </c>
      <c r="Z3" s="62" t="s">
        <v>156</v>
      </c>
      <c r="AA3" s="62" t="s">
        <v>245</v>
      </c>
      <c r="AB3" s="62" t="s">
        <v>246</v>
      </c>
      <c r="AC3" s="62" t="s">
        <v>247</v>
      </c>
      <c r="AD3" s="62" t="s">
        <v>248</v>
      </c>
      <c r="AE3" s="62" t="s">
        <v>249</v>
      </c>
      <c r="AF3" s="62" t="s">
        <v>250</v>
      </c>
    </row>
    <row r="4" spans="1:32" x14ac:dyDescent="0.2">
      <c r="S4" s="4" t="s">
        <v>120</v>
      </c>
      <c r="T4" s="63">
        <v>100</v>
      </c>
      <c r="U4" s="63">
        <v>50</v>
      </c>
      <c r="V4" s="63">
        <v>20</v>
      </c>
      <c r="W4" s="63">
        <v>2</v>
      </c>
      <c r="X4" s="63">
        <v>6</v>
      </c>
      <c r="Y4" s="64">
        <v>4.33</v>
      </c>
      <c r="Z4" s="65">
        <v>3.4</v>
      </c>
      <c r="AA4" s="64">
        <v>65.92</v>
      </c>
      <c r="AB4" s="64">
        <v>13.18</v>
      </c>
      <c r="AC4" s="65">
        <v>3.9</v>
      </c>
      <c r="AD4" s="65">
        <v>28.4</v>
      </c>
      <c r="AE4" s="65">
        <v>5.8</v>
      </c>
      <c r="AF4" s="64">
        <v>2.56</v>
      </c>
    </row>
    <row r="5" spans="1:32" ht="19.5" thickBot="1" x14ac:dyDescent="0.25">
      <c r="S5" s="4" t="s">
        <v>148</v>
      </c>
      <c r="T5" s="63">
        <v>150</v>
      </c>
      <c r="U5" s="63">
        <v>60</v>
      </c>
      <c r="V5" s="63">
        <v>20</v>
      </c>
      <c r="W5" s="63">
        <v>2</v>
      </c>
      <c r="X5" s="63">
        <v>6</v>
      </c>
      <c r="Y5" s="64">
        <v>5.73</v>
      </c>
      <c r="Z5" s="65">
        <v>4.5</v>
      </c>
      <c r="AA5" s="64">
        <v>195.22</v>
      </c>
      <c r="AB5" s="64">
        <v>26.03</v>
      </c>
      <c r="AC5" s="64">
        <v>5.84</v>
      </c>
      <c r="AD5" s="64">
        <v>46.04</v>
      </c>
      <c r="AE5" s="65">
        <v>7.8</v>
      </c>
      <c r="AF5" s="64">
        <v>2.83</v>
      </c>
    </row>
    <row r="6" spans="1:32" x14ac:dyDescent="0.2">
      <c r="A6" s="99" t="s">
        <v>0</v>
      </c>
      <c r="B6" s="99"/>
      <c r="C6" s="88" t="s">
        <v>1</v>
      </c>
      <c r="D6" s="88" t="s">
        <v>2</v>
      </c>
      <c r="F6" s="67" t="s">
        <v>29</v>
      </c>
      <c r="G6" s="67"/>
      <c r="J6" s="71" t="s">
        <v>37</v>
      </c>
      <c r="K6" s="72"/>
      <c r="L6" s="6"/>
      <c r="M6" s="6"/>
      <c r="N6" s="6"/>
      <c r="O6" s="6"/>
      <c r="P6" s="7"/>
      <c r="S6" s="4" t="s">
        <v>149</v>
      </c>
      <c r="T6" s="63">
        <v>150</v>
      </c>
      <c r="U6" s="63">
        <v>60</v>
      </c>
      <c r="V6" s="63">
        <v>20</v>
      </c>
      <c r="W6" s="65">
        <v>2.5</v>
      </c>
      <c r="X6" s="63">
        <v>6</v>
      </c>
      <c r="Y6" s="65">
        <v>7.1</v>
      </c>
      <c r="Z6" s="64">
        <v>5.58</v>
      </c>
      <c r="AA6" s="64">
        <v>239.74</v>
      </c>
      <c r="AB6" s="64">
        <v>31.97</v>
      </c>
      <c r="AC6" s="64">
        <v>5.81</v>
      </c>
      <c r="AD6" s="64">
        <v>55.66</v>
      </c>
      <c r="AE6" s="64">
        <v>9.4700000000000006</v>
      </c>
      <c r="AF6" s="65">
        <v>2.8</v>
      </c>
    </row>
    <row r="7" spans="1:32" ht="20.25" x14ac:dyDescent="0.2">
      <c r="A7" s="99"/>
      <c r="B7" s="99"/>
      <c r="C7" s="88"/>
      <c r="D7" s="88"/>
      <c r="F7" s="4" t="s">
        <v>164</v>
      </c>
      <c r="G7" s="4">
        <f>(C18+C16*((0.01*C14)/COS(RADIANS(C15))))*10^-5</f>
        <v>2.2159838261402763E-4</v>
      </c>
      <c r="H7" s="4" t="s">
        <v>36</v>
      </c>
      <c r="J7" s="100" t="s">
        <v>38</v>
      </c>
      <c r="K7" s="76"/>
      <c r="L7" s="8"/>
      <c r="M7" s="8"/>
      <c r="N7" s="76" t="s">
        <v>40</v>
      </c>
      <c r="O7" s="76"/>
      <c r="P7" s="9"/>
      <c r="S7" s="4" t="s">
        <v>121</v>
      </c>
      <c r="T7" s="63">
        <v>200</v>
      </c>
      <c r="U7" s="63">
        <v>60</v>
      </c>
      <c r="V7" s="63">
        <v>20</v>
      </c>
      <c r="W7" s="63">
        <v>2</v>
      </c>
      <c r="X7" s="63">
        <v>6</v>
      </c>
      <c r="Y7" s="64">
        <v>6.73</v>
      </c>
      <c r="Z7" s="64">
        <v>5.28</v>
      </c>
      <c r="AA7" s="64">
        <v>386.55</v>
      </c>
      <c r="AB7" s="64">
        <v>38.65</v>
      </c>
      <c r="AC7" s="64">
        <v>7.58</v>
      </c>
      <c r="AD7" s="64">
        <v>46.04</v>
      </c>
      <c r="AE7" s="65">
        <v>7.8</v>
      </c>
      <c r="AF7" s="64">
        <v>2.62</v>
      </c>
    </row>
    <row r="8" spans="1:32" ht="22.5" x14ac:dyDescent="0.2">
      <c r="A8" s="77" t="s">
        <v>61</v>
      </c>
      <c r="B8" s="78"/>
      <c r="C8" s="90" t="s">
        <v>60</v>
      </c>
      <c r="D8" s="91"/>
      <c r="F8" s="4" t="s">
        <v>165</v>
      </c>
      <c r="G8" s="4">
        <f>G7*COS(RADIANS(C15))</f>
        <v>2.2049886024416915E-4</v>
      </c>
      <c r="H8" s="4" t="s">
        <v>36</v>
      </c>
      <c r="J8" s="10" t="s">
        <v>39</v>
      </c>
      <c r="K8" s="4">
        <f>(10^-7)*IF(C8=G1,200-(250*TAN(RADIANS(C15))),60-(66.67*TAN(RADIANS(C15))))</f>
        <v>5.3333697082418045E-6</v>
      </c>
      <c r="L8" s="4" t="s">
        <v>166</v>
      </c>
      <c r="M8" s="8"/>
      <c r="N8" s="4" t="s">
        <v>167</v>
      </c>
      <c r="O8" s="4">
        <f>0.1*(C13/4)*COS(RADIANS(C15))</f>
        <v>24.875955505982461</v>
      </c>
      <c r="P8" s="11" t="s">
        <v>20</v>
      </c>
      <c r="S8" s="4" t="s">
        <v>150</v>
      </c>
      <c r="T8" s="63">
        <v>200</v>
      </c>
      <c r="U8" s="63">
        <v>60</v>
      </c>
      <c r="V8" s="63">
        <v>20</v>
      </c>
      <c r="W8" s="65">
        <v>2.5</v>
      </c>
      <c r="X8" s="63">
        <v>6</v>
      </c>
      <c r="Y8" s="64">
        <v>8.35</v>
      </c>
      <c r="Z8" s="64">
        <v>6.56</v>
      </c>
      <c r="AA8" s="64">
        <v>475.94</v>
      </c>
      <c r="AB8" s="64">
        <v>47.59</v>
      </c>
      <c r="AC8" s="64">
        <v>7.55</v>
      </c>
      <c r="AD8" s="64">
        <v>55.66</v>
      </c>
      <c r="AE8" s="64">
        <v>9.4700000000000006</v>
      </c>
      <c r="AF8" s="64">
        <v>2.58</v>
      </c>
    </row>
    <row r="9" spans="1:32" ht="20.25" x14ac:dyDescent="0.2">
      <c r="A9" s="76" t="s">
        <v>4</v>
      </c>
      <c r="B9" s="76"/>
      <c r="C9" s="90">
        <v>37</v>
      </c>
      <c r="D9" s="91"/>
      <c r="F9" s="4" t="s">
        <v>168</v>
      </c>
      <c r="G9" s="4">
        <f>G7*SIN(RADIANS(C15))</f>
        <v>2.204758055151042E-5</v>
      </c>
      <c r="H9" s="4" t="s">
        <v>36</v>
      </c>
      <c r="J9" s="10" t="s">
        <v>169</v>
      </c>
      <c r="K9" s="4">
        <f>K8*C14</f>
        <v>1.0666739416483608E-3</v>
      </c>
      <c r="L9" s="4" t="s">
        <v>36</v>
      </c>
      <c r="M9" s="8"/>
      <c r="N9" s="4" t="s">
        <v>170</v>
      </c>
      <c r="O9" s="4">
        <f>0.1*(C13/4)*SIN(RADIANS(C15))</f>
        <v>2.4873354547348083</v>
      </c>
      <c r="P9" s="11" t="s">
        <v>20</v>
      </c>
      <c r="S9" s="4" t="s">
        <v>122</v>
      </c>
      <c r="T9" s="63">
        <v>250</v>
      </c>
      <c r="U9" s="63">
        <v>70</v>
      </c>
      <c r="V9" s="63">
        <v>20</v>
      </c>
      <c r="W9" s="63">
        <v>2</v>
      </c>
      <c r="X9" s="63">
        <v>6</v>
      </c>
      <c r="Y9" s="64">
        <v>8.1300000000000008</v>
      </c>
      <c r="Z9" s="64">
        <v>6.38</v>
      </c>
      <c r="AA9" s="64">
        <v>723.51</v>
      </c>
      <c r="AB9" s="64">
        <v>57.88</v>
      </c>
      <c r="AC9" s="64">
        <v>9.43</v>
      </c>
      <c r="AD9" s="64">
        <v>69.53</v>
      </c>
      <c r="AE9" s="64">
        <v>10.08</v>
      </c>
      <c r="AF9" s="64">
        <v>2.92</v>
      </c>
    </row>
    <row r="10" spans="1:32" ht="22.5" x14ac:dyDescent="0.2">
      <c r="A10" s="76" t="s">
        <v>171</v>
      </c>
      <c r="B10" s="76"/>
      <c r="C10" s="4">
        <f>IF(C9=B1,2.4,IF(C9=B2,2.8,3.6))</f>
        <v>2.4</v>
      </c>
      <c r="D10" s="4" t="s">
        <v>166</v>
      </c>
      <c r="F10" s="4" t="s">
        <v>172</v>
      </c>
      <c r="G10" s="4">
        <f>G8*((C13)^2/8)</f>
        <v>27.562357530521144</v>
      </c>
      <c r="H10" s="4" t="s">
        <v>20</v>
      </c>
      <c r="J10" s="10" t="s">
        <v>173</v>
      </c>
      <c r="K10" s="4">
        <f>K9*COS(RADIANS(C15))</f>
        <v>1.0613813404734222E-3</v>
      </c>
      <c r="L10" s="4" t="s">
        <v>36</v>
      </c>
      <c r="M10" s="8"/>
      <c r="N10" s="4" t="s">
        <v>174</v>
      </c>
      <c r="O10" s="4">
        <f>(0.1/2)*COS(RADIANS(C15))</f>
        <v>4.9751911011964925E-2</v>
      </c>
      <c r="P10" s="11" t="s">
        <v>21</v>
      </c>
      <c r="S10" s="4" t="s">
        <v>151</v>
      </c>
      <c r="T10" s="63">
        <v>250</v>
      </c>
      <c r="U10" s="63">
        <v>70</v>
      </c>
      <c r="V10" s="63">
        <v>20</v>
      </c>
      <c r="W10" s="65">
        <v>2.5</v>
      </c>
      <c r="X10" s="63">
        <v>6</v>
      </c>
      <c r="Y10" s="65">
        <v>10.1</v>
      </c>
      <c r="Z10" s="64">
        <v>7.93</v>
      </c>
      <c r="AA10" s="64">
        <v>893.12</v>
      </c>
      <c r="AB10" s="64">
        <v>71.45</v>
      </c>
      <c r="AC10" s="65">
        <v>9.4</v>
      </c>
      <c r="AD10" s="64">
        <v>84.41</v>
      </c>
      <c r="AE10" s="64">
        <v>12.28</v>
      </c>
      <c r="AF10" s="64">
        <v>2.89</v>
      </c>
    </row>
    <row r="11" spans="1:32" ht="22.5" x14ac:dyDescent="0.2">
      <c r="A11" s="76" t="s">
        <v>175</v>
      </c>
      <c r="B11" s="76"/>
      <c r="C11" s="4">
        <f>IF(C9=B1,3.7,IF(C9=B2,4.4,5.2))</f>
        <v>3.7</v>
      </c>
      <c r="D11" s="4" t="s">
        <v>166</v>
      </c>
      <c r="F11" s="4" t="s">
        <v>176</v>
      </c>
      <c r="G11" s="4">
        <f>IF(C12=C1,G9*((C13)^2/8),IF(C12=C2,G9*((C13/2)^2/8),IF(C12=C3,G9*((C13/3)^2/8))))</f>
        <v>0.30621639654875576</v>
      </c>
      <c r="H11" s="4" t="s">
        <v>20</v>
      </c>
      <c r="J11" s="10" t="s">
        <v>177</v>
      </c>
      <c r="K11" s="4">
        <f>K9*SIN(RADIANS(C15))</f>
        <v>1.0612703654814785E-4</v>
      </c>
      <c r="L11" s="4" t="s">
        <v>36</v>
      </c>
      <c r="M11" s="8"/>
      <c r="N11" s="8"/>
      <c r="O11" s="8"/>
      <c r="P11" s="9"/>
    </row>
    <row r="12" spans="1:32" ht="20.25" x14ac:dyDescent="0.2">
      <c r="A12" s="76" t="s">
        <v>17</v>
      </c>
      <c r="B12" s="76"/>
      <c r="C12" s="90">
        <v>2</v>
      </c>
      <c r="D12" s="91"/>
      <c r="F12" s="4" t="s">
        <v>178</v>
      </c>
      <c r="G12" s="4">
        <f>G8*(C13/2)</f>
        <v>0.11024943012208457</v>
      </c>
      <c r="H12" s="4" t="s">
        <v>21</v>
      </c>
      <c r="J12" s="10" t="s">
        <v>167</v>
      </c>
      <c r="K12" s="4">
        <f>K10*(C13^2/8)</f>
        <v>132.67266755917777</v>
      </c>
      <c r="L12" s="4" t="s">
        <v>20</v>
      </c>
      <c r="M12" s="8"/>
      <c r="N12" s="12" t="s">
        <v>41</v>
      </c>
      <c r="O12" s="8"/>
      <c r="P12" s="9"/>
    </row>
    <row r="13" spans="1:32" ht="20.25" x14ac:dyDescent="0.2">
      <c r="A13" s="76" t="s">
        <v>179</v>
      </c>
      <c r="B13" s="76"/>
      <c r="C13" s="13">
        <v>1000</v>
      </c>
      <c r="D13" s="4" t="s">
        <v>7</v>
      </c>
      <c r="J13" s="10" t="s">
        <v>170</v>
      </c>
      <c r="K13" s="4">
        <f>IF(C12=C1,K11*((C13)^2/8),IF(C12=C2,K11*((C13/2)^2/8),IF(C12=C3,K11*((C13/3)^2/8))))</f>
        <v>1.4739866187242754</v>
      </c>
      <c r="L13" s="4" t="s">
        <v>20</v>
      </c>
      <c r="M13" s="8"/>
      <c r="N13" s="4" t="s">
        <v>167</v>
      </c>
      <c r="O13" s="4">
        <f>MAX(K12,O8)</f>
        <v>132.67266755917777</v>
      </c>
      <c r="P13" s="11" t="s">
        <v>20</v>
      </c>
    </row>
    <row r="14" spans="1:32" ht="20.25" x14ac:dyDescent="0.2">
      <c r="A14" s="77" t="s">
        <v>33</v>
      </c>
      <c r="B14" s="78"/>
      <c r="C14" s="13">
        <v>200</v>
      </c>
      <c r="D14" s="4" t="s">
        <v>7</v>
      </c>
      <c r="J14" s="10" t="s">
        <v>174</v>
      </c>
      <c r="K14" s="4">
        <f>K10*(C13/2)</f>
        <v>0.53069067023671113</v>
      </c>
      <c r="L14" s="4" t="s">
        <v>21</v>
      </c>
      <c r="M14" s="8"/>
      <c r="N14" s="4" t="s">
        <v>170</v>
      </c>
      <c r="O14" s="4">
        <f>IF(K12&gt;O8,K13,O9)</f>
        <v>1.4739866187242754</v>
      </c>
      <c r="P14" s="11" t="s">
        <v>20</v>
      </c>
    </row>
    <row r="15" spans="1:32" ht="21" thickBot="1" x14ac:dyDescent="0.25">
      <c r="A15" s="92" t="s">
        <v>34</v>
      </c>
      <c r="B15" s="93"/>
      <c r="C15" s="13">
        <v>5.71</v>
      </c>
      <c r="D15" s="4" t="s">
        <v>35</v>
      </c>
      <c r="J15" s="14"/>
      <c r="K15" s="15"/>
      <c r="L15" s="15"/>
      <c r="M15" s="15"/>
      <c r="N15" s="16" t="s">
        <v>174</v>
      </c>
      <c r="O15" s="16">
        <f>IF(OR(K12&gt;O8,K13&gt;O9),K14,O10)</f>
        <v>0.53069067023671113</v>
      </c>
      <c r="P15" s="17" t="s">
        <v>21</v>
      </c>
    </row>
    <row r="16" spans="1:32" ht="22.5" x14ac:dyDescent="0.2">
      <c r="A16" s="77" t="s">
        <v>32</v>
      </c>
      <c r="B16" s="78"/>
      <c r="C16" s="13">
        <v>6</v>
      </c>
      <c r="D16" s="4" t="s">
        <v>180</v>
      </c>
    </row>
    <row r="17" spans="1:16" x14ac:dyDescent="0.2">
      <c r="A17" s="76" t="s">
        <v>8</v>
      </c>
      <c r="B17" s="76"/>
      <c r="C17" s="90" t="s">
        <v>151</v>
      </c>
      <c r="D17" s="91"/>
      <c r="H17" s="118" t="s">
        <v>48</v>
      </c>
      <c r="I17" s="118"/>
    </row>
    <row r="18" spans="1:16" ht="20.25" x14ac:dyDescent="0.2">
      <c r="A18" s="76" t="s">
        <v>30</v>
      </c>
      <c r="B18" s="76"/>
      <c r="C18" s="4">
        <f>VLOOKUP(C17,table5,7,FALSE)</f>
        <v>10.1</v>
      </c>
      <c r="D18" s="4" t="s">
        <v>31</v>
      </c>
      <c r="H18" s="4" t="s">
        <v>181</v>
      </c>
      <c r="I18" s="18">
        <f>1.2*G10+1.6*O13</f>
        <v>245.35109713130981</v>
      </c>
      <c r="J18" s="4" t="s">
        <v>20</v>
      </c>
    </row>
    <row r="19" spans="1:16" ht="22.5" x14ac:dyDescent="0.2">
      <c r="A19" s="77" t="s">
        <v>16</v>
      </c>
      <c r="B19" s="78"/>
      <c r="C19" s="4">
        <f>VLOOKUP(C17,table5,8,FALSE)</f>
        <v>7.93</v>
      </c>
      <c r="D19" s="4" t="s">
        <v>182</v>
      </c>
      <c r="H19" s="4" t="s">
        <v>183</v>
      </c>
      <c r="I19" s="18">
        <f>1.2*G11+1.6*O14</f>
        <v>2.7258382658173472</v>
      </c>
      <c r="J19" s="4" t="s">
        <v>20</v>
      </c>
    </row>
    <row r="20" spans="1:16" ht="20.25" x14ac:dyDescent="0.2">
      <c r="A20" s="77" t="s">
        <v>102</v>
      </c>
      <c r="B20" s="78"/>
      <c r="C20" s="4">
        <f>VLOOKUP(C17,table5,2,FALSE)</f>
        <v>250</v>
      </c>
      <c r="D20" s="4" t="s">
        <v>9</v>
      </c>
      <c r="H20" s="4" t="s">
        <v>184</v>
      </c>
      <c r="I20" s="18">
        <f>1.2*G12+1.6*O15</f>
        <v>0.98140438852523937</v>
      </c>
      <c r="J20" s="4" t="s">
        <v>21</v>
      </c>
    </row>
    <row r="21" spans="1:16" x14ac:dyDescent="0.2">
      <c r="A21" s="77" t="s">
        <v>103</v>
      </c>
      <c r="B21" s="78"/>
      <c r="C21" s="4">
        <f>VLOOKUP(C17,table5,3,FALSE)</f>
        <v>70</v>
      </c>
      <c r="D21" s="4" t="s">
        <v>9</v>
      </c>
    </row>
    <row r="22" spans="1:16" x14ac:dyDescent="0.2">
      <c r="A22" s="77" t="s">
        <v>132</v>
      </c>
      <c r="B22" s="78"/>
      <c r="C22" s="4">
        <f>VLOOKUP(C17,table5,4,FALSE)</f>
        <v>20</v>
      </c>
      <c r="D22" s="4" t="s">
        <v>9</v>
      </c>
    </row>
    <row r="23" spans="1:16" x14ac:dyDescent="0.2">
      <c r="A23" s="77" t="s">
        <v>19</v>
      </c>
      <c r="B23" s="78"/>
      <c r="C23" s="4">
        <f>VLOOKUP(C17,table5,5,FALSE)</f>
        <v>2.5</v>
      </c>
      <c r="D23" s="4" t="s">
        <v>9</v>
      </c>
      <c r="F23" s="89" t="s">
        <v>22</v>
      </c>
      <c r="G23" s="89"/>
    </row>
    <row r="24" spans="1:16" x14ac:dyDescent="0.2">
      <c r="A24" s="77" t="s">
        <v>18</v>
      </c>
      <c r="B24" s="78"/>
      <c r="C24" s="4">
        <f>VLOOKUP(C17,table5,6,FALSE)</f>
        <v>6</v>
      </c>
      <c r="D24" s="4" t="s">
        <v>9</v>
      </c>
      <c r="F24" s="89"/>
      <c r="G24" s="89"/>
    </row>
    <row r="25" spans="1:16" ht="22.5" x14ac:dyDescent="0.2">
      <c r="A25" s="77" t="s">
        <v>185</v>
      </c>
      <c r="B25" s="78"/>
      <c r="C25" s="4">
        <f>VLOOKUP(C17,table5,9,FALSE)</f>
        <v>893.12</v>
      </c>
      <c r="D25" s="4" t="s">
        <v>186</v>
      </c>
    </row>
    <row r="26" spans="1:16" ht="22.5" x14ac:dyDescent="0.2">
      <c r="A26" s="77" t="s">
        <v>187</v>
      </c>
      <c r="B26" s="78"/>
      <c r="C26" s="4">
        <f>VLOOKUP(C17,table5,10,FALSE)</f>
        <v>71.45</v>
      </c>
      <c r="D26" s="4" t="s">
        <v>188</v>
      </c>
      <c r="F26" s="67" t="s">
        <v>23</v>
      </c>
      <c r="G26" s="67"/>
    </row>
    <row r="27" spans="1:16" ht="20.25" x14ac:dyDescent="0.2">
      <c r="A27" s="77" t="s">
        <v>189</v>
      </c>
      <c r="B27" s="78"/>
      <c r="C27" s="4">
        <f>VLOOKUP(C17,table5,11,FALSE)</f>
        <v>9.4</v>
      </c>
      <c r="D27" s="4" t="s">
        <v>7</v>
      </c>
      <c r="F27" s="103" t="s">
        <v>142</v>
      </c>
      <c r="G27" s="103"/>
      <c r="H27" s="4">
        <f>(C20-2*C23-2*C24)/C23</f>
        <v>93.2</v>
      </c>
      <c r="I27" s="4" t="str">
        <f>IF(H27&lt;=200,"Ok")</f>
        <v>Ok</v>
      </c>
      <c r="J27" s="66" t="s">
        <v>27</v>
      </c>
      <c r="K27" s="85" t="str">
        <f>IF(AND(I27=E1,I28=E1),"The Section satisfies Code Limits")</f>
        <v>The Section satisfies Code Limits</v>
      </c>
      <c r="L27" s="86"/>
      <c r="M27" s="86"/>
      <c r="N27" s="86"/>
      <c r="O27" s="86"/>
    </row>
    <row r="28" spans="1:16" ht="22.5" x14ac:dyDescent="0.2">
      <c r="A28" s="77" t="s">
        <v>190</v>
      </c>
      <c r="B28" s="78"/>
      <c r="C28" s="4">
        <f>VLOOKUP(C17,table5,12,FALSE)</f>
        <v>84.41</v>
      </c>
      <c r="D28" s="4" t="s">
        <v>186</v>
      </c>
      <c r="F28" s="103" t="s">
        <v>141</v>
      </c>
      <c r="G28" s="103"/>
      <c r="H28" s="4">
        <f>(C21-2*C23-2*C24)/C23</f>
        <v>21.2</v>
      </c>
      <c r="I28" s="4" t="str">
        <f>IF(H28&lt;=40,"Ok")</f>
        <v>Ok</v>
      </c>
      <c r="J28" s="66"/>
      <c r="K28" s="85"/>
      <c r="L28" s="86"/>
      <c r="M28" s="86"/>
      <c r="N28" s="86"/>
      <c r="O28" s="86"/>
    </row>
    <row r="29" spans="1:16" ht="22.5" x14ac:dyDescent="0.2">
      <c r="A29" s="77" t="s">
        <v>191</v>
      </c>
      <c r="B29" s="78"/>
      <c r="C29" s="4">
        <f>VLOOKUP(C17,table5,13,FALSE)</f>
        <v>12.28</v>
      </c>
      <c r="D29" s="4" t="s">
        <v>188</v>
      </c>
      <c r="F29" s="66" t="s">
        <v>138</v>
      </c>
      <c r="G29" s="66"/>
      <c r="H29" s="4">
        <f>(C22-C23-C24)/C23</f>
        <v>4.5999999999999996</v>
      </c>
      <c r="I29" s="4" t="str">
        <f>IF(H29&lt;=40,"Ok")</f>
        <v>Ok</v>
      </c>
      <c r="J29" s="66"/>
      <c r="K29" s="85"/>
      <c r="L29" s="86"/>
      <c r="M29" s="86"/>
      <c r="N29" s="86"/>
      <c r="O29" s="86"/>
    </row>
    <row r="30" spans="1:16" ht="21" thickBot="1" x14ac:dyDescent="0.25">
      <c r="A30" s="77" t="s">
        <v>192</v>
      </c>
      <c r="B30" s="78"/>
      <c r="C30" s="4">
        <f>VLOOKUP(C17,table5,14,FALSE)</f>
        <v>2.89</v>
      </c>
      <c r="D30" s="4" t="s">
        <v>7</v>
      </c>
    </row>
    <row r="31" spans="1:16" x14ac:dyDescent="0.2">
      <c r="F31" s="71" t="s">
        <v>98</v>
      </c>
      <c r="G31" s="72"/>
      <c r="H31" s="6"/>
      <c r="I31" s="6"/>
      <c r="J31" s="6"/>
      <c r="K31" s="6"/>
      <c r="L31" s="6"/>
      <c r="M31" s="6"/>
      <c r="N31" s="6"/>
      <c r="O31" s="6"/>
      <c r="P31" s="7"/>
    </row>
    <row r="32" spans="1:16" x14ac:dyDescent="0.2">
      <c r="F32" s="115"/>
      <c r="G32" s="114"/>
      <c r="H32" s="8"/>
      <c r="I32" s="8"/>
      <c r="J32" s="8"/>
      <c r="K32" s="8"/>
      <c r="L32" s="8"/>
      <c r="M32" s="8"/>
      <c r="N32" s="8"/>
      <c r="O32" s="8"/>
      <c r="P32" s="9"/>
    </row>
    <row r="33" spans="6:16" x14ac:dyDescent="0.2">
      <c r="F33" s="100" t="s">
        <v>95</v>
      </c>
      <c r="G33" s="76"/>
      <c r="H33" s="8"/>
      <c r="I33" s="8"/>
      <c r="J33" s="8"/>
      <c r="K33" s="8"/>
      <c r="L33" s="76" t="s">
        <v>101</v>
      </c>
      <c r="M33" s="76"/>
      <c r="N33" s="8"/>
      <c r="O33" s="8"/>
      <c r="P33" s="9"/>
    </row>
    <row r="34" spans="6:16" x14ac:dyDescent="0.2">
      <c r="F34" s="10" t="s">
        <v>193</v>
      </c>
      <c r="G34" s="13">
        <v>-1</v>
      </c>
      <c r="H34" s="19" t="s">
        <v>47</v>
      </c>
      <c r="I34" s="8"/>
      <c r="J34" s="8"/>
      <c r="K34" s="8"/>
      <c r="L34" s="4" t="s">
        <v>193</v>
      </c>
      <c r="M34" s="13">
        <v>1</v>
      </c>
      <c r="N34" s="4" t="s">
        <v>47</v>
      </c>
      <c r="O34" s="8"/>
      <c r="P34" s="9"/>
    </row>
    <row r="35" spans="6:16" x14ac:dyDescent="0.2">
      <c r="F35" s="10" t="s">
        <v>99</v>
      </c>
      <c r="G35" s="13">
        <v>23.9</v>
      </c>
      <c r="H35" s="4" t="s">
        <v>47</v>
      </c>
      <c r="I35" s="8"/>
      <c r="J35" s="8"/>
      <c r="K35" s="8"/>
      <c r="L35" s="4" t="s">
        <v>139</v>
      </c>
      <c r="M35" s="4">
        <f>1.28*SQRT(2100/C10)</f>
        <v>37.862910611837542</v>
      </c>
      <c r="N35" s="4" t="s">
        <v>47</v>
      </c>
      <c r="O35" s="8"/>
      <c r="P35" s="9"/>
    </row>
    <row r="36" spans="6:16" ht="20.25" x14ac:dyDescent="0.2">
      <c r="F36" s="10" t="s">
        <v>194</v>
      </c>
      <c r="G36" s="4">
        <f>(((C20-2*C23-2*C24)/C23)/44)*SQRT(C10/G35)</f>
        <v>0.67122775523794997</v>
      </c>
      <c r="H36" s="4" t="s">
        <v>47</v>
      </c>
      <c r="I36" s="8"/>
      <c r="J36" s="8"/>
      <c r="K36" s="8"/>
      <c r="L36" s="4" t="s">
        <v>140</v>
      </c>
      <c r="M36" s="4">
        <f>(C21-2*C23-2*C24)/C23</f>
        <v>21.2</v>
      </c>
      <c r="N36" s="4" t="s">
        <v>47</v>
      </c>
      <c r="O36" s="8"/>
      <c r="P36" s="9"/>
    </row>
    <row r="37" spans="6:16" x14ac:dyDescent="0.2">
      <c r="F37" s="20" t="s">
        <v>100</v>
      </c>
      <c r="G37" s="4">
        <f>(G36-0.15-0.05*G34)/(G36)^2</f>
        <v>1.2678547107245697</v>
      </c>
      <c r="H37" s="4" t="s">
        <v>47</v>
      </c>
      <c r="I37" s="111" t="str">
        <f>IF(G37&gt;=1,"Fully Effective","Partially Effective")</f>
        <v>Fully Effective</v>
      </c>
      <c r="J37" s="112"/>
      <c r="K37" s="8"/>
      <c r="L37" s="4" t="s">
        <v>145</v>
      </c>
      <c r="M37" s="4">
        <f>C22/(C21-2*C23-2*C24)</f>
        <v>0.37735849056603776</v>
      </c>
      <c r="N37" s="4" t="s">
        <v>47</v>
      </c>
      <c r="O37" s="8"/>
      <c r="P37" s="9"/>
    </row>
    <row r="38" spans="6:16" ht="22.5" x14ac:dyDescent="0.2">
      <c r="F38" s="10" t="s">
        <v>195</v>
      </c>
      <c r="G38" s="4">
        <f>IF(G37&lt;=1,G37*(C20-2*C23-2*C24),(C20-2*C23-2*C24))</f>
        <v>233</v>
      </c>
      <c r="H38" s="4" t="s">
        <v>9</v>
      </c>
      <c r="I38" s="8"/>
      <c r="J38" s="8"/>
      <c r="K38" s="8"/>
      <c r="L38" s="4" t="s">
        <v>143</v>
      </c>
      <c r="M38" s="4">
        <f>IF(AND(M36&lt;=(M35/3),M37&lt;=0.25),0,IF(AND(M36&gt;(M35/3),M36&lt;M35),399*(((M36/M35)-0.33)^3*C23^4),IF(M36&gt;=M35,(115*(M36/M35)+5)*C23^4)))</f>
        <v>189.42317582272014</v>
      </c>
      <c r="N38" s="4" t="s">
        <v>196</v>
      </c>
      <c r="O38" s="8"/>
      <c r="P38" s="9"/>
    </row>
    <row r="39" spans="6:16" ht="22.5" x14ac:dyDescent="0.2">
      <c r="F39" s="10" t="s">
        <v>104</v>
      </c>
      <c r="G39" s="4">
        <f>0.1*(C20-2*C23-2*C24-G38)</f>
        <v>0</v>
      </c>
      <c r="H39" s="4" t="s">
        <v>7</v>
      </c>
      <c r="I39" s="8"/>
      <c r="J39" s="8"/>
      <c r="K39" s="8"/>
      <c r="L39" s="4" t="s">
        <v>144</v>
      </c>
      <c r="M39" s="4">
        <f>(C23*(C22-C23-C24)^3)/12</f>
        <v>316.84895833333331</v>
      </c>
      <c r="N39" s="4" t="s">
        <v>196</v>
      </c>
      <c r="O39" s="8"/>
      <c r="P39" s="9"/>
    </row>
    <row r="40" spans="6:16" x14ac:dyDescent="0.2">
      <c r="F40" s="21"/>
      <c r="G40" s="8"/>
      <c r="H40" s="8"/>
      <c r="I40" s="8"/>
      <c r="J40" s="8"/>
      <c r="K40" s="8"/>
      <c r="L40" s="4" t="s">
        <v>99</v>
      </c>
      <c r="M40" s="4">
        <f>IF(AND(M36&gt;(M35/3),M36&lt;M35,M37&lt;=0.25),MIN(3.57*SQRT(M39/M38)+0.43,4),IF(AND(M36&gt;(M35/3),M36&lt;M35,M37&gt;0.25,M37&lt;=0.8),MIN((4.82-5*M37)*SQRT(M39/M38)+0.43,5.25-5*M37),IF(AND(M36&gt;=M35,M37&lt;=0.25),MIN(3.57*((M39/M38)^1/3)+0.43,4),IF(AND(M36&gt;=M35,M37&gt;0.25,M37&lt;=0.8),MIN((4.82-5*M37)*((M39/M38)^1/3)+0.43,5.25-5*M37)))))</f>
        <v>3.3632075471698113</v>
      </c>
      <c r="N40" s="4" t="s">
        <v>47</v>
      </c>
      <c r="O40" s="8"/>
      <c r="P40" s="9"/>
    </row>
    <row r="41" spans="6:16" ht="20.25" x14ac:dyDescent="0.2">
      <c r="F41" s="100" t="s">
        <v>110</v>
      </c>
      <c r="G41" s="76"/>
      <c r="H41" s="8"/>
      <c r="I41" s="8"/>
      <c r="J41" s="8"/>
      <c r="K41" s="8"/>
      <c r="L41" s="4" t="s">
        <v>194</v>
      </c>
      <c r="M41" s="4">
        <f>(((C21-2*C23-2*C24)/C23)/44)*SQRT(C10/M40)</f>
        <v>0.40701645823451715</v>
      </c>
      <c r="N41" s="4" t="s">
        <v>47</v>
      </c>
      <c r="O41" s="8"/>
      <c r="P41" s="9"/>
    </row>
    <row r="42" spans="6:16" x14ac:dyDescent="0.2">
      <c r="F42" s="20" t="s">
        <v>100</v>
      </c>
      <c r="G42" s="13">
        <v>1</v>
      </c>
      <c r="H42" s="4" t="s">
        <v>47</v>
      </c>
      <c r="I42" s="111" t="str">
        <f>IF(G42&gt;=1,"Fully Effective","Partially Effective")</f>
        <v>Fully Effective</v>
      </c>
      <c r="J42" s="112"/>
      <c r="K42" s="8"/>
      <c r="L42" s="22" t="s">
        <v>100</v>
      </c>
      <c r="M42" s="4">
        <f>(M41-0.15-0.05*M34)/(M41)^2</f>
        <v>1.2496285315273192</v>
      </c>
      <c r="N42" s="4" t="s">
        <v>47</v>
      </c>
      <c r="O42" s="111" t="str">
        <f>IF(M42&gt;=1,"Fully Effective","Partially Effective")</f>
        <v>Fully Effective</v>
      </c>
      <c r="P42" s="113"/>
    </row>
    <row r="43" spans="6:16" ht="20.25" x14ac:dyDescent="0.2">
      <c r="F43" s="10" t="s">
        <v>197</v>
      </c>
      <c r="G43" s="4">
        <f>G42*(C22-C23-C24)</f>
        <v>11.5</v>
      </c>
      <c r="H43" s="4" t="s">
        <v>9</v>
      </c>
      <c r="I43" s="8"/>
      <c r="J43" s="8"/>
      <c r="K43" s="8"/>
      <c r="L43" s="4" t="s">
        <v>198</v>
      </c>
      <c r="M43" s="4">
        <f>IF(M42&lt;=1,M42*(C21-2*C23-2*C24),(C21-2*C23-2*C24))</f>
        <v>53</v>
      </c>
      <c r="N43" s="4" t="s">
        <v>9</v>
      </c>
      <c r="O43" s="8"/>
      <c r="P43" s="9"/>
    </row>
    <row r="44" spans="6:16" x14ac:dyDescent="0.2">
      <c r="F44" s="21"/>
      <c r="G44" s="8"/>
      <c r="H44" s="8"/>
      <c r="I44" s="8"/>
      <c r="J44" s="8"/>
      <c r="K44" s="8"/>
      <c r="L44" s="4" t="s">
        <v>104</v>
      </c>
      <c r="M44" s="4">
        <f>0.1*(C21-2*C23-2*C24-M43)</f>
        <v>0</v>
      </c>
      <c r="N44" s="4" t="s">
        <v>7</v>
      </c>
      <c r="O44" s="8"/>
      <c r="P44" s="9"/>
    </row>
    <row r="45" spans="6:16" x14ac:dyDescent="0.2">
      <c r="F45" s="21"/>
      <c r="G45" s="8"/>
      <c r="H45" s="8"/>
      <c r="I45" s="8"/>
      <c r="J45" s="8"/>
      <c r="K45" s="8"/>
      <c r="L45" s="8"/>
      <c r="M45" s="8"/>
      <c r="N45" s="8"/>
      <c r="O45" s="8"/>
      <c r="P45" s="9"/>
    </row>
    <row r="46" spans="6:16" x14ac:dyDescent="0.2">
      <c r="F46" s="21"/>
      <c r="G46" s="8"/>
      <c r="H46" s="8"/>
      <c r="I46" s="116" t="s">
        <v>105</v>
      </c>
      <c r="J46" s="116"/>
      <c r="K46" s="116"/>
      <c r="L46" s="8"/>
      <c r="M46" s="8"/>
      <c r="N46" s="8"/>
      <c r="O46" s="8"/>
      <c r="P46" s="9"/>
    </row>
    <row r="47" spans="6:16" ht="22.5" x14ac:dyDescent="0.2">
      <c r="F47" s="21"/>
      <c r="G47" s="8"/>
      <c r="H47" s="8"/>
      <c r="I47" s="4" t="s">
        <v>199</v>
      </c>
      <c r="J47" s="4">
        <f>C25-((M44*0.1*C23)*(0.1*(C20/2)-0.1*(C23/2))^2)</f>
        <v>893.12</v>
      </c>
      <c r="K47" s="4" t="s">
        <v>186</v>
      </c>
      <c r="L47" s="8"/>
      <c r="M47" s="8"/>
      <c r="N47" s="8"/>
      <c r="O47" s="8"/>
      <c r="P47" s="9"/>
    </row>
    <row r="48" spans="6:16" ht="23.25" thickBot="1" x14ac:dyDescent="0.25">
      <c r="F48" s="14"/>
      <c r="G48" s="15"/>
      <c r="H48" s="15"/>
      <c r="I48" s="16" t="s">
        <v>200</v>
      </c>
      <c r="J48" s="16">
        <f>C28-((M44*0.1*C23)*(0.1*C21-C31-0.5*M44)^2)</f>
        <v>84.41</v>
      </c>
      <c r="K48" s="16" t="s">
        <v>186</v>
      </c>
      <c r="L48" s="15"/>
      <c r="M48" s="15"/>
      <c r="N48" s="15"/>
      <c r="O48" s="15"/>
      <c r="P48" s="23"/>
    </row>
    <row r="51" spans="5:40" x14ac:dyDescent="0.2">
      <c r="E51" s="67" t="s">
        <v>106</v>
      </c>
      <c r="F51" s="67"/>
      <c r="I51" s="67" t="s">
        <v>107</v>
      </c>
      <c r="J51" s="67"/>
      <c r="M51" s="67" t="s">
        <v>109</v>
      </c>
      <c r="N51" s="67"/>
    </row>
    <row r="52" spans="5:40" ht="20.25" x14ac:dyDescent="0.2">
      <c r="E52" s="4" t="s">
        <v>201</v>
      </c>
      <c r="F52" s="4">
        <f>((I18/J47)*(0.1*C20/2)+(I19/J48)*(0.1*C21-C31))/(0.85*C10)</f>
        <v>1.7940952297258934</v>
      </c>
      <c r="G52" s="4" t="str">
        <f>IF(F52&lt;=1,"Safe","Unsafe")</f>
        <v>Unsafe</v>
      </c>
      <c r="I52" s="4" t="s">
        <v>108</v>
      </c>
      <c r="J52" s="4">
        <f>C20/C23</f>
        <v>100</v>
      </c>
      <c r="K52" s="4" t="str">
        <f>IF(J52&lt;=110.9/SQRT(C10),"Safe","Unsafe")</f>
        <v>Unsafe</v>
      </c>
      <c r="M52" s="4" t="s">
        <v>58</v>
      </c>
      <c r="N52" s="4">
        <f>(5/384)*((K10*(C13^4))/(2100*J47))</f>
        <v>7.3685344567435891</v>
      </c>
      <c r="O52" s="4" t="s">
        <v>7</v>
      </c>
      <c r="P52" s="4" t="str">
        <f>IF(N52&lt;=(C13/200),"Safe","Unsafe")</f>
        <v>Unsafe</v>
      </c>
    </row>
    <row r="53" spans="5:40" ht="20.25" x14ac:dyDescent="0.2">
      <c r="I53" s="4" t="s">
        <v>202</v>
      </c>
      <c r="J53" s="4">
        <f>I20/(0.85*0.6*C10*0.1*C20*0.1*C23)</f>
        <v>0.12828815536277638</v>
      </c>
      <c r="K53" s="4" t="str">
        <f>IF(J53&lt;=1,"Safe","Unsafe")</f>
        <v>Safe</v>
      </c>
    </row>
    <row r="54" spans="5:40" x14ac:dyDescent="0.2"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5:40" x14ac:dyDescent="0.2"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5:40" x14ac:dyDescent="0.2"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5:40" x14ac:dyDescent="0.2"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</sheetData>
  <mergeCells count="58">
    <mergeCell ref="Y1:Z1"/>
    <mergeCell ref="S2:S3"/>
    <mergeCell ref="T2:X2"/>
    <mergeCell ref="AA2:AC2"/>
    <mergeCell ref="A6:B7"/>
    <mergeCell ref="C6:C7"/>
    <mergeCell ref="D6:D7"/>
    <mergeCell ref="F6:G6"/>
    <mergeCell ref="J6:K6"/>
    <mergeCell ref="A14:B14"/>
    <mergeCell ref="J7:K7"/>
    <mergeCell ref="N7:O7"/>
    <mergeCell ref="A9:B9"/>
    <mergeCell ref="C9:D9"/>
    <mergeCell ref="A8:B8"/>
    <mergeCell ref="C8:D8"/>
    <mergeCell ref="A10:B10"/>
    <mergeCell ref="A11:B11"/>
    <mergeCell ref="A12:B12"/>
    <mergeCell ref="C12:D12"/>
    <mergeCell ref="A13:B13"/>
    <mergeCell ref="A24:B24"/>
    <mergeCell ref="A15:B15"/>
    <mergeCell ref="A16:B16"/>
    <mergeCell ref="A17:B17"/>
    <mergeCell ref="C17:D17"/>
    <mergeCell ref="A18:B18"/>
    <mergeCell ref="A19:B19"/>
    <mergeCell ref="A20:B20"/>
    <mergeCell ref="A21:B21"/>
    <mergeCell ref="A22:B22"/>
    <mergeCell ref="A23:B23"/>
    <mergeCell ref="A25:B25"/>
    <mergeCell ref="A26:B26"/>
    <mergeCell ref="F26:G26"/>
    <mergeCell ref="A27:B27"/>
    <mergeCell ref="F27:G27"/>
    <mergeCell ref="A28:B28"/>
    <mergeCell ref="F28:G28"/>
    <mergeCell ref="A29:B29"/>
    <mergeCell ref="F29:G29"/>
    <mergeCell ref="A30:B30"/>
    <mergeCell ref="AD2:AF2"/>
    <mergeCell ref="I42:J42"/>
    <mergeCell ref="O42:P42"/>
    <mergeCell ref="I46:K46"/>
    <mergeCell ref="E51:F51"/>
    <mergeCell ref="I51:J51"/>
    <mergeCell ref="M51:N51"/>
    <mergeCell ref="F31:G32"/>
    <mergeCell ref="F33:G33"/>
    <mergeCell ref="L33:M33"/>
    <mergeCell ref="I37:J37"/>
    <mergeCell ref="F41:G41"/>
    <mergeCell ref="K27:O29"/>
    <mergeCell ref="J27:J29"/>
    <mergeCell ref="F23:G24"/>
    <mergeCell ref="H17:I17"/>
  </mergeCells>
  <conditionalFormatting sqref="G52 K52:K53 P52">
    <cfRule type="cellIs" dxfId="1" priority="2" operator="equal">
      <formula>"safe"</formula>
    </cfRule>
  </conditionalFormatting>
  <conditionalFormatting sqref="G52 K52:K53 P52">
    <cfRule type="cellIs" dxfId="0" priority="1" operator="equal">
      <formula>"unsafe"</formula>
    </cfRule>
  </conditionalFormatting>
  <dataValidations count="4">
    <dataValidation type="list" allowBlank="1" showInputMessage="1" showErrorMessage="1" sqref="C9" xr:uid="{DB3960E0-18C7-42BE-98C8-410D9956C0C2}">
      <formula1>$B$1:$B$3</formula1>
    </dataValidation>
    <dataValidation type="list" allowBlank="1" showInputMessage="1" showErrorMessage="1" sqref="C8:D8" xr:uid="{FED31D66-F8EF-4CD2-AA3F-14DE1EEC97AF}">
      <formula1>$G$1:$G$2</formula1>
    </dataValidation>
    <dataValidation type="list" allowBlank="1" showInputMessage="1" showErrorMessage="1" sqref="C12:D12" xr:uid="{D90DDBB1-9114-4060-918C-CA577D29E41B}">
      <formula1>$C$1:$C$3</formula1>
    </dataValidation>
    <dataValidation type="list" allowBlank="1" showInputMessage="1" showErrorMessage="1" sqref="C17:D17" xr:uid="{78DDAE2B-53A9-4064-B013-DE9362C109C3}">
      <formula1>$S$4:$S$10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hot rolled UPN</vt:lpstr>
      <vt:lpstr>hot rolled IPE</vt:lpstr>
      <vt:lpstr>Cold formed unstiffened C</vt:lpstr>
      <vt:lpstr>Cold formed stiffened C</vt:lpstr>
      <vt:lpstr>Cold Formed Stiffened Z</vt:lpstr>
      <vt:lpstr>table</vt:lpstr>
      <vt:lpstr>table1</vt:lpstr>
      <vt:lpstr>table2</vt:lpstr>
      <vt:lpstr>table3</vt:lpstr>
      <vt:lpstr>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Uranus</dc:creator>
  <cp:lastModifiedBy>a</cp:lastModifiedBy>
  <dcterms:created xsi:type="dcterms:W3CDTF">2019-09-05T07:56:55Z</dcterms:created>
  <dcterms:modified xsi:type="dcterms:W3CDTF">2019-12-20T16:25:24Z</dcterms:modified>
</cp:coreProperties>
</file>