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Study\all about steel structure\Excel Sheets\my sheets\LRFD\"/>
    </mc:Choice>
  </mc:AlternateContent>
  <xr:revisionPtr revIDLastSave="0" documentId="13_ncr:1_{BDC72667-5BC5-46A8-8443-D33B4BE0ED6D}" xr6:coauthVersionLast="47" xr6:coauthVersionMax="47" xr10:uidLastSave="{00000000-0000-0000-0000-000000000000}"/>
  <bookViews>
    <workbookView xWindow="-120" yWindow="-120" windowWidth="20730" windowHeight="11310" xr2:uid="{DE48DA4C-6788-4479-8B95-CB54095586CB}"/>
  </bookViews>
  <sheets>
    <sheet name="IPE" sheetId="1" r:id="rId1"/>
    <sheet name="HEB" sheetId="2" r:id="rId2"/>
    <sheet name="B.U.S" sheetId="3" r:id="rId3"/>
    <sheet name="at Haunch " sheetId="4" r:id="rId4"/>
  </sheets>
  <definedNames>
    <definedName name="_xlnm.Print_Area" localSheetId="3">'at Haunch '!$A$4:$M$35</definedName>
    <definedName name="_xlnm.Print_Area" localSheetId="2">'B.U.S'!$A$4:$M$35</definedName>
    <definedName name="_xlnm.Print_Area" localSheetId="1">HEB!$A$4:$N$34</definedName>
    <definedName name="_xlnm.Print_Area" localSheetId="0">IPE!$A$4:$K$37</definedName>
    <definedName name="table">IPE!$P$1:$AE$21</definedName>
    <definedName name="table1">HEB!$P$1:$AD$27</definedName>
    <definedName name="table2">HEB!$P$1:$AD$27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3" l="1"/>
  <c r="H32" i="3"/>
  <c r="H31" i="3"/>
  <c r="B32" i="3"/>
  <c r="B33" i="3" s="1"/>
  <c r="F38" i="3"/>
  <c r="G38" i="3" s="1"/>
  <c r="G38" i="4"/>
  <c r="F38" i="4"/>
  <c r="B33" i="4"/>
  <c r="B9" i="4"/>
  <c r="B14" i="4"/>
  <c r="F13" i="4" s="1"/>
  <c r="B34" i="4"/>
  <c r="B30" i="4"/>
  <c r="B31" i="4" s="1"/>
  <c r="F14" i="4"/>
  <c r="B6" i="4"/>
  <c r="B5" i="4"/>
  <c r="B36" i="1"/>
  <c r="B37" i="1" s="1"/>
  <c r="B9" i="1"/>
  <c r="F14" i="3"/>
  <c r="B29" i="3"/>
  <c r="B30" i="3" s="1"/>
  <c r="B21" i="3"/>
  <c r="F13" i="3"/>
  <c r="B25" i="3"/>
  <c r="B23" i="3"/>
  <c r="B20" i="3"/>
  <c r="B6" i="3"/>
  <c r="B5" i="3"/>
  <c r="F12" i="3" s="1"/>
  <c r="B29" i="4" l="1"/>
  <c r="F17" i="4"/>
  <c r="G14" i="4"/>
  <c r="B32" i="4"/>
  <c r="G20" i="4" s="1"/>
  <c r="F12" i="4"/>
  <c r="G13" i="4" s="1"/>
  <c r="F24" i="4"/>
  <c r="F25" i="4" s="1"/>
  <c r="F26" i="4" s="1"/>
  <c r="F27" i="4" s="1"/>
  <c r="B31" i="3"/>
  <c r="G13" i="3"/>
  <c r="B27" i="3"/>
  <c r="B28" i="3" s="1"/>
  <c r="B24" i="3"/>
  <c r="F24" i="3" s="1"/>
  <c r="F25" i="3" s="1"/>
  <c r="F26" i="3" s="1"/>
  <c r="F27" i="3" s="1"/>
  <c r="B22" i="3"/>
  <c r="B26" i="3"/>
  <c r="F17" i="3"/>
  <c r="G14" i="3"/>
  <c r="I13" i="4" l="1"/>
  <c r="G24" i="4"/>
  <c r="H20" i="4"/>
  <c r="E20" i="4"/>
  <c r="F20" i="4"/>
  <c r="I20" i="4"/>
  <c r="H32" i="4"/>
  <c r="G32" i="4"/>
  <c r="G31" i="4"/>
  <c r="I32" i="4"/>
  <c r="E32" i="4"/>
  <c r="E31" i="4"/>
  <c r="J24" i="4"/>
  <c r="G31" i="3"/>
  <c r="E31" i="3"/>
  <c r="G32" i="3"/>
  <c r="E32" i="3"/>
  <c r="I19" i="3"/>
  <c r="H19" i="3"/>
  <c r="G19" i="3"/>
  <c r="G20" i="3"/>
  <c r="I20" i="3"/>
  <c r="H20" i="3"/>
  <c r="I18" i="3"/>
  <c r="E18" i="3"/>
  <c r="H18" i="3"/>
  <c r="E19" i="3"/>
  <c r="F18" i="3"/>
  <c r="G18" i="3"/>
  <c r="F19" i="3"/>
  <c r="E20" i="3"/>
  <c r="F20" i="3"/>
  <c r="I32" i="3"/>
  <c r="I13" i="3"/>
  <c r="J24" i="3"/>
  <c r="J25" i="3" s="1"/>
  <c r="J26" i="3" s="1"/>
  <c r="J27" i="3" s="1"/>
  <c r="G24" i="3"/>
  <c r="I31" i="3" l="1"/>
  <c r="H19" i="4"/>
  <c r="L19" i="4" s="1"/>
  <c r="H31" i="4" s="1"/>
  <c r="I31" i="4" s="1"/>
  <c r="I18" i="4"/>
  <c r="E18" i="4"/>
  <c r="H18" i="4"/>
  <c r="G18" i="4"/>
  <c r="G19" i="4"/>
  <c r="F19" i="4"/>
  <c r="I19" i="4"/>
  <c r="E19" i="4"/>
  <c r="F18" i="4"/>
  <c r="K24" i="4"/>
  <c r="J25" i="4"/>
  <c r="J26" i="4" s="1"/>
  <c r="J27" i="4" s="1"/>
  <c r="K24" i="3"/>
  <c r="E35" i="4" l="1"/>
  <c r="G35" i="4" s="1"/>
  <c r="G35" i="3"/>
  <c r="B34" i="2" l="1"/>
  <c r="B28" i="2" l="1"/>
  <c r="J22" i="2" s="1"/>
  <c r="K22" i="2" s="1"/>
  <c r="B27" i="2"/>
  <c r="B26" i="2"/>
  <c r="B25" i="2"/>
  <c r="F22" i="2" s="1"/>
  <c r="G22" i="2" s="1"/>
  <c r="B23" i="2"/>
  <c r="B22" i="2"/>
  <c r="B21" i="2"/>
  <c r="B20" i="2"/>
  <c r="B19" i="2"/>
  <c r="B18" i="2"/>
  <c r="B17" i="2"/>
  <c r="B16" i="2"/>
  <c r="B15" i="2"/>
  <c r="B31" i="1"/>
  <c r="J23" i="1" s="1"/>
  <c r="K23" i="1" s="1"/>
  <c r="B30" i="1"/>
  <c r="B29" i="1"/>
  <c r="B28" i="1"/>
  <c r="F23" i="1" s="1"/>
  <c r="G23" i="1" s="1"/>
  <c r="B26" i="1"/>
  <c r="B25" i="1"/>
  <c r="B24" i="1"/>
  <c r="B21" i="1"/>
  <c r="B20" i="1"/>
  <c r="B19" i="1"/>
  <c r="B18" i="1"/>
  <c r="B17" i="1"/>
  <c r="B16" i="1"/>
  <c r="B15" i="1"/>
  <c r="F11" i="2" l="1"/>
  <c r="B30" i="2"/>
  <c r="B31" i="2" s="1"/>
  <c r="B24" i="2"/>
  <c r="F12" i="2"/>
  <c r="B27" i="1"/>
  <c r="F12" i="1"/>
  <c r="F13" i="1"/>
  <c r="B33" i="1"/>
  <c r="B34" i="1" s="1"/>
  <c r="B6" i="2"/>
  <c r="B5" i="2"/>
  <c r="B29" i="2" s="1"/>
  <c r="H16" i="2" l="1"/>
  <c r="E16" i="2"/>
  <c r="F16" i="2"/>
  <c r="B32" i="2"/>
  <c r="G17" i="2" s="1"/>
  <c r="F10" i="2"/>
  <c r="G11" i="2" s="1"/>
  <c r="F23" i="2"/>
  <c r="F24" i="2" s="1"/>
  <c r="F25" i="2" s="1"/>
  <c r="H29" i="2" s="1"/>
  <c r="I29" i="2" s="1"/>
  <c r="J23" i="2"/>
  <c r="J24" i="2" s="1"/>
  <c r="J25" i="2" s="1"/>
  <c r="E32" i="2" s="1"/>
  <c r="G12" i="2"/>
  <c r="F15" i="2"/>
  <c r="G16" i="2" s="1"/>
  <c r="B6" i="1"/>
  <c r="B5" i="1"/>
  <c r="F37" i="1" s="1"/>
  <c r="G37" i="1" s="1"/>
  <c r="F18" i="2" l="1"/>
  <c r="E18" i="2"/>
  <c r="G18" i="2"/>
  <c r="H18" i="2"/>
  <c r="E17" i="2"/>
  <c r="H17" i="2"/>
  <c r="G30" i="2"/>
  <c r="H30" i="2" a="1"/>
  <c r="H30" i="2" s="1"/>
  <c r="E30" i="2"/>
  <c r="G29" i="2"/>
  <c r="E29" i="2"/>
  <c r="F17" i="2"/>
  <c r="I30" i="2"/>
  <c r="J11" i="2"/>
  <c r="B32" i="1"/>
  <c r="F24" i="1"/>
  <c r="F25" i="1" s="1"/>
  <c r="F26" i="1" s="1"/>
  <c r="H31" i="1" s="1"/>
  <c r="J24" i="1"/>
  <c r="J25" i="1" s="1"/>
  <c r="J26" i="1" s="1"/>
  <c r="F11" i="1"/>
  <c r="G12" i="1" s="1"/>
  <c r="G13" i="1"/>
  <c r="F16" i="1"/>
  <c r="B35" i="1"/>
  <c r="I17" i="1" l="1"/>
  <c r="I18" i="1"/>
  <c r="H19" i="1"/>
  <c r="I19" i="1"/>
  <c r="G30" i="1"/>
  <c r="G31" i="1"/>
  <c r="E30" i="1"/>
  <c r="E31" i="1"/>
  <c r="H18" i="1"/>
  <c r="H17" i="1"/>
  <c r="E17" i="1"/>
  <c r="G18" i="1"/>
  <c r="G17" i="1"/>
  <c r="E18" i="1"/>
  <c r="F18" i="1"/>
  <c r="F17" i="1"/>
  <c r="G19" i="1"/>
  <c r="F19" i="1"/>
  <c r="E19" i="1"/>
  <c r="I12" i="1"/>
  <c r="H30" i="1" l="1"/>
  <c r="E34" i="1"/>
  <c r="G32" i="2"/>
  <c r="I30" i="1" l="1"/>
  <c r="I31" i="1"/>
  <c r="G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<sst xmlns="http://schemas.openxmlformats.org/spreadsheetml/2006/main" count="420" uniqueCount="111">
  <si>
    <t>Compact</t>
  </si>
  <si>
    <t>Non-compact</t>
  </si>
  <si>
    <t>Slender</t>
  </si>
  <si>
    <t>Cm.t</t>
  </si>
  <si>
    <t xml:space="preserve">Normal </t>
  </si>
  <si>
    <t>Ton</t>
  </si>
  <si>
    <t>cm</t>
  </si>
  <si>
    <t>mm</t>
  </si>
  <si>
    <t>IPE</t>
  </si>
  <si>
    <t>Sec.</t>
  </si>
  <si>
    <t>Area</t>
  </si>
  <si>
    <t>Weight</t>
  </si>
  <si>
    <t>Dimensions (mm)</t>
  </si>
  <si>
    <t>x-x</t>
  </si>
  <si>
    <t>y-y</t>
  </si>
  <si>
    <t>No.</t>
  </si>
  <si>
    <t>(kg/m`)</t>
  </si>
  <si>
    <t>h</t>
  </si>
  <si>
    <t>b</t>
  </si>
  <si>
    <t>s</t>
  </si>
  <si>
    <t>r</t>
  </si>
  <si>
    <t>t</t>
  </si>
  <si>
    <t>c</t>
  </si>
  <si>
    <t>h-2c</t>
  </si>
  <si>
    <t>HEB</t>
  </si>
  <si>
    <t>X</t>
  </si>
  <si>
    <t>unitless</t>
  </si>
  <si>
    <t>t=r</t>
  </si>
  <si>
    <t>Checks:</t>
  </si>
  <si>
    <t>i- Compactness</t>
  </si>
  <si>
    <t>&gt;&gt;&gt;</t>
  </si>
  <si>
    <t>ii- As Beam :</t>
  </si>
  <si>
    <t>iii- As Comp. Member :</t>
  </si>
  <si>
    <t xml:space="preserve">In Plane : </t>
  </si>
  <si>
    <t>ton</t>
  </si>
  <si>
    <t xml:space="preserve">iv- Interaction Equation </t>
  </si>
  <si>
    <t>Inplane Stability</t>
  </si>
  <si>
    <t xml:space="preserve">Inplane : </t>
  </si>
  <si>
    <t>Out Of Plane Stability</t>
  </si>
  <si>
    <t>α</t>
  </si>
  <si>
    <t>Straining Actions :</t>
  </si>
  <si>
    <t xml:space="preserve"> </t>
  </si>
  <si>
    <t>a</t>
  </si>
  <si>
    <r>
      <t>(cm</t>
    </r>
    <r>
      <rPr>
        <b/>
        <vertAlign val="superscript"/>
        <sz val="14"/>
        <rFont val="Calibri"/>
        <family val="2"/>
      </rPr>
      <t>2</t>
    </r>
    <r>
      <rPr>
        <b/>
        <sz val="14"/>
        <rFont val="Calibri"/>
        <family val="2"/>
      </rPr>
      <t>)</t>
    </r>
  </si>
  <si>
    <r>
      <t>I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4</t>
    </r>
    <r>
      <rPr>
        <b/>
        <sz val="14"/>
        <rFont val="Calibri"/>
        <family val="2"/>
      </rPr>
      <t>)</t>
    </r>
  </si>
  <si>
    <r>
      <t>S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)</t>
    </r>
  </si>
  <si>
    <r>
      <t>r</t>
    </r>
    <r>
      <rPr>
        <b/>
        <vertAlign val="subscript"/>
        <sz val="14"/>
        <rFont val="Calibri"/>
        <family val="2"/>
      </rPr>
      <t>x</t>
    </r>
    <r>
      <rPr>
        <b/>
        <sz val="14"/>
        <rFont val="Calibri"/>
        <family val="2"/>
      </rPr>
      <t xml:space="preserve"> (cm)</t>
    </r>
  </si>
  <si>
    <r>
      <t>I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4</t>
    </r>
    <r>
      <rPr>
        <b/>
        <sz val="14"/>
        <rFont val="Calibri"/>
        <family val="2"/>
      </rPr>
      <t>)</t>
    </r>
  </si>
  <si>
    <r>
      <t>S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)</t>
    </r>
  </si>
  <si>
    <r>
      <t>r</t>
    </r>
    <r>
      <rPr>
        <b/>
        <vertAlign val="subscript"/>
        <sz val="14"/>
        <rFont val="Calibri"/>
        <family val="2"/>
      </rPr>
      <t>y</t>
    </r>
    <r>
      <rPr>
        <b/>
        <sz val="14"/>
        <rFont val="Calibri"/>
        <family val="2"/>
      </rPr>
      <t xml:space="preserve"> (cm)</t>
    </r>
  </si>
  <si>
    <t>st</t>
  </si>
  <si>
    <t>Section</t>
  </si>
  <si>
    <t>iv- Shear</t>
  </si>
  <si>
    <t>Out of Plane Stability</t>
  </si>
  <si>
    <t>Out of Plane :</t>
  </si>
  <si>
    <t>Choice of section</t>
  </si>
  <si>
    <t>Properties of section</t>
  </si>
  <si>
    <t>ii- As a Beam :</t>
  </si>
  <si>
    <t>iii- As a Comp. Member :</t>
  </si>
  <si>
    <t>α =</t>
  </si>
  <si>
    <t>Data</t>
  </si>
  <si>
    <r>
      <t>F</t>
    </r>
    <r>
      <rPr>
        <b/>
        <vertAlign val="subscript"/>
        <sz val="14"/>
        <color theme="1"/>
        <rFont val="Calibri"/>
        <family val="2"/>
      </rPr>
      <t>y</t>
    </r>
  </si>
  <si>
    <r>
      <t>t/cm</t>
    </r>
    <r>
      <rPr>
        <b/>
        <vertAlign val="superscript"/>
        <sz val="14"/>
        <color theme="1"/>
        <rFont val="Calibri"/>
        <family val="2"/>
      </rPr>
      <t>2</t>
    </r>
  </si>
  <si>
    <r>
      <t>Moment (M</t>
    </r>
    <r>
      <rPr>
        <b/>
        <vertAlign val="subscript"/>
        <sz val="14"/>
        <color theme="1"/>
        <rFont val="Calibri"/>
        <family val="2"/>
      </rPr>
      <t>ux</t>
    </r>
    <r>
      <rPr>
        <b/>
        <sz val="14"/>
        <color theme="1"/>
        <rFont val="Calibri"/>
        <family val="2"/>
      </rPr>
      <t>)</t>
    </r>
  </si>
  <si>
    <r>
      <t>F</t>
    </r>
    <r>
      <rPr>
        <b/>
        <vertAlign val="subscript"/>
        <sz val="14"/>
        <color theme="1"/>
        <rFont val="Calibri"/>
        <family val="2"/>
      </rPr>
      <t>u</t>
    </r>
  </si>
  <si>
    <r>
      <t>Shear (Q</t>
    </r>
    <r>
      <rPr>
        <b/>
        <vertAlign val="subscript"/>
        <sz val="14"/>
        <color theme="1"/>
        <rFont val="Calibri"/>
        <family val="2"/>
      </rPr>
      <t>uy</t>
    </r>
    <r>
      <rPr>
        <b/>
        <sz val="14"/>
        <color theme="1"/>
        <rFont val="Calibri"/>
        <family val="2"/>
      </rPr>
      <t>)</t>
    </r>
  </si>
  <si>
    <r>
      <t>L</t>
    </r>
    <r>
      <rPr>
        <b/>
        <vertAlign val="subscript"/>
        <sz val="14"/>
        <color theme="1"/>
        <rFont val="Calibri"/>
        <family val="2"/>
      </rPr>
      <t>bin</t>
    </r>
  </si>
  <si>
    <r>
      <t>L</t>
    </r>
    <r>
      <rPr>
        <b/>
        <vertAlign val="subscript"/>
        <sz val="14"/>
        <color theme="1"/>
        <rFont val="Calibri"/>
        <family val="2"/>
      </rPr>
      <t>bout</t>
    </r>
  </si>
  <si>
    <r>
      <t>L</t>
    </r>
    <r>
      <rPr>
        <b/>
        <vertAlign val="subscript"/>
        <sz val="14"/>
        <color theme="1"/>
        <rFont val="Calibri"/>
        <family val="2"/>
      </rPr>
      <t>b</t>
    </r>
  </si>
  <si>
    <r>
      <t>h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>/t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 xml:space="preserve"> =</t>
    </r>
  </si>
  <si>
    <r>
      <t>C/t</t>
    </r>
    <r>
      <rPr>
        <b/>
        <vertAlign val="subscript"/>
        <sz val="14"/>
        <color theme="1"/>
        <rFont val="Calibri"/>
        <family val="2"/>
      </rPr>
      <t>f</t>
    </r>
    <r>
      <rPr>
        <b/>
        <sz val="14"/>
        <color theme="1"/>
        <rFont val="Calibri"/>
        <family val="2"/>
      </rPr>
      <t xml:space="preserve"> =</t>
    </r>
  </si>
  <si>
    <r>
      <t>M</t>
    </r>
    <r>
      <rPr>
        <b/>
        <vertAlign val="subscript"/>
        <sz val="14"/>
        <color theme="1"/>
        <rFont val="Calibri"/>
        <family val="2"/>
      </rPr>
      <t>p</t>
    </r>
    <r>
      <rPr>
        <b/>
        <sz val="14"/>
        <color theme="1"/>
        <rFont val="Calibri"/>
        <family val="2"/>
      </rPr>
      <t xml:space="preserve"> =</t>
    </r>
  </si>
  <si>
    <r>
      <t>M</t>
    </r>
    <r>
      <rPr>
        <b/>
        <vertAlign val="subscript"/>
        <sz val="14"/>
        <color theme="1"/>
        <rFont val="Calibri"/>
        <family val="2"/>
      </rPr>
      <t>nx</t>
    </r>
    <r>
      <rPr>
        <b/>
        <sz val="14"/>
        <color theme="1"/>
        <rFont val="Calibri"/>
        <family val="2"/>
      </rPr>
      <t xml:space="preserve"> =</t>
    </r>
  </si>
  <si>
    <r>
      <t>λ</t>
    </r>
    <r>
      <rPr>
        <b/>
        <vertAlign val="subscript"/>
        <sz val="14"/>
        <color theme="1"/>
        <rFont val="Calibri"/>
        <family val="2"/>
      </rPr>
      <t>in</t>
    </r>
    <r>
      <rPr>
        <b/>
        <sz val="14"/>
        <color theme="1"/>
        <rFont val="Calibri"/>
        <family val="2"/>
      </rPr>
      <t xml:space="preserve"> =</t>
    </r>
  </si>
  <si>
    <r>
      <t>λ</t>
    </r>
    <r>
      <rPr>
        <b/>
        <vertAlign val="subscript"/>
        <sz val="14"/>
        <color theme="1"/>
        <rFont val="Calibri"/>
        <family val="2"/>
      </rPr>
      <t>out</t>
    </r>
    <r>
      <rPr>
        <b/>
        <sz val="14"/>
        <color theme="1"/>
        <rFont val="Calibri"/>
        <family val="2"/>
      </rPr>
      <t xml:space="preserve"> =</t>
    </r>
  </si>
  <si>
    <r>
      <t>λ</t>
    </r>
    <r>
      <rPr>
        <b/>
        <vertAlign val="subscript"/>
        <sz val="14"/>
        <color theme="1"/>
        <rFont val="Calibri"/>
        <family val="2"/>
      </rPr>
      <t>c</t>
    </r>
    <r>
      <rPr>
        <b/>
        <sz val="14"/>
        <color theme="1"/>
        <rFont val="Calibri"/>
        <family val="2"/>
      </rPr>
      <t xml:space="preserve"> =</t>
    </r>
  </si>
  <si>
    <r>
      <t>λ</t>
    </r>
    <r>
      <rPr>
        <b/>
        <vertAlign val="subscript"/>
        <sz val="14"/>
        <color theme="1"/>
        <rFont val="Calibri"/>
        <family val="2"/>
      </rPr>
      <t>c =</t>
    </r>
  </si>
  <si>
    <r>
      <t>cm</t>
    </r>
    <r>
      <rPr>
        <b/>
        <vertAlign val="superscript"/>
        <sz val="14"/>
        <color theme="1"/>
        <rFont val="Calibri"/>
        <family val="2"/>
      </rPr>
      <t>2</t>
    </r>
  </si>
  <si>
    <r>
      <t>F</t>
    </r>
    <r>
      <rPr>
        <b/>
        <vertAlign val="subscript"/>
        <sz val="14"/>
        <color theme="1"/>
        <rFont val="Calibri"/>
        <family val="2"/>
      </rPr>
      <t>cr</t>
    </r>
    <r>
      <rPr>
        <b/>
        <sz val="14"/>
        <color theme="1"/>
        <rFont val="Calibri"/>
        <family val="2"/>
      </rPr>
      <t xml:space="preserve"> =</t>
    </r>
  </si>
  <si>
    <r>
      <t>I</t>
    </r>
    <r>
      <rPr>
        <b/>
        <vertAlign val="subscript"/>
        <sz val="14"/>
        <color theme="1"/>
        <rFont val="Calibri"/>
        <family val="2"/>
      </rPr>
      <t>x</t>
    </r>
  </si>
  <si>
    <r>
      <t>cm</t>
    </r>
    <r>
      <rPr>
        <b/>
        <vertAlign val="superscript"/>
        <sz val="14"/>
        <color theme="1"/>
        <rFont val="Calibri"/>
        <family val="2"/>
      </rPr>
      <t>4</t>
    </r>
  </si>
  <si>
    <r>
      <t>P</t>
    </r>
    <r>
      <rPr>
        <b/>
        <vertAlign val="subscript"/>
        <sz val="14"/>
        <color theme="1"/>
        <rFont val="Calibri"/>
        <family val="2"/>
      </rPr>
      <t>nx</t>
    </r>
    <r>
      <rPr>
        <b/>
        <sz val="14"/>
        <color theme="1"/>
        <rFont val="Calibri"/>
        <family val="2"/>
      </rPr>
      <t xml:space="preserve"> =</t>
    </r>
  </si>
  <si>
    <r>
      <t>P</t>
    </r>
    <r>
      <rPr>
        <b/>
        <vertAlign val="subscript"/>
        <sz val="14"/>
        <color theme="1"/>
        <rFont val="Calibri"/>
        <family val="2"/>
      </rPr>
      <t>ny</t>
    </r>
    <r>
      <rPr>
        <b/>
        <sz val="14"/>
        <color theme="1"/>
        <rFont val="Calibri"/>
        <family val="2"/>
      </rPr>
      <t xml:space="preserve"> =</t>
    </r>
  </si>
  <si>
    <r>
      <t>S</t>
    </r>
    <r>
      <rPr>
        <b/>
        <vertAlign val="subscript"/>
        <sz val="14"/>
        <color theme="1"/>
        <rFont val="Calibri"/>
        <family val="2"/>
      </rPr>
      <t>x</t>
    </r>
  </si>
  <si>
    <r>
      <t>cm</t>
    </r>
    <r>
      <rPr>
        <b/>
        <vertAlign val="superscript"/>
        <sz val="14"/>
        <color theme="1"/>
        <rFont val="Calibri"/>
        <family val="2"/>
      </rPr>
      <t>3</t>
    </r>
  </si>
  <si>
    <r>
      <t>Z</t>
    </r>
    <r>
      <rPr>
        <b/>
        <vertAlign val="subscript"/>
        <sz val="14"/>
        <color theme="1"/>
        <rFont val="Calibri"/>
        <family val="2"/>
      </rPr>
      <t>x</t>
    </r>
  </si>
  <si>
    <r>
      <t>r</t>
    </r>
    <r>
      <rPr>
        <b/>
        <vertAlign val="subscript"/>
        <sz val="14"/>
        <color theme="1"/>
        <rFont val="Calibri"/>
        <family val="2"/>
      </rPr>
      <t>x</t>
    </r>
  </si>
  <si>
    <r>
      <t>I</t>
    </r>
    <r>
      <rPr>
        <b/>
        <vertAlign val="subscript"/>
        <sz val="14"/>
        <color theme="1"/>
        <rFont val="Calibri"/>
        <family val="2"/>
      </rPr>
      <t>y</t>
    </r>
  </si>
  <si>
    <r>
      <t>S</t>
    </r>
    <r>
      <rPr>
        <b/>
        <vertAlign val="subscript"/>
        <sz val="14"/>
        <color theme="1"/>
        <rFont val="Calibri"/>
        <family val="2"/>
      </rPr>
      <t>y</t>
    </r>
  </si>
  <si>
    <r>
      <t>r</t>
    </r>
    <r>
      <rPr>
        <b/>
        <vertAlign val="subscript"/>
        <sz val="14"/>
        <color theme="1"/>
        <rFont val="Calibri"/>
        <family val="2"/>
      </rPr>
      <t>y</t>
    </r>
  </si>
  <si>
    <r>
      <t>L</t>
    </r>
    <r>
      <rPr>
        <b/>
        <vertAlign val="subscript"/>
        <sz val="14"/>
        <color theme="1"/>
        <rFont val="Calibri"/>
        <family val="2"/>
      </rPr>
      <t>p</t>
    </r>
  </si>
  <si>
    <r>
      <t>r</t>
    </r>
    <r>
      <rPr>
        <b/>
        <vertAlign val="subscript"/>
        <sz val="14"/>
        <color theme="1"/>
        <rFont val="Calibri"/>
        <family val="2"/>
      </rPr>
      <t>t</t>
    </r>
  </si>
  <si>
    <r>
      <t>L</t>
    </r>
    <r>
      <rPr>
        <b/>
        <vertAlign val="subscript"/>
        <sz val="14"/>
        <color theme="1"/>
        <rFont val="Calibri"/>
        <family val="2"/>
      </rPr>
      <t>r</t>
    </r>
  </si>
  <si>
    <r>
      <t>Q</t>
    </r>
    <r>
      <rPr>
        <b/>
        <vertAlign val="subscript"/>
        <sz val="14"/>
        <color theme="1"/>
        <rFont val="Calibri"/>
        <family val="2"/>
      </rPr>
      <t>uy</t>
    </r>
    <r>
      <rPr>
        <b/>
        <sz val="14"/>
        <color theme="1"/>
        <rFont val="Calibri"/>
        <family val="2"/>
      </rPr>
      <t xml:space="preserve"> / V</t>
    </r>
    <r>
      <rPr>
        <b/>
        <vertAlign val="subscript"/>
        <sz val="14"/>
        <color theme="1"/>
        <rFont val="Calibri"/>
        <family val="2"/>
      </rPr>
      <t>r</t>
    </r>
    <r>
      <rPr>
        <b/>
        <sz val="14"/>
        <color theme="1"/>
        <rFont val="Calibri"/>
        <family val="2"/>
      </rPr>
      <t xml:space="preserve"> =</t>
    </r>
  </si>
  <si>
    <r>
      <t>C</t>
    </r>
    <r>
      <rPr>
        <b/>
        <vertAlign val="subscript"/>
        <sz val="14"/>
        <color theme="1"/>
        <rFont val="Calibri"/>
        <family val="2"/>
      </rPr>
      <t>b</t>
    </r>
  </si>
  <si>
    <r>
      <t>h</t>
    </r>
    <r>
      <rPr>
        <b/>
        <vertAlign val="subscript"/>
        <sz val="14"/>
        <color theme="1"/>
        <rFont val="Calibri"/>
        <family val="2"/>
      </rPr>
      <t>w</t>
    </r>
  </si>
  <si>
    <r>
      <t>t</t>
    </r>
    <r>
      <rPr>
        <b/>
        <vertAlign val="subscript"/>
        <sz val="14"/>
        <color theme="1"/>
        <rFont val="Calibri"/>
        <family val="2"/>
      </rPr>
      <t>w</t>
    </r>
  </si>
  <si>
    <r>
      <t>t</t>
    </r>
    <r>
      <rPr>
        <b/>
        <vertAlign val="subscript"/>
        <sz val="14"/>
        <color theme="1"/>
        <rFont val="Calibri"/>
        <family val="2"/>
      </rPr>
      <t>f</t>
    </r>
  </si>
  <si>
    <r>
      <t>S</t>
    </r>
    <r>
      <rPr>
        <b/>
        <vertAlign val="subscript"/>
        <sz val="14"/>
        <color theme="1"/>
        <rFont val="Calibri"/>
        <family val="2"/>
      </rPr>
      <t>x upper</t>
    </r>
    <r>
      <rPr>
        <b/>
        <sz val="14"/>
        <color theme="1"/>
        <rFont val="Calibri"/>
        <family val="2"/>
      </rPr>
      <t xml:space="preserve"> </t>
    </r>
  </si>
  <si>
    <r>
      <t>S</t>
    </r>
    <r>
      <rPr>
        <b/>
        <vertAlign val="subscript"/>
        <sz val="14"/>
        <color theme="1"/>
        <rFont val="Calibri"/>
        <family val="2"/>
      </rPr>
      <t>x lower</t>
    </r>
  </si>
  <si>
    <r>
      <t>Moment ( M</t>
    </r>
    <r>
      <rPr>
        <b/>
        <vertAlign val="subscript"/>
        <sz val="14"/>
        <color theme="1"/>
        <rFont val="Calibri"/>
        <family val="2"/>
      </rPr>
      <t>x</t>
    </r>
    <r>
      <rPr>
        <b/>
        <sz val="14"/>
        <color theme="1"/>
        <rFont val="Calibri"/>
        <family val="2"/>
      </rPr>
      <t xml:space="preserve"> )</t>
    </r>
  </si>
  <si>
    <r>
      <t>h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>/t</t>
    </r>
    <r>
      <rPr>
        <b/>
        <vertAlign val="subscript"/>
        <sz val="14"/>
        <color theme="1"/>
        <rFont val="Calibri"/>
        <family val="2"/>
      </rPr>
      <t>w</t>
    </r>
    <r>
      <rPr>
        <b/>
        <sz val="14"/>
        <color theme="1"/>
        <rFont val="Calibri"/>
        <family val="2"/>
      </rPr>
      <t xml:space="preserve"> </t>
    </r>
  </si>
  <si>
    <r>
      <t>C/t</t>
    </r>
    <r>
      <rPr>
        <b/>
        <vertAlign val="subscript"/>
        <sz val="14"/>
        <color theme="1"/>
        <rFont val="Calibri"/>
        <family val="2"/>
      </rPr>
      <t>f</t>
    </r>
    <r>
      <rPr>
        <b/>
        <sz val="14"/>
        <color theme="1"/>
        <rFont val="Calibri"/>
        <family val="2"/>
      </rPr>
      <t xml:space="preserve"> </t>
    </r>
  </si>
  <si>
    <r>
      <t>λ</t>
    </r>
    <r>
      <rPr>
        <b/>
        <vertAlign val="subscript"/>
        <sz val="14"/>
        <color theme="1"/>
        <rFont val="Calibri"/>
        <family val="2"/>
      </rPr>
      <t>in</t>
    </r>
  </si>
  <si>
    <r>
      <t>λ</t>
    </r>
    <r>
      <rPr>
        <b/>
        <vertAlign val="subscript"/>
        <sz val="14"/>
        <color theme="1"/>
        <rFont val="Calibri"/>
        <family val="2"/>
      </rPr>
      <t>out</t>
    </r>
  </si>
  <si>
    <r>
      <t>λ</t>
    </r>
    <r>
      <rPr>
        <b/>
        <vertAlign val="subscript"/>
        <sz val="14"/>
        <color theme="1"/>
        <rFont val="Calibri"/>
        <family val="2"/>
      </rPr>
      <t>c</t>
    </r>
  </si>
  <si>
    <r>
      <t>F</t>
    </r>
    <r>
      <rPr>
        <b/>
        <vertAlign val="subscript"/>
        <sz val="14"/>
        <color theme="1"/>
        <rFont val="Calibri"/>
        <family val="2"/>
      </rPr>
      <t>cr</t>
    </r>
  </si>
  <si>
    <r>
      <t>P</t>
    </r>
    <r>
      <rPr>
        <b/>
        <vertAlign val="subscript"/>
        <sz val="14"/>
        <color theme="1"/>
        <rFont val="Calibri"/>
        <family val="2"/>
      </rPr>
      <t>nx</t>
    </r>
  </si>
  <si>
    <r>
      <t>P</t>
    </r>
    <r>
      <rPr>
        <b/>
        <vertAlign val="subscript"/>
        <sz val="14"/>
        <color theme="1"/>
        <rFont val="Calibri"/>
        <family val="2"/>
      </rPr>
      <t>ny</t>
    </r>
  </si>
  <si>
    <t>Out Of 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</si>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</sst>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b/>
      <sz val="16"/>
      <color theme="1"/>
      <name val="Calibri"/>
      <family val="2"/>
    </font>
    <font>
      <b/>
      <sz val="14"/>
      <name val="Calibri"/>
      <family val="2"/>
    </font>
    <font>
      <b/>
      <vertAlign val="superscript"/>
      <sz val="14"/>
      <name val="Calibri"/>
      <family val="2"/>
    </font>
    <font>
      <b/>
      <vertAlign val="subscript"/>
      <sz val="14"/>
      <name val="Calibri"/>
      <family val="2"/>
    </font>
    <font>
      <b/>
      <u/>
      <sz val="18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6"/>
      <color theme="1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b/>
      <vertAlign val="subscript"/>
      <sz val="14"/>
      <color theme="1"/>
      <name val="Calibri"/>
      <family val="2"/>
    </font>
    <font>
      <b/>
      <vertAlign val="superscript"/>
      <sz val="14"/>
      <color theme="1"/>
      <name val="Calibri"/>
      <family val="2"/>
    </font>
    <font>
      <b/>
      <sz val="14"/>
      <color theme="1"/>
      <name val="Symbol"/>
      <family val="1"/>
      <charset val="2"/>
    </font>
    <font>
      <b/>
      <sz val="11"/>
      <color rgb="FFFF0000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 shrinkToFit="1"/>
    </xf>
    <xf numFmtId="2" fontId="13" fillId="0" borderId="1" xfId="0" applyNumberFormat="1" applyFont="1" applyFill="1" applyBorder="1" applyAlignment="1">
      <alignment horizontal="center" vertical="center" shrinkToFit="1"/>
    </xf>
    <xf numFmtId="164" fontId="13" fillId="0" borderId="1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 shrinkToFit="1"/>
    </xf>
    <xf numFmtId="164" fontId="13" fillId="0" borderId="0" xfId="0" applyNumberFormat="1" applyFont="1" applyFill="1" applyBorder="1" applyAlignment="1">
      <alignment horizontal="center" vertical="center" shrinkToFit="1"/>
    </xf>
    <xf numFmtId="2" fontId="13" fillId="0" borderId="0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20</xdr:row>
      <xdr:rowOff>485738</xdr:rowOff>
    </xdr:from>
    <xdr:ext cx="410845" cy="112395"/>
    <xdr:sp macro="" textlink="">
      <xdr:nvSpPr>
        <xdr:cNvPr id="2" name="Shape 713">
          <a:extLst>
            <a:ext uri="{FF2B5EF4-FFF2-40B4-BE49-F238E27FC236}">
              <a16:creationId xmlns:a16="http://schemas.microsoft.com/office/drawing/2014/main" id="{116B1072-E8D4-48DA-BF88-2543F98AEFF4}"/>
            </a:ext>
          </a:extLst>
        </xdr:cNvPr>
        <xdr:cNvSpPr/>
      </xdr:nvSpPr>
      <xdr:spPr>
        <a:xfrm>
          <a:off x="16363950" y="5410163"/>
          <a:ext cx="410845" cy="112395"/>
        </a:xfrm>
        <a:custGeom>
          <a:avLst/>
          <a:gdLst/>
          <a:ahLst/>
          <a:cxnLst/>
          <a:rect l="0" t="0" r="0" b="0"/>
          <a:pathLst>
            <a:path w="410845" h="112395">
              <a:moveTo>
                <a:pt x="5304366" y="-11455685"/>
              </a:moveTo>
              <a:lnTo>
                <a:pt x="5304366" y="-11530912"/>
              </a:lnTo>
              <a:lnTo>
                <a:pt x="5304459" y="-11530912"/>
              </a:lnTo>
            </a:path>
            <a:path w="410845" h="112395">
              <a:moveTo>
                <a:pt x="5304366" y="-11480733"/>
              </a:moveTo>
              <a:lnTo>
                <a:pt x="5331826" y="-11505865"/>
              </a:lnTo>
              <a:lnTo>
                <a:pt x="5345416" y="-11505865"/>
              </a:lnTo>
              <a:lnTo>
                <a:pt x="5359100" y="-11493256"/>
              </a:lnTo>
              <a:lnTo>
                <a:pt x="5359100" y="-11455685"/>
              </a:lnTo>
              <a:lnTo>
                <a:pt x="5359286" y="-11455685"/>
              </a:lnTo>
            </a:path>
            <a:path w="410845" h="112395">
              <a:moveTo>
                <a:pt x="5386466" y="-11493256"/>
              </a:moveTo>
              <a:lnTo>
                <a:pt x="5441107" y="-11493256"/>
              </a:lnTo>
              <a:lnTo>
                <a:pt x="5441200" y="-11493256"/>
              </a:lnTo>
            </a:path>
            <a:path w="410845" h="112395">
              <a:moveTo>
                <a:pt x="5468380" y="-11518389"/>
              </a:moveTo>
              <a:lnTo>
                <a:pt x="5482064" y="-11530912"/>
              </a:lnTo>
              <a:lnTo>
                <a:pt x="5509523" y="-11530912"/>
              </a:lnTo>
              <a:lnTo>
                <a:pt x="5523207" y="-11518389"/>
              </a:lnTo>
              <a:lnTo>
                <a:pt x="5523207" y="-11505865"/>
              </a:lnTo>
              <a:lnTo>
                <a:pt x="5509523" y="-11493256"/>
              </a:lnTo>
              <a:lnTo>
                <a:pt x="5482064" y="-11493256"/>
              </a:lnTo>
              <a:lnTo>
                <a:pt x="5468380" y="-11480733"/>
              </a:lnTo>
              <a:lnTo>
                <a:pt x="5468380" y="-11455685"/>
              </a:lnTo>
              <a:lnTo>
                <a:pt x="5523207" y="-11455685"/>
              </a:lnTo>
            </a:path>
            <a:path w="410845" h="112395">
              <a:moveTo>
                <a:pt x="5605121" y="-11505865"/>
              </a:moveTo>
              <a:lnTo>
                <a:pt x="5564164" y="-11505865"/>
              </a:lnTo>
              <a:lnTo>
                <a:pt x="5550480" y="-11493256"/>
              </a:lnTo>
              <a:lnTo>
                <a:pt x="5550480" y="-11468209"/>
              </a:lnTo>
              <a:lnTo>
                <a:pt x="5564164" y="-11455685"/>
              </a:lnTo>
              <a:lnTo>
                <a:pt x="5605121" y="-11455685"/>
              </a:lnTo>
              <a:lnTo>
                <a:pt x="5605307" y="-1145568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277939</xdr:colOff>
      <xdr:row>26</xdr:row>
      <xdr:rowOff>101376</xdr:rowOff>
    </xdr:from>
    <xdr:ext cx="0" cy="0"/>
    <xdr:sp macro="" textlink="">
      <xdr:nvSpPr>
        <xdr:cNvPr id="2" name="Shape 1172">
          <a:extLst>
            <a:ext uri="{FF2B5EF4-FFF2-40B4-BE49-F238E27FC236}">
              <a16:creationId xmlns:a16="http://schemas.microsoft.com/office/drawing/2014/main" id="{8C81FC2A-6F91-43EE-930D-C036B0B715B2}"/>
            </a:ext>
          </a:extLst>
        </xdr:cNvPr>
        <xdr:cNvSpPr/>
      </xdr:nvSpPr>
      <xdr:spPr>
        <a:xfrm>
          <a:off x="14470189" y="6806976"/>
          <a:ext cx="0" cy="0"/>
        </a:xfrm>
        <a:custGeom>
          <a:avLst/>
          <a:gdLst/>
          <a:ahLst/>
          <a:cxnLst/>
          <a:rect l="0" t="0" r="0" b="0"/>
          <a:pathLst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17</xdr:col>
      <xdr:colOff>765619</xdr:colOff>
      <xdr:row>24</xdr:row>
      <xdr:rowOff>363124</xdr:rowOff>
    </xdr:from>
    <xdr:ext cx="7620" cy="0"/>
    <xdr:sp macro="" textlink="">
      <xdr:nvSpPr>
        <xdr:cNvPr id="3" name="Shape 1179">
          <a:extLst>
            <a:ext uri="{FF2B5EF4-FFF2-40B4-BE49-F238E27FC236}">
              <a16:creationId xmlns:a16="http://schemas.microsoft.com/office/drawing/2014/main" id="{D6F7F25C-DD5B-4E08-AE0A-47B67685E800}"/>
            </a:ext>
          </a:extLst>
        </xdr:cNvPr>
        <xdr:cNvSpPr/>
      </xdr:nvSpPr>
      <xdr:spPr>
        <a:xfrm>
          <a:off x="15567469" y="6440074"/>
          <a:ext cx="7620" cy="0"/>
        </a:xfrm>
        <a:custGeom>
          <a:avLst/>
          <a:gdLst/>
          <a:ahLst/>
          <a:cxnLst/>
          <a:rect l="0" t="0" r="0" b="0"/>
          <a:pathLst>
            <a:path w="7620">
              <a:moveTo>
                <a:pt x="4955928" y="-12927571"/>
              </a:moveTo>
              <a:lnTo>
                <a:pt x="4956031" y="-12927571"/>
              </a:lnTo>
            </a:path>
            <a:path w="7620">
              <a:moveTo>
                <a:pt x="4958805" y="-12927571"/>
              </a:moveTo>
              <a:lnTo>
                <a:pt x="4952949" y="-12927571"/>
              </a:lnTo>
              <a:lnTo>
                <a:pt x="4953052" y="-1292757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277939</xdr:colOff>
      <xdr:row>26</xdr:row>
      <xdr:rowOff>101376</xdr:rowOff>
    </xdr:from>
    <xdr:ext cx="0" cy="0"/>
    <xdr:sp macro="" textlink="">
      <xdr:nvSpPr>
        <xdr:cNvPr id="2" name="Shape 1172">
          <a:extLst>
            <a:ext uri="{FF2B5EF4-FFF2-40B4-BE49-F238E27FC236}">
              <a16:creationId xmlns:a16="http://schemas.microsoft.com/office/drawing/2014/main" id="{C5A47A1A-7A40-419C-846A-36E6193F70ED}"/>
            </a:ext>
          </a:extLst>
        </xdr:cNvPr>
        <xdr:cNvSpPr/>
      </xdr:nvSpPr>
      <xdr:spPr>
        <a:xfrm>
          <a:off x="12536614" y="6968901"/>
          <a:ext cx="0" cy="0"/>
        </a:xfrm>
        <a:custGeom>
          <a:avLst/>
          <a:gdLst/>
          <a:ahLst/>
          <a:cxnLst/>
          <a:rect l="0" t="0" r="0" b="0"/>
          <a:pathLst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17</xdr:col>
      <xdr:colOff>765619</xdr:colOff>
      <xdr:row>23</xdr:row>
      <xdr:rowOff>363124</xdr:rowOff>
    </xdr:from>
    <xdr:ext cx="7620" cy="0"/>
    <xdr:sp macro="" textlink="">
      <xdr:nvSpPr>
        <xdr:cNvPr id="3" name="Shape 1179">
          <a:extLst>
            <a:ext uri="{FF2B5EF4-FFF2-40B4-BE49-F238E27FC236}">
              <a16:creationId xmlns:a16="http://schemas.microsoft.com/office/drawing/2014/main" id="{ED672269-3726-4A38-B70C-4C5F72819887}"/>
            </a:ext>
          </a:extLst>
        </xdr:cNvPr>
        <xdr:cNvSpPr/>
      </xdr:nvSpPr>
      <xdr:spPr>
        <a:xfrm>
          <a:off x="13633894" y="6601999"/>
          <a:ext cx="7620" cy="0"/>
        </a:xfrm>
        <a:custGeom>
          <a:avLst/>
          <a:gdLst/>
          <a:ahLst/>
          <a:cxnLst/>
          <a:rect l="0" t="0" r="0" b="0"/>
          <a:pathLst>
            <a:path w="7620">
              <a:moveTo>
                <a:pt x="4955928" y="-12927571"/>
              </a:moveTo>
              <a:lnTo>
                <a:pt x="4956031" y="-12927571"/>
              </a:lnTo>
            </a:path>
            <a:path w="7620">
              <a:moveTo>
                <a:pt x="4958805" y="-12927571"/>
              </a:moveTo>
              <a:lnTo>
                <a:pt x="4952949" y="-12927571"/>
              </a:lnTo>
              <a:lnTo>
                <a:pt x="4953052" y="-1292757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277939</xdr:colOff>
      <xdr:row>26</xdr:row>
      <xdr:rowOff>101376</xdr:rowOff>
    </xdr:from>
    <xdr:ext cx="0" cy="0"/>
    <xdr:sp macro="" textlink="">
      <xdr:nvSpPr>
        <xdr:cNvPr id="2" name="Shape 1172">
          <a:extLst>
            <a:ext uri="{FF2B5EF4-FFF2-40B4-BE49-F238E27FC236}">
              <a16:creationId xmlns:a16="http://schemas.microsoft.com/office/drawing/2014/main" id="{FDE01823-984D-4197-ABF9-B50703B95D37}"/>
            </a:ext>
          </a:extLst>
        </xdr:cNvPr>
        <xdr:cNvSpPr/>
      </xdr:nvSpPr>
      <xdr:spPr>
        <a:xfrm>
          <a:off x="11707939" y="6740301"/>
          <a:ext cx="0" cy="0"/>
        </a:xfrm>
        <a:custGeom>
          <a:avLst/>
          <a:gdLst/>
          <a:ahLst/>
          <a:cxnLst/>
          <a:rect l="0" t="0" r="0" b="0"/>
          <a:pathLst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  <a:path>
              <a:moveTo>
                <a:pt x="5148330" y="-13148473"/>
              </a:moveTo>
              <a:lnTo>
                <a:pt x="5148330" y="-13148473"/>
              </a:lnTo>
              <a:lnTo>
                <a:pt x="5148330" y="-13148473"/>
              </a:lnTo>
              <a:close/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17</xdr:col>
      <xdr:colOff>765619</xdr:colOff>
      <xdr:row>23</xdr:row>
      <xdr:rowOff>363124</xdr:rowOff>
    </xdr:from>
    <xdr:ext cx="7620" cy="0"/>
    <xdr:sp macro="" textlink="">
      <xdr:nvSpPr>
        <xdr:cNvPr id="3" name="Shape 1179">
          <a:extLst>
            <a:ext uri="{FF2B5EF4-FFF2-40B4-BE49-F238E27FC236}">
              <a16:creationId xmlns:a16="http://schemas.microsoft.com/office/drawing/2014/main" id="{E8EEE453-D126-40DD-B216-05C55E9ED505}"/>
            </a:ext>
          </a:extLst>
        </xdr:cNvPr>
        <xdr:cNvSpPr/>
      </xdr:nvSpPr>
      <xdr:spPr>
        <a:xfrm>
          <a:off x="12805219" y="6106699"/>
          <a:ext cx="7620" cy="0"/>
        </a:xfrm>
        <a:custGeom>
          <a:avLst/>
          <a:gdLst/>
          <a:ahLst/>
          <a:cxnLst/>
          <a:rect l="0" t="0" r="0" b="0"/>
          <a:pathLst>
            <a:path w="7620">
              <a:moveTo>
                <a:pt x="4955928" y="-12927571"/>
              </a:moveTo>
              <a:lnTo>
                <a:pt x="4956031" y="-12927571"/>
              </a:lnTo>
            </a:path>
            <a:path w="7620">
              <a:moveTo>
                <a:pt x="4958805" y="-12927571"/>
              </a:moveTo>
              <a:lnTo>
                <a:pt x="4952949" y="-12927571"/>
              </a:lnTo>
              <a:lnTo>
                <a:pt x="4953052" y="-12927571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DC54-2288-4725-99DC-8F8FF858EBEC}">
  <sheetPr>
    <pageSetUpPr fitToPage="1"/>
  </sheetPr>
  <dimension ref="A1:AE52"/>
  <sheetViews>
    <sheetView showGridLines="0" tabSelected="1" zoomScaleNormal="100" zoomScaleSheetLayoutView="55" workbookViewId="0">
      <selection activeCell="A41" sqref="A41:D43"/>
    </sheetView>
  </sheetViews>
  <sheetFormatPr defaultRowHeight="18.75" x14ac:dyDescent="0.25"/>
  <cols>
    <col min="1" max="1" width="5.625" style="8" bestFit="1" customWidth="1"/>
    <col min="2" max="2" width="9" style="8"/>
    <col min="3" max="3" width="10.125" style="8" customWidth="1"/>
    <col min="4" max="4" width="9" style="8"/>
    <col min="5" max="5" width="17.125" style="8" customWidth="1"/>
    <col min="6" max="6" width="10" style="8" customWidth="1"/>
    <col min="7" max="7" width="9.75" style="33" bestFit="1" customWidth="1"/>
    <col min="8" max="8" width="9" style="8"/>
    <col min="9" max="9" width="9.75" style="8" bestFit="1" customWidth="1"/>
    <col min="10" max="10" width="11.125" style="8" bestFit="1" customWidth="1"/>
    <col min="11" max="11" width="10.5" style="8" customWidth="1"/>
    <col min="12" max="16384" width="9" style="8"/>
  </cols>
  <sheetData>
    <row r="1" spans="1:31" x14ac:dyDescent="0.25">
      <c r="A1" s="5">
        <v>37</v>
      </c>
      <c r="B1" s="5" t="s">
        <v>0</v>
      </c>
      <c r="C1" s="24"/>
      <c r="D1" s="24"/>
      <c r="E1" s="24"/>
      <c r="F1" s="31"/>
      <c r="G1" s="24"/>
      <c r="H1" s="24"/>
      <c r="I1" s="24"/>
      <c r="J1" s="24"/>
      <c r="K1" s="24"/>
      <c r="L1" s="24"/>
      <c r="M1" s="24"/>
      <c r="N1" s="24"/>
      <c r="U1" s="41" t="s">
        <v>8</v>
      </c>
      <c r="V1" s="42"/>
    </row>
    <row r="2" spans="1:31" x14ac:dyDescent="0.25">
      <c r="A2" s="5">
        <v>44</v>
      </c>
      <c r="B2" s="5" t="s">
        <v>1</v>
      </c>
      <c r="C2" s="24"/>
      <c r="D2" s="24"/>
      <c r="E2" s="24"/>
      <c r="F2" s="31"/>
      <c r="G2" s="24"/>
      <c r="H2" s="24"/>
      <c r="I2" s="24"/>
      <c r="J2" s="24"/>
      <c r="K2" s="24"/>
      <c r="L2" s="24"/>
      <c r="M2" s="24"/>
      <c r="N2" s="24"/>
      <c r="P2" s="1" t="s">
        <v>9</v>
      </c>
      <c r="Q2" s="1" t="s">
        <v>10</v>
      </c>
      <c r="R2" s="1" t="s">
        <v>11</v>
      </c>
      <c r="S2" s="35" t="s">
        <v>12</v>
      </c>
      <c r="T2" s="36"/>
      <c r="U2" s="36"/>
      <c r="V2" s="36"/>
      <c r="W2" s="36"/>
      <c r="X2" s="36"/>
      <c r="Y2" s="37"/>
      <c r="Z2" s="35" t="s">
        <v>13</v>
      </c>
      <c r="AA2" s="36"/>
      <c r="AB2" s="37"/>
      <c r="AC2" s="35" t="s">
        <v>14</v>
      </c>
      <c r="AD2" s="36"/>
      <c r="AE2" s="37"/>
    </row>
    <row r="3" spans="1:31" ht="21.75" x14ac:dyDescent="0.25">
      <c r="A3" s="5">
        <v>52</v>
      </c>
      <c r="B3" s="5" t="s">
        <v>2</v>
      </c>
      <c r="C3" s="24"/>
      <c r="D3" s="24"/>
      <c r="E3" s="24"/>
      <c r="F3" s="31"/>
      <c r="G3" s="31"/>
      <c r="H3" s="31"/>
      <c r="I3" s="31"/>
      <c r="J3" s="31"/>
      <c r="K3" s="31"/>
      <c r="L3" s="31"/>
      <c r="M3" s="31"/>
      <c r="N3" s="24"/>
      <c r="P3" s="1" t="s">
        <v>15</v>
      </c>
      <c r="Q3" s="1" t="s">
        <v>43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48</v>
      </c>
      <c r="AE3" s="1" t="s">
        <v>49</v>
      </c>
    </row>
    <row r="4" spans="1:31" ht="21" x14ac:dyDescent="0.3">
      <c r="A4" s="24" t="s">
        <v>50</v>
      </c>
      <c r="B4" s="38">
        <v>37</v>
      </c>
      <c r="C4" s="38"/>
      <c r="D4" s="24"/>
      <c r="E4" s="32" t="s">
        <v>40</v>
      </c>
      <c r="F4" s="25"/>
      <c r="G4" s="31"/>
      <c r="H4" s="24"/>
      <c r="I4" s="31"/>
      <c r="J4" s="24"/>
      <c r="K4" s="24"/>
      <c r="L4" s="24"/>
      <c r="M4" s="24"/>
      <c r="N4" s="31"/>
      <c r="P4" s="9">
        <v>80</v>
      </c>
      <c r="Q4" s="10">
        <v>7.64</v>
      </c>
      <c r="R4" s="9">
        <v>6</v>
      </c>
      <c r="S4" s="9">
        <v>80</v>
      </c>
      <c r="T4" s="9">
        <v>46</v>
      </c>
      <c r="U4" s="11">
        <v>3.8</v>
      </c>
      <c r="V4" s="9">
        <v>5</v>
      </c>
      <c r="W4" s="11">
        <v>5.2</v>
      </c>
      <c r="X4" s="11">
        <v>10.199999999999999</v>
      </c>
      <c r="Y4" s="9">
        <v>59</v>
      </c>
      <c r="Z4" s="11">
        <v>80.099999999999994</v>
      </c>
      <c r="AA4" s="9">
        <v>20</v>
      </c>
      <c r="AB4" s="10">
        <v>3.24</v>
      </c>
      <c r="AC4" s="10">
        <v>8.49</v>
      </c>
      <c r="AD4" s="10">
        <v>3.69</v>
      </c>
      <c r="AE4" s="10">
        <v>1.05</v>
      </c>
    </row>
    <row r="5" spans="1:31" ht="21" x14ac:dyDescent="0.25">
      <c r="A5" s="24" t="s">
        <v>61</v>
      </c>
      <c r="B5" s="24">
        <f>IF(B4=A1,2.4,IF(B4=A2,2.8,3.6))</f>
        <v>2.4</v>
      </c>
      <c r="C5" s="24" t="s">
        <v>62</v>
      </c>
      <c r="D5" s="24"/>
      <c r="E5" s="24" t="s">
        <v>63</v>
      </c>
      <c r="F5" s="13">
        <v>1800</v>
      </c>
      <c r="G5" s="24" t="s">
        <v>3</v>
      </c>
      <c r="I5" s="31"/>
      <c r="J5" s="24"/>
      <c r="K5" s="24"/>
      <c r="L5" s="24"/>
      <c r="M5" s="24"/>
      <c r="N5" s="31"/>
      <c r="P5" s="9">
        <v>100</v>
      </c>
      <c r="Q5" s="11">
        <v>10.3</v>
      </c>
      <c r="R5" s="11">
        <v>8.1</v>
      </c>
      <c r="S5" s="9">
        <v>100</v>
      </c>
      <c r="T5" s="9">
        <v>55</v>
      </c>
      <c r="U5" s="11">
        <v>4.0999999999999996</v>
      </c>
      <c r="V5" s="9">
        <v>7</v>
      </c>
      <c r="W5" s="11">
        <v>5.7</v>
      </c>
      <c r="X5" s="11">
        <v>12.7</v>
      </c>
      <c r="Y5" s="9">
        <v>74</v>
      </c>
      <c r="Z5" s="9">
        <v>171</v>
      </c>
      <c r="AA5" s="11">
        <v>34.200000000000003</v>
      </c>
      <c r="AB5" s="10">
        <v>4.07</v>
      </c>
      <c r="AC5" s="11">
        <v>15.9</v>
      </c>
      <c r="AD5" s="10">
        <v>5.79</v>
      </c>
      <c r="AE5" s="10">
        <v>1.24</v>
      </c>
    </row>
    <row r="6" spans="1:31" ht="21" x14ac:dyDescent="0.2">
      <c r="A6" s="24" t="s">
        <v>64</v>
      </c>
      <c r="B6" s="24">
        <f>IF(B4=A1,3.7,IF(B4=A2,4.4,5.2))</f>
        <v>3.7</v>
      </c>
      <c r="C6" s="24" t="s">
        <v>62</v>
      </c>
      <c r="D6" s="24"/>
      <c r="E6" s="24" t="s">
        <v>4</v>
      </c>
      <c r="F6" s="13">
        <v>5</v>
      </c>
      <c r="G6" s="24" t="s">
        <v>5</v>
      </c>
      <c r="I6" s="24"/>
      <c r="J6" s="24"/>
      <c r="K6" s="24"/>
      <c r="L6" s="24"/>
      <c r="M6" s="24"/>
      <c r="N6" s="24"/>
      <c r="P6" s="9">
        <v>120</v>
      </c>
      <c r="Q6" s="11">
        <v>13.2</v>
      </c>
      <c r="R6" s="11">
        <v>10.4</v>
      </c>
      <c r="S6" s="9">
        <v>120</v>
      </c>
      <c r="T6" s="9">
        <v>64</v>
      </c>
      <c r="U6" s="11">
        <v>4.4000000000000004</v>
      </c>
      <c r="V6" s="9">
        <v>7</v>
      </c>
      <c r="W6" s="11">
        <v>6.3</v>
      </c>
      <c r="X6" s="11">
        <v>13.3</v>
      </c>
      <c r="Y6" s="9">
        <v>93</v>
      </c>
      <c r="Z6" s="9">
        <v>318</v>
      </c>
      <c r="AA6" s="9">
        <v>53</v>
      </c>
      <c r="AB6" s="11">
        <v>4.9000000000000004</v>
      </c>
      <c r="AC6" s="11">
        <v>27.7</v>
      </c>
      <c r="AD6" s="10">
        <v>8.65</v>
      </c>
      <c r="AE6" s="10">
        <v>1.45</v>
      </c>
    </row>
    <row r="7" spans="1:31" ht="20.25" x14ac:dyDescent="0.2">
      <c r="A7" s="24"/>
      <c r="B7" s="24"/>
      <c r="C7" s="24"/>
      <c r="D7" s="24"/>
      <c r="E7" s="15" t="s">
        <v>65</v>
      </c>
      <c r="F7" s="13">
        <v>30</v>
      </c>
      <c r="G7" s="15" t="s">
        <v>5</v>
      </c>
      <c r="I7" s="24"/>
      <c r="J7" s="24"/>
      <c r="K7" s="24"/>
      <c r="L7" s="24"/>
      <c r="M7" s="24"/>
      <c r="N7" s="24"/>
      <c r="P7" s="9">
        <v>140</v>
      </c>
      <c r="Q7" s="11">
        <v>16.399999999999999</v>
      </c>
      <c r="R7" s="11">
        <v>12.9</v>
      </c>
      <c r="S7" s="9">
        <v>140</v>
      </c>
      <c r="T7" s="9">
        <v>73</v>
      </c>
      <c r="U7" s="11">
        <v>4.7</v>
      </c>
      <c r="V7" s="9">
        <v>7</v>
      </c>
      <c r="W7" s="11">
        <v>6.9</v>
      </c>
      <c r="X7" s="11">
        <v>13.9</v>
      </c>
      <c r="Y7" s="9">
        <v>112</v>
      </c>
      <c r="Z7" s="9">
        <v>541</v>
      </c>
      <c r="AA7" s="11">
        <v>77.3</v>
      </c>
      <c r="AB7" s="10">
        <v>5.74</v>
      </c>
      <c r="AC7" s="11">
        <v>44.9</v>
      </c>
      <c r="AD7" s="11">
        <v>12.3</v>
      </c>
      <c r="AE7" s="10">
        <v>1.65</v>
      </c>
    </row>
    <row r="8" spans="1:31" x14ac:dyDescent="0.25">
      <c r="A8" s="40" t="s">
        <v>60</v>
      </c>
      <c r="B8" s="40"/>
      <c r="C8" s="40"/>
      <c r="D8" s="24"/>
      <c r="I8" s="24"/>
      <c r="J8" s="24"/>
      <c r="K8" s="24"/>
      <c r="L8" s="24"/>
      <c r="M8" s="24"/>
      <c r="N8" s="24"/>
      <c r="P8" s="9">
        <v>160</v>
      </c>
      <c r="Q8" s="11">
        <v>20.100000000000001</v>
      </c>
      <c r="R8" s="11">
        <v>15.8</v>
      </c>
      <c r="S8" s="9">
        <v>160</v>
      </c>
      <c r="T8" s="9">
        <v>82</v>
      </c>
      <c r="U8" s="9">
        <v>5</v>
      </c>
      <c r="V8" s="9">
        <v>9</v>
      </c>
      <c r="W8" s="11">
        <v>7.4</v>
      </c>
      <c r="X8" s="11">
        <v>16.399999999999999</v>
      </c>
      <c r="Y8" s="9">
        <v>127</v>
      </c>
      <c r="Z8" s="9">
        <v>869</v>
      </c>
      <c r="AA8" s="9">
        <v>109</v>
      </c>
      <c r="AB8" s="10">
        <v>6.58</v>
      </c>
      <c r="AC8" s="11">
        <v>68.3</v>
      </c>
      <c r="AD8" s="11">
        <v>16.7</v>
      </c>
      <c r="AE8" s="10">
        <v>1.84</v>
      </c>
    </row>
    <row r="9" spans="1:31" ht="23.25" x14ac:dyDescent="0.2">
      <c r="A9" s="24" t="s">
        <v>66</v>
      </c>
      <c r="B9" s="16">
        <f>0.8*2000</f>
        <v>1600</v>
      </c>
      <c r="C9" s="24" t="s">
        <v>6</v>
      </c>
      <c r="D9" s="24"/>
      <c r="E9" s="32" t="s">
        <v>28</v>
      </c>
      <c r="F9" s="34"/>
      <c r="G9" s="24"/>
      <c r="H9" s="24"/>
      <c r="I9" s="24"/>
      <c r="J9" s="24"/>
      <c r="K9" s="24"/>
      <c r="L9" s="24"/>
      <c r="M9" s="24"/>
      <c r="N9" s="24"/>
      <c r="P9" s="9">
        <v>180</v>
      </c>
      <c r="Q9" s="11">
        <v>23.9</v>
      </c>
      <c r="R9" s="11">
        <v>18.8</v>
      </c>
      <c r="S9" s="9">
        <v>180</v>
      </c>
      <c r="T9" s="9">
        <v>91</v>
      </c>
      <c r="U9" s="11">
        <v>5.3</v>
      </c>
      <c r="V9" s="9">
        <v>9</v>
      </c>
      <c r="W9" s="9">
        <v>8</v>
      </c>
      <c r="X9" s="9">
        <v>17</v>
      </c>
      <c r="Y9" s="9">
        <v>146</v>
      </c>
      <c r="Z9" s="9">
        <v>1320</v>
      </c>
      <c r="AA9" s="9">
        <v>146</v>
      </c>
      <c r="AB9" s="10">
        <v>7.42</v>
      </c>
      <c r="AC9" s="9">
        <v>101</v>
      </c>
      <c r="AD9" s="11">
        <v>22.2</v>
      </c>
      <c r="AE9" s="10">
        <v>2.0499999999999998</v>
      </c>
    </row>
    <row r="10" spans="1:31" ht="20.25" x14ac:dyDescent="0.2">
      <c r="A10" s="24" t="s">
        <v>67</v>
      </c>
      <c r="B10" s="16">
        <v>200</v>
      </c>
      <c r="C10" s="24" t="s">
        <v>6</v>
      </c>
      <c r="D10" s="24"/>
      <c r="E10" s="43" t="s">
        <v>29</v>
      </c>
      <c r="F10" s="43"/>
      <c r="G10" s="24"/>
      <c r="H10" s="24"/>
      <c r="I10" s="24"/>
      <c r="J10" s="24"/>
      <c r="K10" s="24"/>
      <c r="L10" s="24"/>
      <c r="M10" s="24"/>
      <c r="N10" s="24"/>
      <c r="P10" s="9">
        <v>200</v>
      </c>
      <c r="Q10" s="11">
        <v>28.5</v>
      </c>
      <c r="R10" s="11">
        <v>22.4</v>
      </c>
      <c r="S10" s="9">
        <v>200</v>
      </c>
      <c r="T10" s="9">
        <v>100</v>
      </c>
      <c r="U10" s="11">
        <v>5.6</v>
      </c>
      <c r="V10" s="9">
        <v>12</v>
      </c>
      <c r="W10" s="11">
        <v>8.5</v>
      </c>
      <c r="X10" s="11">
        <v>20.5</v>
      </c>
      <c r="Y10" s="9">
        <v>159</v>
      </c>
      <c r="Z10" s="9">
        <v>1940</v>
      </c>
      <c r="AA10" s="9">
        <v>194</v>
      </c>
      <c r="AB10" s="10">
        <v>8.26</v>
      </c>
      <c r="AC10" s="9">
        <v>142</v>
      </c>
      <c r="AD10" s="11">
        <v>28.5</v>
      </c>
      <c r="AE10" s="10">
        <v>2.2400000000000002</v>
      </c>
    </row>
    <row r="11" spans="1:31" ht="18.75" customHeight="1" x14ac:dyDescent="0.25">
      <c r="A11" s="24" t="s">
        <v>68</v>
      </c>
      <c r="B11" s="16">
        <v>200</v>
      </c>
      <c r="C11" s="24" t="s">
        <v>6</v>
      </c>
      <c r="D11" s="24"/>
      <c r="E11" s="3" t="s">
        <v>59</v>
      </c>
      <c r="F11" s="24">
        <f>(1/(0.1*B15-2*0.1*B19))*((B15/20)+(F6/(2*0.1*B17*B5))-(0.1*B19))</f>
        <v>0.53891462442717664</v>
      </c>
      <c r="G11" s="31"/>
      <c r="H11" s="24"/>
      <c r="I11" s="24"/>
      <c r="K11" s="24"/>
      <c r="L11" s="24"/>
      <c r="M11" s="24"/>
      <c r="N11" s="24"/>
      <c r="P11" s="9">
        <v>220</v>
      </c>
      <c r="Q11" s="11">
        <v>33.4</v>
      </c>
      <c r="R11" s="11">
        <v>26.2</v>
      </c>
      <c r="S11" s="9">
        <v>220</v>
      </c>
      <c r="T11" s="9">
        <v>110</v>
      </c>
      <c r="U11" s="11">
        <v>5.9</v>
      </c>
      <c r="V11" s="9">
        <v>12</v>
      </c>
      <c r="W11" s="11">
        <v>9.1999999999999993</v>
      </c>
      <c r="X11" s="11">
        <v>21.2</v>
      </c>
      <c r="Y11" s="9">
        <v>177</v>
      </c>
      <c r="Z11" s="9">
        <v>2770</v>
      </c>
      <c r="AA11" s="9">
        <v>252</v>
      </c>
      <c r="AB11" s="10">
        <v>9.11</v>
      </c>
      <c r="AC11" s="9">
        <v>205</v>
      </c>
      <c r="AD11" s="11">
        <v>37.299999999999997</v>
      </c>
      <c r="AE11" s="10">
        <v>2.48</v>
      </c>
    </row>
    <row r="12" spans="1:31" ht="18.75" customHeight="1" x14ac:dyDescent="0.2">
      <c r="A12" s="24"/>
      <c r="B12" s="16"/>
      <c r="C12" s="24"/>
      <c r="D12" s="24"/>
      <c r="E12" s="24" t="s">
        <v>69</v>
      </c>
      <c r="F12" s="24">
        <f>B21/B17</f>
        <v>37.25</v>
      </c>
      <c r="G12" s="24" t="str">
        <f>IF(AND(F11&gt;0.5,F12&lt;=((699/SQRT(B5))/(13*F11-1))),B1,IF(AND(F11&lt;=0.5,F12&lt;=((63.3/F11)/SQRT(B5))),B1,B2))</f>
        <v>Compact</v>
      </c>
      <c r="H12" s="39" t="s">
        <v>30</v>
      </c>
      <c r="I12" s="39" t="str">
        <f>IF(AND(G12=B1,G13=B1),B1,B2)</f>
        <v>Compact</v>
      </c>
      <c r="J12" s="39" t="s">
        <v>51</v>
      </c>
      <c r="M12" s="24"/>
      <c r="N12" s="24"/>
      <c r="P12" s="9">
        <v>240</v>
      </c>
      <c r="Q12" s="11">
        <v>39.1</v>
      </c>
      <c r="R12" s="11">
        <v>30.7</v>
      </c>
      <c r="S12" s="9">
        <v>240</v>
      </c>
      <c r="T12" s="9">
        <v>120</v>
      </c>
      <c r="U12" s="11">
        <v>6.2</v>
      </c>
      <c r="V12" s="9">
        <v>15</v>
      </c>
      <c r="W12" s="11">
        <v>9.8000000000000007</v>
      </c>
      <c r="X12" s="11">
        <v>24.8</v>
      </c>
      <c r="Y12" s="9">
        <v>190</v>
      </c>
      <c r="Z12" s="9">
        <v>3890</v>
      </c>
      <c r="AA12" s="9">
        <v>324</v>
      </c>
      <c r="AB12" s="10">
        <v>9.9700000000000006</v>
      </c>
      <c r="AC12" s="9">
        <v>284</v>
      </c>
      <c r="AD12" s="11">
        <v>47.3</v>
      </c>
      <c r="AE12" s="10">
        <v>2.69</v>
      </c>
    </row>
    <row r="13" spans="1:31" ht="20.25" x14ac:dyDescent="0.2">
      <c r="A13" s="40" t="s">
        <v>55</v>
      </c>
      <c r="B13" s="40"/>
      <c r="C13" s="40"/>
      <c r="D13" s="24"/>
      <c r="E13" s="24" t="s">
        <v>70</v>
      </c>
      <c r="F13" s="24">
        <f>(B16-B17-2*B18)/(2*B19)</f>
        <v>4.9606299212598426</v>
      </c>
      <c r="G13" s="24" t="str">
        <f>IF(F13&lt;=16.9/SQRT(B5),B1,B2)</f>
        <v>Compact</v>
      </c>
      <c r="H13" s="39"/>
      <c r="I13" s="39"/>
      <c r="J13" s="39"/>
      <c r="L13" s="24"/>
      <c r="M13" s="24"/>
      <c r="N13" s="24"/>
      <c r="P13" s="9">
        <v>270</v>
      </c>
      <c r="Q13" s="11">
        <v>45.9</v>
      </c>
      <c r="R13" s="11">
        <v>36.1</v>
      </c>
      <c r="S13" s="9">
        <v>270</v>
      </c>
      <c r="T13" s="9">
        <v>135</v>
      </c>
      <c r="U13" s="11">
        <v>6.6</v>
      </c>
      <c r="V13" s="9">
        <v>15</v>
      </c>
      <c r="W13" s="11">
        <v>10.199999999999999</v>
      </c>
      <c r="X13" s="11">
        <v>25.2</v>
      </c>
      <c r="Y13" s="9">
        <v>219</v>
      </c>
      <c r="Z13" s="9">
        <v>5790</v>
      </c>
      <c r="AA13" s="9">
        <v>429</v>
      </c>
      <c r="AB13" s="11">
        <v>11.2</v>
      </c>
      <c r="AC13" s="9">
        <v>420</v>
      </c>
      <c r="AD13" s="11">
        <v>62.2</v>
      </c>
      <c r="AE13" s="10">
        <v>3.02</v>
      </c>
    </row>
    <row r="14" spans="1:31" x14ac:dyDescent="0.3">
      <c r="A14" s="24" t="s">
        <v>8</v>
      </c>
      <c r="B14" s="38">
        <v>360</v>
      </c>
      <c r="C14" s="38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P14" s="9">
        <v>300</v>
      </c>
      <c r="Q14" s="11">
        <v>53.8</v>
      </c>
      <c r="R14" s="11">
        <v>42.2</v>
      </c>
      <c r="S14" s="9">
        <v>300</v>
      </c>
      <c r="T14" s="9">
        <v>150</v>
      </c>
      <c r="U14" s="11">
        <v>7.1</v>
      </c>
      <c r="V14" s="9">
        <v>15</v>
      </c>
      <c r="W14" s="11">
        <v>10.7</v>
      </c>
      <c r="X14" s="11">
        <v>25.7</v>
      </c>
      <c r="Y14" s="9">
        <v>248</v>
      </c>
      <c r="Z14" s="9">
        <v>8360</v>
      </c>
      <c r="AA14" s="9">
        <v>557</v>
      </c>
      <c r="AB14" s="11">
        <v>12.5</v>
      </c>
      <c r="AC14" s="9">
        <v>604</v>
      </c>
      <c r="AD14" s="11">
        <v>80.5</v>
      </c>
      <c r="AE14" s="10">
        <v>3.35</v>
      </c>
    </row>
    <row r="15" spans="1:31" x14ac:dyDescent="0.2">
      <c r="A15" s="24" t="s">
        <v>17</v>
      </c>
      <c r="B15" s="24">
        <f>VLOOKUP(B14,table,4,FALSE)</f>
        <v>360</v>
      </c>
      <c r="C15" s="24" t="s">
        <v>7</v>
      </c>
      <c r="D15" s="24"/>
      <c r="E15" s="25" t="s">
        <v>57</v>
      </c>
      <c r="F15" s="24"/>
      <c r="G15" s="24"/>
      <c r="H15" s="24"/>
      <c r="I15" s="24"/>
      <c r="J15" s="24"/>
      <c r="K15" s="24"/>
      <c r="L15" s="24"/>
      <c r="M15" s="24"/>
      <c r="N15" s="24"/>
      <c r="P15" s="9">
        <v>330</v>
      </c>
      <c r="Q15" s="11">
        <v>62.6</v>
      </c>
      <c r="R15" s="11">
        <v>49.1</v>
      </c>
      <c r="S15" s="9">
        <v>330</v>
      </c>
      <c r="T15" s="9">
        <v>160</v>
      </c>
      <c r="U15" s="11">
        <v>7.5</v>
      </c>
      <c r="V15" s="9">
        <v>18</v>
      </c>
      <c r="W15" s="11">
        <v>11.5</v>
      </c>
      <c r="X15" s="11">
        <v>29.5</v>
      </c>
      <c r="Y15" s="9">
        <v>271</v>
      </c>
      <c r="Z15" s="9">
        <v>11770</v>
      </c>
      <c r="AA15" s="9">
        <v>713</v>
      </c>
      <c r="AB15" s="11">
        <v>13.7</v>
      </c>
      <c r="AC15" s="9">
        <v>788</v>
      </c>
      <c r="AD15" s="11">
        <v>98.5</v>
      </c>
      <c r="AE15" s="10">
        <v>3.55</v>
      </c>
    </row>
    <row r="16" spans="1:31" ht="20.25" x14ac:dyDescent="0.2">
      <c r="A16" s="24" t="s">
        <v>18</v>
      </c>
      <c r="B16" s="24">
        <f>VLOOKUP(B14,table,5,FALSE)</f>
        <v>170</v>
      </c>
      <c r="C16" s="24" t="s">
        <v>7</v>
      </c>
      <c r="D16" s="24"/>
      <c r="E16" s="24" t="s">
        <v>71</v>
      </c>
      <c r="F16" s="24">
        <f>B27*B5</f>
        <v>2451.6479999999997</v>
      </c>
      <c r="G16" s="24" t="s">
        <v>3</v>
      </c>
      <c r="H16" s="24"/>
      <c r="I16" s="24"/>
      <c r="J16" s="24"/>
      <c r="K16" s="24"/>
      <c r="L16" s="24"/>
      <c r="P16" s="9">
        <v>360</v>
      </c>
      <c r="Q16" s="11">
        <v>72.7</v>
      </c>
      <c r="R16" s="11">
        <v>57.1</v>
      </c>
      <c r="S16" s="9">
        <v>360</v>
      </c>
      <c r="T16" s="9">
        <v>170</v>
      </c>
      <c r="U16" s="9">
        <v>8</v>
      </c>
      <c r="V16" s="9">
        <v>18</v>
      </c>
      <c r="W16" s="11">
        <v>12.7</v>
      </c>
      <c r="X16" s="11">
        <v>30.7</v>
      </c>
      <c r="Y16" s="9">
        <v>298</v>
      </c>
      <c r="Z16" s="9">
        <v>16270</v>
      </c>
      <c r="AA16" s="9">
        <v>904</v>
      </c>
      <c r="AB16" s="9">
        <v>15</v>
      </c>
      <c r="AC16" s="9">
        <v>1040</v>
      </c>
      <c r="AD16" s="9">
        <v>123</v>
      </c>
      <c r="AE16" s="10">
        <v>3.79</v>
      </c>
    </row>
    <row r="17" spans="1:31" x14ac:dyDescent="0.2">
      <c r="A17" s="24" t="s">
        <v>19</v>
      </c>
      <c r="B17" s="24">
        <f>VLOOKUP(B14,table,6,FALSE)</f>
        <v>8</v>
      </c>
      <c r="C17" s="24" t="s">
        <v>7</v>
      </c>
      <c r="D17" s="24"/>
      <c r="E17" s="24" t="str">
        <f>IF(B11&lt;=B32,"Lb &lt;= Lp","")</f>
        <v/>
      </c>
      <c r="F17" s="24" t="str">
        <f>IF(B11&lt;=B32,"&gt;&gt;&gt;","")</f>
        <v/>
      </c>
      <c r="G17" s="24" t="str">
        <f>IF(B11&lt;=B32,"Mnx =","")</f>
        <v/>
      </c>
      <c r="H17" s="24" t="str">
        <f>IF(B11&lt;=B32,F16,"")</f>
        <v/>
      </c>
      <c r="I17" s="24" t="str">
        <f>IF(B11&lt;=B32,"cm.t","")</f>
        <v/>
      </c>
      <c r="P17" s="9">
        <v>400</v>
      </c>
      <c r="Q17" s="11">
        <v>84.5</v>
      </c>
      <c r="R17" s="11">
        <v>66.3</v>
      </c>
      <c r="S17" s="9">
        <v>400</v>
      </c>
      <c r="T17" s="9">
        <v>180</v>
      </c>
      <c r="U17" s="11">
        <v>8.6</v>
      </c>
      <c r="V17" s="9">
        <v>21</v>
      </c>
      <c r="W17" s="11">
        <v>13.5</v>
      </c>
      <c r="X17" s="11">
        <v>34.5</v>
      </c>
      <c r="Y17" s="9">
        <v>331</v>
      </c>
      <c r="Z17" s="9">
        <v>23130</v>
      </c>
      <c r="AA17" s="9">
        <v>1160</v>
      </c>
      <c r="AB17" s="11">
        <v>16.5</v>
      </c>
      <c r="AC17" s="9">
        <v>1320</v>
      </c>
      <c r="AD17" s="9">
        <v>146</v>
      </c>
      <c r="AE17" s="10">
        <v>3.95</v>
      </c>
    </row>
    <row r="18" spans="1:31" ht="20.25" customHeight="1" x14ac:dyDescent="0.2">
      <c r="A18" s="24" t="s">
        <v>20</v>
      </c>
      <c r="B18" s="24">
        <f>VLOOKUP(B14,table,7,FALSE)</f>
        <v>18</v>
      </c>
      <c r="C18" s="24" t="s">
        <v>7</v>
      </c>
      <c r="D18" s="24"/>
      <c r="E18" s="24" t="str">
        <f>IF(AND(B11&gt;B32,B11&lt;=B35),"Lp &lt; Lb &lt;= Lr","")</f>
        <v>Lp &lt; Lb &lt;= Lr</v>
      </c>
      <c r="F18" s="24" t="str">
        <f>IF(AND(B11&gt;B32,B11&lt;=B35),"&gt;&gt;&gt;","")</f>
        <v>&gt;&gt;&gt;</v>
      </c>
      <c r="G18" s="24" t="str">
        <f>IF(AND(B11&gt;B32,B11&lt;=B35),"Mnx =","")</f>
        <v>Mnx =</v>
      </c>
      <c r="H18" s="24">
        <f>IF(AND(B11&gt;B32,B11&lt;=B35),MIN(B37*(F16-(F16-(B26*0.75*B5))*((B11-B32)/(B35-B32))),F16),"")</f>
        <v>2451.6479999999997</v>
      </c>
      <c r="I18" s="24" t="str">
        <f>IF(AND(B11&gt;B32,B11&lt;=B35),"cm.t","")</f>
        <v>cm.t</v>
      </c>
      <c r="J18" s="24"/>
      <c r="K18" s="24"/>
      <c r="L18" s="24"/>
      <c r="P18" s="9">
        <v>450</v>
      </c>
      <c r="Q18" s="11">
        <v>98.8</v>
      </c>
      <c r="R18" s="11">
        <v>77.599999999999994</v>
      </c>
      <c r="S18" s="9">
        <v>450</v>
      </c>
      <c r="T18" s="9">
        <v>190</v>
      </c>
      <c r="U18" s="11">
        <v>9.4</v>
      </c>
      <c r="V18" s="9">
        <v>21</v>
      </c>
      <c r="W18" s="11">
        <v>14.6</v>
      </c>
      <c r="X18" s="11">
        <v>35.6</v>
      </c>
      <c r="Y18" s="9">
        <v>378</v>
      </c>
      <c r="Z18" s="9">
        <v>33740</v>
      </c>
      <c r="AA18" s="9">
        <v>1500</v>
      </c>
      <c r="AB18" s="11">
        <v>18.5</v>
      </c>
      <c r="AC18" s="9">
        <v>1680</v>
      </c>
      <c r="AD18" s="9">
        <v>176</v>
      </c>
      <c r="AE18" s="10">
        <v>4.12</v>
      </c>
    </row>
    <row r="19" spans="1:31" x14ac:dyDescent="0.2">
      <c r="A19" s="24" t="s">
        <v>21</v>
      </c>
      <c r="B19" s="24">
        <f>VLOOKUP(B14,table,8,FALSE)</f>
        <v>12.7</v>
      </c>
      <c r="C19" s="24" t="s">
        <v>7</v>
      </c>
      <c r="D19" s="24"/>
      <c r="E19" s="24" t="str">
        <f>IF(B11&gt;B35,"Lb &gt; Lr","")</f>
        <v/>
      </c>
      <c r="F19" s="24" t="str">
        <f>IF(B11&gt;B35,"&gt;&gt;&gt;","")</f>
        <v/>
      </c>
      <c r="G19" s="24" t="str">
        <f>IF(B11&gt;B35,"Mnx =","")</f>
        <v/>
      </c>
      <c r="H19" s="24" t="str">
        <f>IF(B11&gt;B35,MIN(B26*SQRT(((1380*0.1*B16*0.1*B19)/(0.1*B15*B11))^2+(20700/(B11/B33)^2)^2),F16),"")</f>
        <v/>
      </c>
      <c r="I19" s="24" t="str">
        <f>IF(B11&gt;B35,"cm.t","")</f>
        <v/>
      </c>
      <c r="J19" s="24"/>
      <c r="K19" s="24"/>
      <c r="L19" s="24"/>
      <c r="M19" s="24"/>
      <c r="N19" s="24"/>
      <c r="P19" s="9">
        <v>500</v>
      </c>
      <c r="Q19" s="9">
        <v>116</v>
      </c>
      <c r="R19" s="11">
        <v>90.7</v>
      </c>
      <c r="S19" s="9">
        <v>500</v>
      </c>
      <c r="T19" s="9">
        <v>200</v>
      </c>
      <c r="U19" s="11">
        <v>10.199999999999999</v>
      </c>
      <c r="V19" s="9">
        <v>21</v>
      </c>
      <c r="W19" s="9">
        <v>16</v>
      </c>
      <c r="X19" s="9">
        <v>37</v>
      </c>
      <c r="Y19" s="9">
        <v>426</v>
      </c>
      <c r="Z19" s="9">
        <v>48200</v>
      </c>
      <c r="AA19" s="9">
        <v>1930</v>
      </c>
      <c r="AB19" s="11">
        <v>20.399999999999999</v>
      </c>
      <c r="AC19" s="9">
        <v>2140</v>
      </c>
      <c r="AD19" s="9">
        <v>214</v>
      </c>
      <c r="AE19" s="10">
        <v>4.3099999999999996</v>
      </c>
    </row>
    <row r="20" spans="1:31" x14ac:dyDescent="0.2">
      <c r="A20" s="24" t="s">
        <v>22</v>
      </c>
      <c r="B20" s="24">
        <f>VLOOKUP(B14,table,9,FALSE)</f>
        <v>30.7</v>
      </c>
      <c r="C20" s="24" t="s">
        <v>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P20" s="9">
        <v>550</v>
      </c>
      <c r="Q20" s="9">
        <v>134</v>
      </c>
      <c r="R20" s="9">
        <v>106</v>
      </c>
      <c r="S20" s="9">
        <v>550</v>
      </c>
      <c r="T20" s="9">
        <v>210</v>
      </c>
      <c r="U20" s="11">
        <v>11.1</v>
      </c>
      <c r="V20" s="9">
        <v>24</v>
      </c>
      <c r="W20" s="11">
        <v>17.2</v>
      </c>
      <c r="X20" s="11">
        <v>41.2</v>
      </c>
      <c r="Y20" s="9">
        <v>467</v>
      </c>
      <c r="Z20" s="9">
        <v>67120</v>
      </c>
      <c r="AA20" s="9">
        <v>2440</v>
      </c>
      <c r="AB20" s="11">
        <v>22.3</v>
      </c>
      <c r="AC20" s="9">
        <v>2670</v>
      </c>
      <c r="AD20" s="9">
        <v>254</v>
      </c>
      <c r="AE20" s="10">
        <v>4.45</v>
      </c>
    </row>
    <row r="21" spans="1:31" x14ac:dyDescent="0.2">
      <c r="A21" s="24" t="s">
        <v>23</v>
      </c>
      <c r="B21" s="24">
        <f>VLOOKUP(B14,table,10,FALSE)</f>
        <v>298</v>
      </c>
      <c r="C21" s="24" t="s">
        <v>7</v>
      </c>
      <c r="D21" s="24"/>
      <c r="E21" s="43" t="s">
        <v>58</v>
      </c>
      <c r="F21" s="43"/>
      <c r="G21" s="24"/>
      <c r="H21" s="24"/>
      <c r="I21" s="24"/>
      <c r="J21" s="24"/>
      <c r="K21" s="24"/>
      <c r="L21" s="24"/>
      <c r="M21" s="24"/>
      <c r="N21" s="24"/>
      <c r="P21" s="9">
        <v>600</v>
      </c>
      <c r="Q21" s="9">
        <v>156</v>
      </c>
      <c r="R21" s="9">
        <v>122</v>
      </c>
      <c r="S21" s="9">
        <v>600</v>
      </c>
      <c r="T21" s="9">
        <v>220</v>
      </c>
      <c r="U21" s="9">
        <v>12</v>
      </c>
      <c r="V21" s="9">
        <v>24</v>
      </c>
      <c r="W21" s="9">
        <v>19</v>
      </c>
      <c r="X21" s="9">
        <v>43</v>
      </c>
      <c r="Y21" s="9">
        <v>514</v>
      </c>
      <c r="Z21" s="9">
        <v>92080</v>
      </c>
      <c r="AA21" s="9">
        <v>3070</v>
      </c>
      <c r="AB21" s="11">
        <v>24.3</v>
      </c>
      <c r="AC21" s="9">
        <v>3390</v>
      </c>
      <c r="AD21" s="9">
        <v>308</v>
      </c>
      <c r="AE21" s="10">
        <v>4.66</v>
      </c>
    </row>
    <row r="22" spans="1:31" x14ac:dyDescent="0.2">
      <c r="A22" s="24"/>
      <c r="B22" s="24"/>
      <c r="C22" s="24"/>
      <c r="D22" s="24"/>
      <c r="E22" s="43" t="s">
        <v>33</v>
      </c>
      <c r="F22" s="43"/>
      <c r="G22" s="39"/>
      <c r="H22" s="39"/>
      <c r="I22" s="43" t="s">
        <v>54</v>
      </c>
      <c r="J22" s="43"/>
      <c r="K22" s="24"/>
      <c r="L22" s="24"/>
      <c r="M22" s="24"/>
      <c r="N22" s="24"/>
    </row>
    <row r="23" spans="1:31" ht="20.25" x14ac:dyDescent="0.2">
      <c r="A23" s="40" t="s">
        <v>56</v>
      </c>
      <c r="B23" s="40"/>
      <c r="C23" s="40"/>
      <c r="D23" s="24"/>
      <c r="E23" s="24" t="s">
        <v>73</v>
      </c>
      <c r="F23" s="24">
        <f>B9/B28</f>
        <v>106.66666666666667</v>
      </c>
      <c r="G23" s="5" t="str">
        <f>IF(F23&lt;180,"Safe","Unsafe")</f>
        <v>Safe</v>
      </c>
      <c r="H23" s="24"/>
      <c r="I23" s="24" t="s">
        <v>74</v>
      </c>
      <c r="J23" s="24">
        <f>B10/B31</f>
        <v>52.770448548812666</v>
      </c>
      <c r="K23" s="5" t="str">
        <f>IF(J23&lt;=180,"Safe","Unsafe")</f>
        <v>Safe</v>
      </c>
      <c r="L23" s="24"/>
      <c r="M23" s="24"/>
      <c r="N23" s="24"/>
    </row>
    <row r="24" spans="1:31" ht="21" x14ac:dyDescent="0.2">
      <c r="A24" s="24" t="s">
        <v>10</v>
      </c>
      <c r="B24" s="24">
        <f>VLOOKUP(B14,table,2,FALSE)</f>
        <v>72.7</v>
      </c>
      <c r="C24" s="24" t="s">
        <v>77</v>
      </c>
      <c r="D24" s="24"/>
      <c r="E24" s="24" t="s">
        <v>75</v>
      </c>
      <c r="F24" s="24">
        <f>F23*SQRT((B5)/((22/7)^2*2100))</f>
        <v>1.1473609276314407</v>
      </c>
      <c r="G24" s="24"/>
      <c r="H24" s="24"/>
      <c r="I24" s="24" t="s">
        <v>76</v>
      </c>
      <c r="J24" s="24">
        <f>J23*SQRT((B5)/((22/7)^2*2100))</f>
        <v>0.567625788735871</v>
      </c>
      <c r="K24" s="24"/>
      <c r="L24" s="24"/>
      <c r="M24" s="24"/>
      <c r="N24" s="24"/>
    </row>
    <row r="25" spans="1:31" ht="21" x14ac:dyDescent="0.2">
      <c r="A25" s="24" t="s">
        <v>79</v>
      </c>
      <c r="B25" s="24">
        <f>VLOOKUP(B14,table,11,FALSE)</f>
        <v>16270</v>
      </c>
      <c r="C25" s="24" t="s">
        <v>80</v>
      </c>
      <c r="D25" s="24"/>
      <c r="E25" s="24" t="s">
        <v>78</v>
      </c>
      <c r="F25" s="24">
        <f>IF(F24&lt;1.1,B5*(1-0.384*(F24)^2),IF(F24&gt;1.1,(0.648*B5)/(F24)^2))</f>
        <v>1.1813705357142856</v>
      </c>
      <c r="G25" s="24" t="s">
        <v>62</v>
      </c>
      <c r="H25" s="24"/>
      <c r="I25" s="24" t="s">
        <v>78</v>
      </c>
      <c r="J25" s="24">
        <f>IF(J24&lt;1.1,B5*(1-0.384*(J24)^2),IF(J24&gt;1.1,(0.648*B5)/(J24)^2))</f>
        <v>2.1030613683873609</v>
      </c>
      <c r="K25" s="24" t="s">
        <v>62</v>
      </c>
      <c r="L25" s="24"/>
      <c r="M25" s="24"/>
      <c r="N25" s="24"/>
    </row>
    <row r="26" spans="1:31" ht="21" x14ac:dyDescent="0.2">
      <c r="A26" s="24" t="s">
        <v>83</v>
      </c>
      <c r="B26" s="24">
        <f>VLOOKUP(B14,table,12,FALSE)</f>
        <v>904</v>
      </c>
      <c r="C26" s="24" t="s">
        <v>84</v>
      </c>
      <c r="D26" s="24"/>
      <c r="E26" s="24" t="s">
        <v>81</v>
      </c>
      <c r="F26" s="24">
        <f>F25*B24</f>
        <v>85.885637946428574</v>
      </c>
      <c r="G26" s="24" t="s">
        <v>34</v>
      </c>
      <c r="H26" s="24"/>
      <c r="I26" s="24" t="s">
        <v>82</v>
      </c>
      <c r="J26" s="24">
        <f>J25*B24</f>
        <v>152.89256148176113</v>
      </c>
      <c r="K26" s="24" t="s">
        <v>34</v>
      </c>
      <c r="L26" s="24"/>
      <c r="M26" s="24"/>
      <c r="N26" s="24"/>
    </row>
    <row r="27" spans="1:31" ht="21" x14ac:dyDescent="0.2">
      <c r="A27" s="24" t="s">
        <v>85</v>
      </c>
      <c r="B27" s="24">
        <f>1.13*B26</f>
        <v>1021.5199999999999</v>
      </c>
      <c r="C27" s="24" t="s">
        <v>84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31" ht="20.25" x14ac:dyDescent="0.2">
      <c r="A28" s="24" t="s">
        <v>86</v>
      </c>
      <c r="B28" s="24">
        <f>VLOOKUP(B14,table,13,FALSE)</f>
        <v>15</v>
      </c>
      <c r="C28" s="24" t="s">
        <v>6</v>
      </c>
      <c r="D28" s="24"/>
      <c r="E28" s="43" t="s">
        <v>35</v>
      </c>
      <c r="F28" s="43"/>
      <c r="G28" s="24"/>
      <c r="H28" s="24"/>
      <c r="I28" s="24"/>
      <c r="J28" s="24"/>
      <c r="K28" s="24"/>
      <c r="L28" s="24"/>
      <c r="M28" s="24"/>
      <c r="N28" s="24"/>
    </row>
    <row r="29" spans="1:31" ht="21" x14ac:dyDescent="0.2">
      <c r="A29" s="24" t="s">
        <v>87</v>
      </c>
      <c r="B29" s="24">
        <f>VLOOKUP(B14,table,14,FALSE)</f>
        <v>1040</v>
      </c>
      <c r="C29" s="24" t="s">
        <v>80</v>
      </c>
      <c r="D29" s="24"/>
      <c r="E29" s="25" t="s">
        <v>36</v>
      </c>
      <c r="F29" s="25"/>
      <c r="G29" s="24"/>
      <c r="H29" s="24"/>
      <c r="I29" s="24"/>
      <c r="J29" s="24"/>
      <c r="K29" s="24"/>
      <c r="L29" s="24"/>
      <c r="M29" s="24"/>
      <c r="N29" s="24"/>
    </row>
    <row r="30" spans="1:31" ht="21" x14ac:dyDescent="0.2">
      <c r="A30" s="24" t="s">
        <v>88</v>
      </c>
      <c r="B30" s="24">
        <f>VLOOKUP(B14,table,15,FALSE)</f>
        <v>123</v>
      </c>
      <c r="C30" s="24" t="s">
        <v>84</v>
      </c>
      <c r="D30" s="24"/>
      <c r="E30" s="39" t="str">
        <f>IF(F6/(0.8*F26)&lt;=0.2,"Pu / ᶲPnx &lt;= 0.2","")</f>
        <v>Pu / ᶲPnx &lt;= 0.2</v>
      </c>
      <c r="F30" s="39"/>
      <c r="G30" s="24" t="str">
        <f>IF(F6/(0.8*F26)&lt;=0.2,"&gt;&gt;&gt;&gt;","")</f>
        <v>&gt;&gt;&gt;&gt;</v>
      </c>
      <c r="H30" s="24">
        <f>IF(F6/(0.8*F26)&lt;=0.2,F6/(2*0.8*F26)+F5/(0.85*IF(B11&lt;=B32,H17,IF(AND(B11&gt;B32,B11&lt;=B35),H18,H19))),"")</f>
        <v>0.90015031885948704</v>
      </c>
      <c r="I30" s="5" t="str">
        <f>IF((F6/(0.8*F26))&lt;=0.2,IF(H30&lt;=1,"Safe","Unsafe"),0)</f>
        <v>Safe</v>
      </c>
      <c r="J30" s="24"/>
      <c r="K30" s="24"/>
      <c r="L30" s="24"/>
      <c r="M30" s="24"/>
      <c r="N30" s="24"/>
    </row>
    <row r="31" spans="1:31" ht="20.25" x14ac:dyDescent="0.2">
      <c r="A31" s="24" t="s">
        <v>89</v>
      </c>
      <c r="B31" s="24">
        <f>VLOOKUP(B14,table,16,FALSE)</f>
        <v>3.79</v>
      </c>
      <c r="C31" s="24" t="s">
        <v>6</v>
      </c>
      <c r="D31" s="24"/>
      <c r="E31" s="39" t="str">
        <f>IF(F6/(0.8*F26)&gt;0.2,"Pu / ᶲPnx &gt; 0.2","")</f>
        <v/>
      </c>
      <c r="F31" s="39"/>
      <c r="G31" s="24" t="str">
        <f>IF(F6/(0.8*F26)&gt;0.2,"&gt;&gt;&gt;&gt;","")</f>
        <v/>
      </c>
      <c r="H31" s="24" t="str">
        <f>IF(F6/(0.8*F26)&gt;0.2,F6/(0.8*F26)+(8/9)*(F5/(0.85*IF(B11&lt;=B32,H17,IF(AND(B11&gt;B32,B11&lt;=B35),H18,H19)))),"")</f>
        <v/>
      </c>
      <c r="I31" s="5" t="str">
        <f>IF((F6/(0.8*F26))&gt;0.2,IF(H31&lt;=1,"Safe","Unsafe"),"")</f>
        <v/>
      </c>
      <c r="J31" s="24"/>
      <c r="K31" s="24"/>
      <c r="L31" s="24"/>
      <c r="M31" s="24"/>
      <c r="N31" s="24"/>
    </row>
    <row r="32" spans="1:31" ht="20.25" x14ac:dyDescent="0.2">
      <c r="A32" s="24" t="s">
        <v>90</v>
      </c>
      <c r="B32" s="24">
        <f>(80*B31)/SQRT(B5)</f>
        <v>195.71475842834812</v>
      </c>
      <c r="C32" s="24" t="s">
        <v>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20.25" x14ac:dyDescent="0.2">
      <c r="A33" s="24" t="s">
        <v>91</v>
      </c>
      <c r="B33" s="24">
        <f>SQRT(((B19/10)*((B16/10)^3/12))/(0.1*B16*0.1*B19+(1/6)*((B15/10)-2*(B19/10))*(B17/10)))</f>
        <v>4.4675522616511421</v>
      </c>
      <c r="C33" s="24" t="s">
        <v>6</v>
      </c>
      <c r="D33" s="24"/>
      <c r="E33" s="25" t="s">
        <v>53</v>
      </c>
      <c r="F33" s="25"/>
      <c r="G33" s="25"/>
      <c r="H33" s="24"/>
      <c r="I33" s="24"/>
      <c r="J33" s="24"/>
      <c r="K33" s="24"/>
      <c r="L33" s="24"/>
      <c r="M33" s="24"/>
      <c r="N33" s="24"/>
    </row>
    <row r="34" spans="1:14" x14ac:dyDescent="0.2">
      <c r="A34" s="24" t="s">
        <v>25</v>
      </c>
      <c r="B34" s="24">
        <f>((0.104*B33*(B15/10))/(0.1*B16*0.1*B19))^2</f>
        <v>0.60021338850672168</v>
      </c>
      <c r="C34" s="24" t="s">
        <v>26</v>
      </c>
      <c r="D34" s="24"/>
      <c r="E34" s="39">
        <f>(F6/(0.8*J26))+(F5/(0.85*IF(B11&lt;=B32,H17,IF(AND(B11&gt;B32,B11&lt;=B35),H18,H19))))^2</f>
        <v>0.78696787747369834</v>
      </c>
      <c r="F34" s="39"/>
      <c r="G34" s="5" t="str">
        <f>IF(E34&lt;=1,"Safe","Unsafe")</f>
        <v>Safe</v>
      </c>
      <c r="H34" s="24"/>
      <c r="I34" s="24"/>
      <c r="J34" s="24"/>
      <c r="K34" s="24"/>
      <c r="L34" s="24"/>
    </row>
    <row r="35" spans="1:14" ht="20.25" x14ac:dyDescent="0.25">
      <c r="A35" s="24" t="s">
        <v>92</v>
      </c>
      <c r="B35" s="24">
        <f>((1380*0.1*B16*0.1*B19)/(0.1*B15*0.75*B5))*SQRT(0.5*(1+SQRT(1+(2*B34*0.75*B5)^2)))</f>
        <v>597.80707321381897</v>
      </c>
      <c r="C35" s="24" t="s">
        <v>6</v>
      </c>
      <c r="D35" s="24"/>
    </row>
    <row r="36" spans="1:14" x14ac:dyDescent="0.25">
      <c r="A36" s="18" t="s">
        <v>42</v>
      </c>
      <c r="B36" s="16">
        <f>16/18</f>
        <v>0.88888888888888884</v>
      </c>
      <c r="C36" s="24" t="s">
        <v>26</v>
      </c>
      <c r="D36" s="31"/>
      <c r="E36" s="26" t="s">
        <v>52</v>
      </c>
      <c r="F36" s="15"/>
      <c r="G36" s="15"/>
    </row>
    <row r="37" spans="1:14" ht="20.25" x14ac:dyDescent="0.25">
      <c r="A37" s="24" t="s">
        <v>94</v>
      </c>
      <c r="B37" s="24">
        <f>MIN(1.75+1.05*B36+0.3*(B36)^2,2.3)</f>
        <v>2.2999999999999998</v>
      </c>
      <c r="C37" s="24" t="s">
        <v>26</v>
      </c>
      <c r="D37" s="31"/>
      <c r="E37" s="15" t="s">
        <v>93</v>
      </c>
      <c r="F37" s="15">
        <f>F7/(0.85*0.6*B5*0.1*(B15-2*B19)*0.1*B17)</f>
        <v>0.9156382218159228</v>
      </c>
      <c r="G37" s="19" t="str">
        <f>IF(F37&lt;=1,"Safe","Unsafe")</f>
        <v>Safe</v>
      </c>
    </row>
    <row r="38" spans="1:14" x14ac:dyDescent="0.25">
      <c r="A38" s="24"/>
      <c r="B38" s="31"/>
      <c r="C38" s="24"/>
      <c r="D38" s="33"/>
    </row>
    <row r="39" spans="1:14" x14ac:dyDescent="0.25">
      <c r="A39" s="24"/>
      <c r="B39" s="31"/>
      <c r="C39" s="24"/>
      <c r="D39" s="33"/>
    </row>
    <row r="40" spans="1:14" x14ac:dyDescent="0.25">
      <c r="B40" s="33"/>
      <c r="D40" s="33"/>
    </row>
    <row r="41" spans="1:14" x14ac:dyDescent="0.25">
      <c r="B41" s="33"/>
      <c r="D41" s="33"/>
    </row>
    <row r="42" spans="1:14" x14ac:dyDescent="0.25">
      <c r="B42" s="33"/>
      <c r="D42" s="33"/>
    </row>
    <row r="43" spans="1:14" x14ac:dyDescent="0.25">
      <c r="B43" s="33"/>
      <c r="D43" s="33"/>
    </row>
    <row r="44" spans="1:14" x14ac:dyDescent="0.25">
      <c r="B44" s="33"/>
      <c r="D44" s="33"/>
    </row>
    <row r="45" spans="1:14" x14ac:dyDescent="0.25">
      <c r="B45" s="33"/>
      <c r="D45" s="33"/>
    </row>
    <row r="46" spans="1:14" x14ac:dyDescent="0.25">
      <c r="B46" s="33"/>
      <c r="D46" s="33"/>
    </row>
    <row r="47" spans="1:14" x14ac:dyDescent="0.25">
      <c r="B47" s="33"/>
      <c r="D47" s="33"/>
    </row>
    <row r="48" spans="1:14" x14ac:dyDescent="0.25">
      <c r="B48" s="33"/>
      <c r="D48" s="33"/>
    </row>
    <row r="49" spans="2:4" x14ac:dyDescent="0.25">
      <c r="B49" s="33"/>
      <c r="D49" s="33"/>
    </row>
    <row r="50" spans="2:4" x14ac:dyDescent="0.25">
      <c r="B50" s="33"/>
      <c r="D50" s="33"/>
    </row>
    <row r="51" spans="2:4" x14ac:dyDescent="0.25">
      <c r="B51" s="33"/>
    </row>
    <row r="52" spans="2:4" x14ac:dyDescent="0.25">
      <c r="B52" s="33"/>
    </row>
  </sheetData>
  <mergeCells count="21">
    <mergeCell ref="U1:V1"/>
    <mergeCell ref="S2:Y2"/>
    <mergeCell ref="E10:F10"/>
    <mergeCell ref="E34:F34"/>
    <mergeCell ref="G22:H22"/>
    <mergeCell ref="E22:F22"/>
    <mergeCell ref="E28:F28"/>
    <mergeCell ref="I22:J22"/>
    <mergeCell ref="E21:F21"/>
    <mergeCell ref="J12:J13"/>
    <mergeCell ref="I12:I13"/>
    <mergeCell ref="H12:H13"/>
    <mergeCell ref="Z2:AB2"/>
    <mergeCell ref="AC2:AE2"/>
    <mergeCell ref="B4:C4"/>
    <mergeCell ref="E30:F30"/>
    <mergeCell ref="E31:F31"/>
    <mergeCell ref="A23:C23"/>
    <mergeCell ref="A8:C8"/>
    <mergeCell ref="A13:C13"/>
    <mergeCell ref="B14:C14"/>
  </mergeCells>
  <phoneticPr fontId="1" type="noConversion"/>
  <conditionalFormatting sqref="K23 G23 I30:I31 G34">
    <cfRule type="cellIs" dxfId="13" priority="4" operator="equal">
      <formula>"Safe"</formula>
    </cfRule>
  </conditionalFormatting>
  <conditionalFormatting sqref="K23 G23 I30:I31 G34">
    <cfRule type="cellIs" dxfId="12" priority="3" operator="equal">
      <formula>"Unsafe"</formula>
    </cfRule>
  </conditionalFormatting>
  <conditionalFormatting sqref="G37">
    <cfRule type="cellIs" dxfId="11" priority="1" operator="equal">
      <formula>"Unsafe"</formula>
    </cfRule>
    <cfRule type="cellIs" dxfId="10" priority="2" operator="equal">
      <formula>"Safe"</formula>
    </cfRule>
  </conditionalFormatting>
  <dataValidations disablePrompts="1" count="2">
    <dataValidation type="list" allowBlank="1" showInputMessage="1" showErrorMessage="1" sqref="B4" xr:uid="{0560D03B-D158-41E2-8F86-D27189EA6E6A}">
      <formula1>$A$1:$A$3</formula1>
    </dataValidation>
    <dataValidation type="list" allowBlank="1" showInputMessage="1" showErrorMessage="1" sqref="B14" xr:uid="{7F281989-5F95-46D9-8498-866A8AB1C612}">
      <formula1>$P$4:$P$21</formula1>
    </dataValidation>
  </dataValidations>
  <pageMargins left="0.7" right="0.7" top="0.75" bottom="0.75" header="0.3" footer="0.3"/>
  <pageSetup paperSize="9" scale="74" orientation="landscape" r:id="rId1"/>
  <ignoredErrors>
    <ignoredError sqref="G37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83F8-A378-4335-A131-1C1CD0C1659F}">
  <dimension ref="A1:AD37"/>
  <sheetViews>
    <sheetView showGridLines="0" topLeftCell="A16" zoomScaleNormal="100" zoomScaleSheetLayoutView="40" workbookViewId="0">
      <selection activeCell="E7" sqref="E7"/>
    </sheetView>
  </sheetViews>
  <sheetFormatPr defaultRowHeight="18.75" x14ac:dyDescent="0.2"/>
  <cols>
    <col min="1" max="2" width="9" style="24"/>
    <col min="3" max="3" width="9.25" style="24" customWidth="1"/>
    <col min="4" max="4" width="9" style="24"/>
    <col min="5" max="5" width="14" style="24" customWidth="1"/>
    <col min="6" max="6" width="11.5" style="24" customWidth="1"/>
    <col min="7" max="7" width="9" style="24"/>
    <col min="8" max="8" width="9.375" style="24" bestFit="1" customWidth="1"/>
    <col min="9" max="9" width="10" style="24" customWidth="1"/>
    <col min="10" max="16384" width="9" style="24"/>
  </cols>
  <sheetData>
    <row r="1" spans="1:30" x14ac:dyDescent="0.2">
      <c r="A1" s="5">
        <v>37</v>
      </c>
      <c r="B1" s="6" t="s">
        <v>0</v>
      </c>
      <c r="U1" s="39" t="s">
        <v>24</v>
      </c>
      <c r="V1" s="39"/>
    </row>
    <row r="2" spans="1:30" x14ac:dyDescent="0.2">
      <c r="A2" s="5">
        <v>44</v>
      </c>
      <c r="B2" s="6" t="s">
        <v>1</v>
      </c>
      <c r="P2" s="27" t="s">
        <v>9</v>
      </c>
      <c r="Q2" s="27" t="s">
        <v>10</v>
      </c>
      <c r="R2" s="27" t="s">
        <v>11</v>
      </c>
      <c r="S2" s="44" t="s">
        <v>12</v>
      </c>
      <c r="T2" s="44"/>
      <c r="U2" s="44"/>
      <c r="V2" s="44"/>
      <c r="W2" s="44"/>
      <c r="X2" s="44"/>
      <c r="Y2" s="44" t="s">
        <v>13</v>
      </c>
      <c r="Z2" s="44"/>
      <c r="AA2" s="44"/>
      <c r="AB2" s="44" t="s">
        <v>14</v>
      </c>
      <c r="AC2" s="44"/>
      <c r="AD2" s="44"/>
    </row>
    <row r="3" spans="1:30" ht="21.75" x14ac:dyDescent="0.2">
      <c r="A3" s="5">
        <v>52</v>
      </c>
      <c r="B3" s="6" t="s">
        <v>2</v>
      </c>
      <c r="P3" s="27" t="s">
        <v>15</v>
      </c>
      <c r="Q3" s="27" t="s">
        <v>43</v>
      </c>
      <c r="R3" s="27" t="s">
        <v>16</v>
      </c>
      <c r="S3" s="27" t="s">
        <v>17</v>
      </c>
      <c r="T3" s="27" t="s">
        <v>18</v>
      </c>
      <c r="U3" s="27" t="s">
        <v>19</v>
      </c>
      <c r="V3" s="27" t="s">
        <v>21</v>
      </c>
      <c r="W3" s="27" t="s">
        <v>22</v>
      </c>
      <c r="X3" s="27" t="s">
        <v>23</v>
      </c>
      <c r="Y3" s="27" t="s">
        <v>44</v>
      </c>
      <c r="Z3" s="27" t="s">
        <v>45</v>
      </c>
      <c r="AA3" s="27" t="s">
        <v>46</v>
      </c>
      <c r="AB3" s="27" t="s">
        <v>47</v>
      </c>
      <c r="AC3" s="27" t="s">
        <v>48</v>
      </c>
      <c r="AD3" s="27" t="s">
        <v>49</v>
      </c>
    </row>
    <row r="4" spans="1:30" x14ac:dyDescent="0.3">
      <c r="A4" s="24" t="s">
        <v>50</v>
      </c>
      <c r="B4" s="38">
        <v>37</v>
      </c>
      <c r="C4" s="38"/>
      <c r="E4" s="43" t="s">
        <v>40</v>
      </c>
      <c r="F4" s="43"/>
      <c r="P4" s="28">
        <v>100</v>
      </c>
      <c r="Q4" s="28">
        <v>26</v>
      </c>
      <c r="R4" s="29">
        <v>20.399999999999999</v>
      </c>
      <c r="S4" s="28">
        <v>100</v>
      </c>
      <c r="T4" s="28">
        <v>100</v>
      </c>
      <c r="U4" s="28">
        <v>6</v>
      </c>
      <c r="V4" s="28">
        <v>10</v>
      </c>
      <c r="W4" s="28">
        <v>22</v>
      </c>
      <c r="X4" s="28">
        <v>56</v>
      </c>
      <c r="Y4" s="28">
        <v>450</v>
      </c>
      <c r="Z4" s="29">
        <v>89.9</v>
      </c>
      <c r="AA4" s="30">
        <v>4.16</v>
      </c>
      <c r="AB4" s="28">
        <v>167</v>
      </c>
      <c r="AC4" s="29">
        <v>33.5</v>
      </c>
      <c r="AD4" s="30">
        <v>2.5299999999999998</v>
      </c>
    </row>
    <row r="5" spans="1:30" ht="21" x14ac:dyDescent="0.2">
      <c r="A5" s="24" t="s">
        <v>61</v>
      </c>
      <c r="B5" s="24">
        <f>IF(B4=A1,2.4,IF(B4=A2,2.8,3.6))</f>
        <v>2.4</v>
      </c>
      <c r="C5" s="24" t="s">
        <v>62</v>
      </c>
      <c r="E5" s="39" t="s">
        <v>100</v>
      </c>
      <c r="F5" s="39"/>
      <c r="G5" s="16">
        <v>1500</v>
      </c>
      <c r="H5" s="24" t="s">
        <v>3</v>
      </c>
      <c r="P5" s="28">
        <v>120</v>
      </c>
      <c r="Q5" s="28">
        <v>34</v>
      </c>
      <c r="R5" s="29">
        <v>26.7</v>
      </c>
      <c r="S5" s="28">
        <v>120</v>
      </c>
      <c r="T5" s="28">
        <v>120</v>
      </c>
      <c r="U5" s="29">
        <v>6.5</v>
      </c>
      <c r="V5" s="28">
        <v>11</v>
      </c>
      <c r="W5" s="28">
        <v>23</v>
      </c>
      <c r="X5" s="28">
        <v>74</v>
      </c>
      <c r="Y5" s="28">
        <v>864</v>
      </c>
      <c r="Z5" s="28">
        <v>144</v>
      </c>
      <c r="AA5" s="30">
        <v>5.04</v>
      </c>
      <c r="AB5" s="28">
        <v>318</v>
      </c>
      <c r="AC5" s="29">
        <v>52.9</v>
      </c>
      <c r="AD5" s="30">
        <v>3.06</v>
      </c>
    </row>
    <row r="6" spans="1:30" ht="21" x14ac:dyDescent="0.2">
      <c r="A6" s="24" t="s">
        <v>64</v>
      </c>
      <c r="B6" s="24">
        <f>IF(B4=A1,3.7,IF(B4=A2,4.4,5.2))</f>
        <v>3.7</v>
      </c>
      <c r="C6" s="24" t="s">
        <v>62</v>
      </c>
      <c r="D6" s="24" t="s">
        <v>41</v>
      </c>
      <c r="E6" s="39" t="s">
        <v>4</v>
      </c>
      <c r="F6" s="39"/>
      <c r="G6" s="16">
        <v>10</v>
      </c>
      <c r="H6" s="24" t="s">
        <v>5</v>
      </c>
      <c r="P6" s="28">
        <v>140</v>
      </c>
      <c r="Q6" s="28">
        <v>43</v>
      </c>
      <c r="R6" s="29">
        <v>33.700000000000003</v>
      </c>
      <c r="S6" s="28">
        <v>140</v>
      </c>
      <c r="T6" s="28">
        <v>140</v>
      </c>
      <c r="U6" s="28">
        <v>7</v>
      </c>
      <c r="V6" s="28">
        <v>12</v>
      </c>
      <c r="W6" s="28">
        <v>24</v>
      </c>
      <c r="X6" s="28">
        <v>92</v>
      </c>
      <c r="Y6" s="28">
        <v>1510</v>
      </c>
      <c r="Z6" s="28">
        <v>216</v>
      </c>
      <c r="AA6" s="30">
        <v>5.93</v>
      </c>
      <c r="AB6" s="28">
        <v>550</v>
      </c>
      <c r="AC6" s="29">
        <v>78.5</v>
      </c>
      <c r="AD6" s="30">
        <v>3.58</v>
      </c>
    </row>
    <row r="7" spans="1:30" x14ac:dyDescent="0.2">
      <c r="P7" s="28">
        <v>160</v>
      </c>
      <c r="Q7" s="29">
        <v>54.3</v>
      </c>
      <c r="R7" s="29">
        <v>42.6</v>
      </c>
      <c r="S7" s="28">
        <v>160</v>
      </c>
      <c r="T7" s="28">
        <v>160</v>
      </c>
      <c r="U7" s="28">
        <v>8</v>
      </c>
      <c r="V7" s="28">
        <v>13</v>
      </c>
      <c r="W7" s="28">
        <v>28</v>
      </c>
      <c r="X7" s="28">
        <v>104</v>
      </c>
      <c r="Y7" s="28">
        <v>2490</v>
      </c>
      <c r="Z7" s="28">
        <v>311</v>
      </c>
      <c r="AA7" s="30">
        <v>6.78</v>
      </c>
      <c r="AB7" s="28">
        <v>889</v>
      </c>
      <c r="AC7" s="28">
        <v>111</v>
      </c>
      <c r="AD7" s="30">
        <v>4.05</v>
      </c>
    </row>
    <row r="8" spans="1:30" x14ac:dyDescent="0.2">
      <c r="A8" s="39" t="s">
        <v>60</v>
      </c>
      <c r="B8" s="39"/>
      <c r="C8" s="39"/>
      <c r="E8" s="25" t="s">
        <v>28</v>
      </c>
      <c r="P8" s="28">
        <v>180</v>
      </c>
      <c r="Q8" s="29">
        <v>65.3</v>
      </c>
      <c r="R8" s="29">
        <v>51.2</v>
      </c>
      <c r="S8" s="28">
        <v>180</v>
      </c>
      <c r="T8" s="28">
        <v>180</v>
      </c>
      <c r="U8" s="29">
        <v>8.5</v>
      </c>
      <c r="V8" s="28">
        <v>14</v>
      </c>
      <c r="W8" s="28">
        <v>29</v>
      </c>
      <c r="X8" s="28">
        <v>122</v>
      </c>
      <c r="Y8" s="28">
        <v>3830</v>
      </c>
      <c r="Z8" s="28">
        <v>426</v>
      </c>
      <c r="AA8" s="30">
        <v>7.66</v>
      </c>
      <c r="AB8" s="28">
        <v>1360</v>
      </c>
      <c r="AC8" s="28">
        <v>151</v>
      </c>
      <c r="AD8" s="30">
        <v>4.57</v>
      </c>
    </row>
    <row r="9" spans="1:30" ht="20.25" x14ac:dyDescent="0.2">
      <c r="A9" s="24" t="s">
        <v>66</v>
      </c>
      <c r="B9" s="16">
        <v>600</v>
      </c>
      <c r="C9" s="24" t="s">
        <v>6</v>
      </c>
      <c r="E9" s="43" t="s">
        <v>29</v>
      </c>
      <c r="F9" s="43"/>
      <c r="P9" s="28">
        <v>200</v>
      </c>
      <c r="Q9" s="29">
        <v>78.099999999999994</v>
      </c>
      <c r="R9" s="29">
        <v>61.3</v>
      </c>
      <c r="S9" s="28">
        <v>200</v>
      </c>
      <c r="T9" s="28">
        <v>200</v>
      </c>
      <c r="U9" s="28">
        <v>9</v>
      </c>
      <c r="V9" s="28">
        <v>15</v>
      </c>
      <c r="W9" s="28">
        <v>33</v>
      </c>
      <c r="X9" s="28">
        <v>134</v>
      </c>
      <c r="Y9" s="28">
        <v>5700</v>
      </c>
      <c r="Z9" s="28">
        <v>570</v>
      </c>
      <c r="AA9" s="30">
        <v>8.5399999999999991</v>
      </c>
      <c r="AB9" s="28">
        <v>2000</v>
      </c>
      <c r="AC9" s="28">
        <v>200</v>
      </c>
      <c r="AD9" s="30">
        <v>5.07</v>
      </c>
    </row>
    <row r="10" spans="1:30" ht="21" x14ac:dyDescent="0.2">
      <c r="A10" s="24" t="s">
        <v>67</v>
      </c>
      <c r="B10" s="16">
        <v>600</v>
      </c>
      <c r="C10" s="24" t="s">
        <v>6</v>
      </c>
      <c r="E10" s="3" t="s">
        <v>39</v>
      </c>
      <c r="F10" s="24">
        <f>(1/(B15-2*B18))*((B15/2)+(G6/(2*B17*0.01*B5))-B18)</f>
        <v>0.56493169186016312</v>
      </c>
      <c r="P10" s="28">
        <v>220</v>
      </c>
      <c r="Q10" s="28">
        <v>91</v>
      </c>
      <c r="R10" s="29">
        <v>71.5</v>
      </c>
      <c r="S10" s="28">
        <v>220</v>
      </c>
      <c r="T10" s="28">
        <v>220</v>
      </c>
      <c r="U10" s="29">
        <v>9.5</v>
      </c>
      <c r="V10" s="28">
        <v>16</v>
      </c>
      <c r="W10" s="28">
        <v>34</v>
      </c>
      <c r="X10" s="28">
        <v>152</v>
      </c>
      <c r="Y10" s="28">
        <v>8090</v>
      </c>
      <c r="Z10" s="28">
        <v>736</v>
      </c>
      <c r="AA10" s="30">
        <v>9.43</v>
      </c>
      <c r="AB10" s="28">
        <v>2840</v>
      </c>
      <c r="AC10" s="28">
        <v>258</v>
      </c>
      <c r="AD10" s="30">
        <v>5.59</v>
      </c>
    </row>
    <row r="11" spans="1:30" ht="20.25" x14ac:dyDescent="0.2">
      <c r="A11" s="24" t="s">
        <v>68</v>
      </c>
      <c r="B11" s="16">
        <v>100</v>
      </c>
      <c r="C11" s="24" t="s">
        <v>6</v>
      </c>
      <c r="E11" s="24" t="s">
        <v>101</v>
      </c>
      <c r="F11" s="24">
        <f>B20/B17</f>
        <v>19.565217391304348</v>
      </c>
      <c r="G11" s="39" t="str">
        <f>IF(AND(F10&gt;0.5,F11&lt;=((699/SQRT(B5))/(13*F10-1))),B1,IF(AND(F10&lt;=0.5,F11&lt;=((63.3/F10)/SQRT(B5))),B1,B2))</f>
        <v>Compact</v>
      </c>
      <c r="H11" s="39"/>
      <c r="I11" s="39" t="s">
        <v>30</v>
      </c>
      <c r="J11" s="39" t="str">
        <f>IF(AND(G11=B1,G12=B1),B1,B2)</f>
        <v>Compact</v>
      </c>
      <c r="K11" s="39" t="s">
        <v>51</v>
      </c>
      <c r="M11" s="12"/>
      <c r="P11" s="28">
        <v>240</v>
      </c>
      <c r="Q11" s="28">
        <v>106</v>
      </c>
      <c r="R11" s="29">
        <v>83.2</v>
      </c>
      <c r="S11" s="28">
        <v>240</v>
      </c>
      <c r="T11" s="28">
        <v>240</v>
      </c>
      <c r="U11" s="28">
        <v>10</v>
      </c>
      <c r="V11" s="28">
        <v>17</v>
      </c>
      <c r="W11" s="28">
        <v>38</v>
      </c>
      <c r="X11" s="28">
        <v>164</v>
      </c>
      <c r="Y11" s="28">
        <v>11260</v>
      </c>
      <c r="Z11" s="28">
        <v>938</v>
      </c>
      <c r="AA11" s="29">
        <v>10.3</v>
      </c>
      <c r="AB11" s="28">
        <v>3920</v>
      </c>
      <c r="AC11" s="28">
        <v>327</v>
      </c>
      <c r="AD11" s="30">
        <v>6.08</v>
      </c>
    </row>
    <row r="12" spans="1:30" ht="20.25" x14ac:dyDescent="0.2">
      <c r="B12" s="16"/>
      <c r="E12" s="24" t="s">
        <v>102</v>
      </c>
      <c r="F12" s="24">
        <f>(B16-B17-2*B18)/(2*B18)</f>
        <v>6.0365853658536581</v>
      </c>
      <c r="G12" s="39" t="str">
        <f>IF(F12&lt;=16.9/SQRT(B5),B1,B2)</f>
        <v>Compact</v>
      </c>
      <c r="H12" s="39"/>
      <c r="I12" s="39"/>
      <c r="J12" s="39"/>
      <c r="K12" s="39"/>
      <c r="M12" s="12"/>
      <c r="P12" s="28">
        <v>260</v>
      </c>
      <c r="Q12" s="28">
        <v>118</v>
      </c>
      <c r="R12" s="28">
        <v>93</v>
      </c>
      <c r="S12" s="28">
        <v>260</v>
      </c>
      <c r="T12" s="28">
        <v>260</v>
      </c>
      <c r="U12" s="28">
        <v>10</v>
      </c>
      <c r="V12" s="29">
        <v>17.5</v>
      </c>
      <c r="W12" s="29">
        <v>41.5</v>
      </c>
      <c r="X12" s="28">
        <v>177</v>
      </c>
      <c r="Y12" s="28">
        <v>14920</v>
      </c>
      <c r="Z12" s="28">
        <v>1150</v>
      </c>
      <c r="AA12" s="29">
        <v>11.2</v>
      </c>
      <c r="AB12" s="28">
        <v>5130</v>
      </c>
      <c r="AC12" s="28">
        <v>395</v>
      </c>
      <c r="AD12" s="30">
        <v>6.58</v>
      </c>
    </row>
    <row r="13" spans="1:30" x14ac:dyDescent="0.2">
      <c r="A13" s="39" t="s">
        <v>55</v>
      </c>
      <c r="B13" s="39"/>
      <c r="C13" s="39"/>
      <c r="P13" s="28">
        <v>280</v>
      </c>
      <c r="Q13" s="28">
        <v>131</v>
      </c>
      <c r="R13" s="28">
        <v>103</v>
      </c>
      <c r="S13" s="28">
        <v>280</v>
      </c>
      <c r="T13" s="28">
        <v>280</v>
      </c>
      <c r="U13" s="29">
        <v>10.5</v>
      </c>
      <c r="V13" s="28">
        <v>18</v>
      </c>
      <c r="W13" s="28">
        <v>42</v>
      </c>
      <c r="X13" s="28">
        <v>196</v>
      </c>
      <c r="Y13" s="28">
        <v>19270</v>
      </c>
      <c r="Z13" s="28">
        <v>1380</v>
      </c>
      <c r="AA13" s="29">
        <v>12.1</v>
      </c>
      <c r="AB13" s="28">
        <v>6590</v>
      </c>
      <c r="AC13" s="28">
        <v>471</v>
      </c>
      <c r="AD13" s="30">
        <v>7.09</v>
      </c>
    </row>
    <row r="14" spans="1:30" x14ac:dyDescent="0.3">
      <c r="A14" s="24" t="s">
        <v>24</v>
      </c>
      <c r="B14" s="38">
        <v>320</v>
      </c>
      <c r="C14" s="38"/>
      <c r="E14" s="25" t="s">
        <v>31</v>
      </c>
      <c r="P14" s="28">
        <v>300</v>
      </c>
      <c r="Q14" s="28">
        <v>149</v>
      </c>
      <c r="R14" s="28">
        <v>117</v>
      </c>
      <c r="S14" s="28">
        <v>300</v>
      </c>
      <c r="T14" s="28">
        <v>300</v>
      </c>
      <c r="U14" s="28">
        <v>11</v>
      </c>
      <c r="V14" s="28">
        <v>19</v>
      </c>
      <c r="W14" s="28">
        <v>46</v>
      </c>
      <c r="X14" s="28">
        <v>208</v>
      </c>
      <c r="Y14" s="28">
        <v>25170</v>
      </c>
      <c r="Z14" s="28">
        <v>1680</v>
      </c>
      <c r="AA14" s="28">
        <v>13</v>
      </c>
      <c r="AB14" s="28">
        <v>8560</v>
      </c>
      <c r="AC14" s="28">
        <v>571</v>
      </c>
      <c r="AD14" s="30">
        <v>7.58</v>
      </c>
    </row>
    <row r="15" spans="1:30" ht="20.25" x14ac:dyDescent="0.2">
      <c r="A15" s="24" t="s">
        <v>17</v>
      </c>
      <c r="B15" s="24">
        <f>VLOOKUP(B14,table1,4,FALSE)</f>
        <v>320</v>
      </c>
      <c r="C15" s="24" t="s">
        <v>7</v>
      </c>
      <c r="E15" s="24" t="s">
        <v>71</v>
      </c>
      <c r="F15" s="24">
        <f>B24*B5</f>
        <v>5260.3028999999988</v>
      </c>
      <c r="G15" s="24" t="s">
        <v>3</v>
      </c>
      <c r="P15" s="28">
        <v>320</v>
      </c>
      <c r="Q15" s="28">
        <v>161</v>
      </c>
      <c r="R15" s="28">
        <v>127</v>
      </c>
      <c r="S15" s="28">
        <v>320</v>
      </c>
      <c r="T15" s="28">
        <v>300</v>
      </c>
      <c r="U15" s="29">
        <v>11.5</v>
      </c>
      <c r="V15" s="29">
        <v>20.5</v>
      </c>
      <c r="W15" s="29">
        <v>47.5</v>
      </c>
      <c r="X15" s="28">
        <v>225</v>
      </c>
      <c r="Y15" s="28">
        <v>30820</v>
      </c>
      <c r="Z15" s="28">
        <v>1930</v>
      </c>
      <c r="AA15" s="29">
        <v>13.8</v>
      </c>
      <c r="AB15" s="28">
        <v>9240</v>
      </c>
      <c r="AC15" s="28">
        <v>616</v>
      </c>
      <c r="AD15" s="30">
        <v>7.57</v>
      </c>
    </row>
    <row r="16" spans="1:30" x14ac:dyDescent="0.2">
      <c r="A16" s="24" t="s">
        <v>18</v>
      </c>
      <c r="B16" s="24">
        <f>VLOOKUP(B14,table1,5,FALSE)</f>
        <v>300</v>
      </c>
      <c r="C16" s="24" t="s">
        <v>7</v>
      </c>
      <c r="E16" s="24" t="str">
        <f>IF(B11&lt;=B29,"Lb &lt;= Lp","")</f>
        <v>Lb &lt;= Lp</v>
      </c>
      <c r="F16" s="24" t="str">
        <f>IF(B11&lt;=B29,"Mnx","")</f>
        <v>Mnx</v>
      </c>
      <c r="G16" s="24">
        <f>IF(B11&lt;=B29,F15,"")</f>
        <v>5260.3028999999988</v>
      </c>
      <c r="H16" s="24" t="str">
        <f>IF(B11&lt;=B29,"Cm.t","")</f>
        <v>Cm.t</v>
      </c>
      <c r="K16" s="12"/>
      <c r="P16" s="28">
        <v>340</v>
      </c>
      <c r="Q16" s="28">
        <v>171</v>
      </c>
      <c r="R16" s="28">
        <v>134</v>
      </c>
      <c r="S16" s="28">
        <v>340</v>
      </c>
      <c r="T16" s="28">
        <v>300</v>
      </c>
      <c r="U16" s="28">
        <v>12</v>
      </c>
      <c r="V16" s="29">
        <v>21.5</v>
      </c>
      <c r="W16" s="29">
        <v>48.5</v>
      </c>
      <c r="X16" s="28">
        <v>243</v>
      </c>
      <c r="Y16" s="28">
        <v>36660</v>
      </c>
      <c r="Z16" s="28">
        <v>2160</v>
      </c>
      <c r="AA16" s="29">
        <v>14.6</v>
      </c>
      <c r="AB16" s="28">
        <v>9690</v>
      </c>
      <c r="AC16" s="28">
        <v>646</v>
      </c>
      <c r="AD16" s="30">
        <v>7.53</v>
      </c>
    </row>
    <row r="17" spans="1:30" x14ac:dyDescent="0.2">
      <c r="A17" s="24" t="s">
        <v>19</v>
      </c>
      <c r="B17" s="24">
        <f>VLOOKUP(B14,table1,6,FALSE)</f>
        <v>11.5</v>
      </c>
      <c r="C17" s="24" t="s">
        <v>7</v>
      </c>
      <c r="E17" s="24" t="str">
        <f>IF(AND(B11&gt;B29,B11&lt;=B32),"Lp &lt; Lb &lt;= Lr","")</f>
        <v/>
      </c>
      <c r="F17" s="24" t="str">
        <f>IF(AND(B11&gt;B29,B11&lt;=B32),"Mnx","")</f>
        <v/>
      </c>
      <c r="G17" s="24" t="str">
        <f>IF(AND(B11&gt;B29,B11&lt;=B32),B34*(F15-(F15-(B23*0.75*B5))*((B11-B29)/(B32-B29))),"")</f>
        <v/>
      </c>
      <c r="H17" s="24" t="str">
        <f>IF(AND(B11&gt;B29,B11&lt;=B32),"Cm.t","")</f>
        <v/>
      </c>
      <c r="K17" s="12"/>
      <c r="P17" s="28">
        <v>360</v>
      </c>
      <c r="Q17" s="28">
        <v>181</v>
      </c>
      <c r="R17" s="28">
        <v>142</v>
      </c>
      <c r="S17" s="28">
        <v>360</v>
      </c>
      <c r="T17" s="28">
        <v>300</v>
      </c>
      <c r="U17" s="29">
        <v>12.5</v>
      </c>
      <c r="V17" s="29">
        <v>22.5</v>
      </c>
      <c r="W17" s="29">
        <v>49.5</v>
      </c>
      <c r="X17" s="28">
        <v>261</v>
      </c>
      <c r="Y17" s="28">
        <v>43190</v>
      </c>
      <c r="Z17" s="28">
        <v>2400</v>
      </c>
      <c r="AA17" s="29">
        <v>15.6</v>
      </c>
      <c r="AB17" s="28">
        <v>10140</v>
      </c>
      <c r="AC17" s="28">
        <v>676</v>
      </c>
      <c r="AD17" s="30">
        <v>7.49</v>
      </c>
    </row>
    <row r="18" spans="1:30" ht="20.25" customHeight="1" x14ac:dyDescent="0.2">
      <c r="A18" s="24" t="s">
        <v>27</v>
      </c>
      <c r="B18" s="24">
        <f>VLOOKUP(B14,table1,7,FALSE)</f>
        <v>20.5</v>
      </c>
      <c r="C18" s="24" t="s">
        <v>7</v>
      </c>
      <c r="E18" s="24" t="str">
        <f>IF(B11&gt;B32,"Lb &gt; Lr","")</f>
        <v/>
      </c>
      <c r="F18" s="24" t="str">
        <f>IF(B11&gt;B32,"Mnx","")</f>
        <v/>
      </c>
      <c r="G18" s="24" t="str">
        <f>IF(B11&gt;B32,B23*SQRT(((1380*0.1*B16*0.1*B18)/(0.1*B15*B11))^2+(20700/(B11/B30)^2)^2),"")</f>
        <v/>
      </c>
      <c r="H18" s="24" t="str">
        <f>IF(B11&gt;B32,"Cm.t","")</f>
        <v/>
      </c>
      <c r="K18" s="12"/>
      <c r="P18" s="28">
        <v>400</v>
      </c>
      <c r="Q18" s="28">
        <v>198</v>
      </c>
      <c r="R18" s="28">
        <v>155</v>
      </c>
      <c r="S18" s="28">
        <v>400</v>
      </c>
      <c r="T18" s="28">
        <v>300</v>
      </c>
      <c r="U18" s="29">
        <v>13.5</v>
      </c>
      <c r="V18" s="28">
        <v>24</v>
      </c>
      <c r="W18" s="28">
        <v>51</v>
      </c>
      <c r="X18" s="28">
        <v>298</v>
      </c>
      <c r="Y18" s="28">
        <v>57680</v>
      </c>
      <c r="Z18" s="28">
        <v>2880</v>
      </c>
      <c r="AA18" s="29">
        <v>17.100000000000001</v>
      </c>
      <c r="AB18" s="28">
        <v>10820</v>
      </c>
      <c r="AC18" s="28">
        <v>721</v>
      </c>
      <c r="AD18" s="29">
        <v>7.4</v>
      </c>
    </row>
    <row r="19" spans="1:30" x14ac:dyDescent="0.2">
      <c r="A19" s="24" t="s">
        <v>22</v>
      </c>
      <c r="B19" s="24">
        <f>VLOOKUP(B14,table1,8,FALSE)</f>
        <v>47.5</v>
      </c>
      <c r="C19" s="24" t="s">
        <v>7</v>
      </c>
      <c r="P19" s="28">
        <v>450</v>
      </c>
      <c r="Q19" s="28">
        <v>218</v>
      </c>
      <c r="R19" s="28">
        <v>171</v>
      </c>
      <c r="S19" s="28">
        <v>450</v>
      </c>
      <c r="T19" s="28">
        <v>300</v>
      </c>
      <c r="U19" s="28">
        <v>14</v>
      </c>
      <c r="V19" s="28">
        <v>26</v>
      </c>
      <c r="W19" s="28">
        <v>53</v>
      </c>
      <c r="X19" s="28">
        <v>344</v>
      </c>
      <c r="Y19" s="28">
        <v>79890</v>
      </c>
      <c r="Z19" s="28">
        <v>3550</v>
      </c>
      <c r="AA19" s="29">
        <v>19.100000000000001</v>
      </c>
      <c r="AB19" s="28">
        <v>11720</v>
      </c>
      <c r="AC19" s="28">
        <v>781</v>
      </c>
      <c r="AD19" s="30">
        <v>7.33</v>
      </c>
    </row>
    <row r="20" spans="1:30" x14ac:dyDescent="0.2">
      <c r="A20" s="24" t="s">
        <v>23</v>
      </c>
      <c r="B20" s="24">
        <f>VLOOKUP(B14,table1,9,FALSE)</f>
        <v>225</v>
      </c>
      <c r="C20" s="24" t="s">
        <v>7</v>
      </c>
      <c r="E20" s="43" t="s">
        <v>32</v>
      </c>
      <c r="F20" s="43"/>
      <c r="P20" s="28">
        <v>500</v>
      </c>
      <c r="Q20" s="28">
        <v>239</v>
      </c>
      <c r="R20" s="28">
        <v>187</v>
      </c>
      <c r="S20" s="28">
        <v>500</v>
      </c>
      <c r="T20" s="28">
        <v>300</v>
      </c>
      <c r="U20" s="29">
        <v>14.5</v>
      </c>
      <c r="V20" s="28">
        <v>28</v>
      </c>
      <c r="W20" s="28">
        <v>655</v>
      </c>
      <c r="X20" s="28">
        <v>390</v>
      </c>
      <c r="Y20" s="28">
        <v>107200</v>
      </c>
      <c r="Z20" s="28">
        <v>4290</v>
      </c>
      <c r="AA20" s="29">
        <v>21.2</v>
      </c>
      <c r="AB20" s="28">
        <v>12620</v>
      </c>
      <c r="AC20" s="28">
        <v>842</v>
      </c>
      <c r="AD20" s="30">
        <v>7.27</v>
      </c>
    </row>
    <row r="21" spans="1:30" ht="21" x14ac:dyDescent="0.2">
      <c r="A21" s="24" t="s">
        <v>10</v>
      </c>
      <c r="B21" s="24">
        <f>VLOOKUP(B14,table1,2,FALSE)</f>
        <v>161</v>
      </c>
      <c r="C21" s="24" t="s">
        <v>77</v>
      </c>
      <c r="E21" s="43" t="s">
        <v>110</v>
      </c>
      <c r="F21" s="43"/>
      <c r="G21" s="39"/>
      <c r="H21" s="39"/>
      <c r="I21" s="43" t="s">
        <v>109</v>
      </c>
      <c r="J21" s="43"/>
      <c r="P21" s="28">
        <v>550</v>
      </c>
      <c r="Q21" s="28">
        <v>254</v>
      </c>
      <c r="R21" s="28">
        <v>199</v>
      </c>
      <c r="S21" s="28">
        <v>550</v>
      </c>
      <c r="T21" s="28">
        <v>300</v>
      </c>
      <c r="U21" s="28">
        <v>15</v>
      </c>
      <c r="V21" s="28">
        <v>29</v>
      </c>
      <c r="W21" s="28">
        <v>56</v>
      </c>
      <c r="X21" s="28">
        <v>438</v>
      </c>
      <c r="Y21" s="28">
        <v>136700</v>
      </c>
      <c r="Z21" s="28">
        <v>4970</v>
      </c>
      <c r="AA21" s="29">
        <v>23.2</v>
      </c>
      <c r="AB21" s="28">
        <v>13080</v>
      </c>
      <c r="AC21" s="28">
        <v>872</v>
      </c>
      <c r="AD21" s="30">
        <v>7.17</v>
      </c>
    </row>
    <row r="22" spans="1:30" ht="21" x14ac:dyDescent="0.2">
      <c r="A22" s="24" t="s">
        <v>79</v>
      </c>
      <c r="B22" s="24">
        <f>VLOOKUP(B14,table1,10,FALSE)</f>
        <v>30820</v>
      </c>
      <c r="C22" s="24" t="s">
        <v>80</v>
      </c>
      <c r="E22" s="24" t="s">
        <v>103</v>
      </c>
      <c r="F22" s="24">
        <f>B9/B25</f>
        <v>43.478260869565219</v>
      </c>
      <c r="G22" s="5" t="str">
        <f>IF(F22&lt;180,"Safe","Unsafe")</f>
        <v>Safe</v>
      </c>
      <c r="I22" s="24" t="s">
        <v>104</v>
      </c>
      <c r="J22" s="24">
        <f>B10/B28</f>
        <v>79.260237780713339</v>
      </c>
      <c r="K22" s="5" t="str">
        <f>IF(J22&lt;=180,"Safe","Unsafe")</f>
        <v>Safe</v>
      </c>
      <c r="P22" s="28">
        <v>600</v>
      </c>
      <c r="Q22" s="28">
        <v>270</v>
      </c>
      <c r="R22" s="28">
        <v>212</v>
      </c>
      <c r="S22" s="28">
        <v>600</v>
      </c>
      <c r="T22" s="28">
        <v>300</v>
      </c>
      <c r="U22" s="29">
        <v>15.5</v>
      </c>
      <c r="V22" s="28">
        <v>30</v>
      </c>
      <c r="W22" s="28">
        <v>57</v>
      </c>
      <c r="X22" s="28">
        <v>486</v>
      </c>
      <c r="Y22" s="28">
        <v>171000</v>
      </c>
      <c r="Z22" s="28">
        <v>5700</v>
      </c>
      <c r="AA22" s="29">
        <v>25.2</v>
      </c>
      <c r="AB22" s="28">
        <v>13530</v>
      </c>
      <c r="AC22" s="28">
        <v>902</v>
      </c>
      <c r="AD22" s="30">
        <v>7.08</v>
      </c>
    </row>
    <row r="23" spans="1:30" ht="21" x14ac:dyDescent="0.2">
      <c r="A23" s="24" t="s">
        <v>83</v>
      </c>
      <c r="B23" s="24">
        <f>VLOOKUP(B14,table1,11,FALSE)</f>
        <v>1930</v>
      </c>
      <c r="C23" s="24" t="s">
        <v>84</v>
      </c>
      <c r="E23" s="24" t="s">
        <v>105</v>
      </c>
      <c r="F23" s="24">
        <f>F22*SQRT((B5)/((22/7)^2*2100))</f>
        <v>0.46767429115411985</v>
      </c>
      <c r="I23" s="24" t="s">
        <v>105</v>
      </c>
      <c r="J23" s="24">
        <f>J22*SQRT((B5)/((22/7)^2*2100))</f>
        <v>0.85256343697844827</v>
      </c>
      <c r="P23" s="28">
        <v>650</v>
      </c>
      <c r="Q23" s="28">
        <v>286</v>
      </c>
      <c r="R23" s="28">
        <v>225</v>
      </c>
      <c r="S23" s="28">
        <v>650</v>
      </c>
      <c r="T23" s="28">
        <v>300</v>
      </c>
      <c r="U23" s="28">
        <v>16</v>
      </c>
      <c r="V23" s="28">
        <v>31</v>
      </c>
      <c r="W23" s="28">
        <v>58</v>
      </c>
      <c r="X23" s="28">
        <v>534</v>
      </c>
      <c r="Y23" s="28">
        <v>210600</v>
      </c>
      <c r="Z23" s="28">
        <v>6480</v>
      </c>
      <c r="AA23" s="29">
        <v>27.1</v>
      </c>
      <c r="AB23" s="28">
        <v>13980</v>
      </c>
      <c r="AC23" s="28">
        <v>932</v>
      </c>
      <c r="AD23" s="30">
        <v>6.99</v>
      </c>
    </row>
    <row r="24" spans="1:30" ht="21" x14ac:dyDescent="0.2">
      <c r="A24" s="24" t="s">
        <v>85</v>
      </c>
      <c r="B24" s="24">
        <f>2*((B16/10)*(B18/10)*0.5*(B15/10)+0.5*((B15/10)-2*(B18/10))*(B17/10)*0.25*((B15/10)-2*(B18/10)))</f>
        <v>2191.7928749999996</v>
      </c>
      <c r="C24" s="24" t="s">
        <v>84</v>
      </c>
      <c r="E24" s="24" t="s">
        <v>106</v>
      </c>
      <c r="F24" s="24">
        <f>IF(F23&lt;1.1,B5*(1-0.384*(F23)^2),IF(F23&gt;1.1,(0.648*B5)/(F23)^2))</f>
        <v>2.1984283460138418</v>
      </c>
      <c r="G24" s="24" t="s">
        <v>62</v>
      </c>
      <c r="I24" s="24" t="s">
        <v>106</v>
      </c>
      <c r="J24" s="24">
        <f>IF(J23&lt;1.1,B5*(1-0.384*(J23)^2),IF(J23&gt;1.1,(0.648*B5)/(J23)^2))</f>
        <v>1.73012175599078</v>
      </c>
      <c r="K24" s="24" t="s">
        <v>62</v>
      </c>
      <c r="P24" s="28">
        <v>700</v>
      </c>
      <c r="Q24" s="28">
        <v>306</v>
      </c>
      <c r="R24" s="28">
        <v>241</v>
      </c>
      <c r="S24" s="28">
        <v>700</v>
      </c>
      <c r="T24" s="28">
        <v>300</v>
      </c>
      <c r="U24" s="28">
        <v>17</v>
      </c>
      <c r="V24" s="28">
        <v>32</v>
      </c>
      <c r="W24" s="28">
        <v>59</v>
      </c>
      <c r="X24" s="28">
        <v>582</v>
      </c>
      <c r="Y24" s="28">
        <v>256900</v>
      </c>
      <c r="Z24" s="28">
        <v>7340</v>
      </c>
      <c r="AA24" s="28">
        <v>29</v>
      </c>
      <c r="AB24" s="28">
        <v>14440</v>
      </c>
      <c r="AC24" s="28">
        <v>963</v>
      </c>
      <c r="AD24" s="30">
        <v>6.87</v>
      </c>
    </row>
    <row r="25" spans="1:30" ht="20.25" x14ac:dyDescent="0.2">
      <c r="A25" s="24" t="s">
        <v>86</v>
      </c>
      <c r="B25" s="24">
        <f>VLOOKUP(B14,table1,12,FALSE)</f>
        <v>13.8</v>
      </c>
      <c r="C25" s="24" t="s">
        <v>6</v>
      </c>
      <c r="E25" s="24" t="s">
        <v>107</v>
      </c>
      <c r="F25" s="24">
        <f>F24*B21</f>
        <v>353.94696370822857</v>
      </c>
      <c r="G25" s="24" t="s">
        <v>34</v>
      </c>
      <c r="I25" s="24" t="s">
        <v>108</v>
      </c>
      <c r="J25" s="24">
        <f>J24*B21</f>
        <v>278.54960271451557</v>
      </c>
      <c r="K25" s="24" t="s">
        <v>34</v>
      </c>
      <c r="P25" s="28">
        <v>800</v>
      </c>
      <c r="Q25" s="28">
        <v>334</v>
      </c>
      <c r="R25" s="28">
        <v>262</v>
      </c>
      <c r="S25" s="28">
        <v>800</v>
      </c>
      <c r="T25" s="28">
        <v>300</v>
      </c>
      <c r="U25" s="29">
        <v>17.5</v>
      </c>
      <c r="V25" s="28">
        <v>33</v>
      </c>
      <c r="W25" s="28">
        <v>63</v>
      </c>
      <c r="X25" s="28">
        <v>674</v>
      </c>
      <c r="Y25" s="28">
        <v>359100</v>
      </c>
      <c r="Z25" s="28">
        <v>9890</v>
      </c>
      <c r="AA25" s="29">
        <v>32.799999999999997</v>
      </c>
      <c r="AB25" s="28">
        <v>14900</v>
      </c>
      <c r="AC25" s="28">
        <v>994</v>
      </c>
      <c r="AD25" s="30">
        <v>6.68</v>
      </c>
    </row>
    <row r="26" spans="1:30" ht="21" x14ac:dyDescent="0.2">
      <c r="A26" s="24" t="s">
        <v>87</v>
      </c>
      <c r="B26" s="24">
        <f>VLOOKUP(B14,table1,13,FALSE)</f>
        <v>9240</v>
      </c>
      <c r="C26" s="24" t="s">
        <v>80</v>
      </c>
      <c r="P26" s="28">
        <v>900</v>
      </c>
      <c r="Q26" s="28">
        <v>371</v>
      </c>
      <c r="R26" s="28">
        <v>291</v>
      </c>
      <c r="S26" s="28">
        <v>900</v>
      </c>
      <c r="T26" s="28">
        <v>300</v>
      </c>
      <c r="U26" s="29">
        <v>18.5</v>
      </c>
      <c r="V26" s="28">
        <v>35</v>
      </c>
      <c r="W26" s="28">
        <v>65</v>
      </c>
      <c r="X26" s="28">
        <v>770</v>
      </c>
      <c r="Y26" s="28">
        <v>494100</v>
      </c>
      <c r="Z26" s="28">
        <v>10980</v>
      </c>
      <c r="AA26" s="29">
        <v>36.5</v>
      </c>
      <c r="AB26" s="28">
        <v>15820</v>
      </c>
      <c r="AC26" s="28">
        <v>1050</v>
      </c>
      <c r="AD26" s="30">
        <v>6.53</v>
      </c>
    </row>
    <row r="27" spans="1:30" ht="21" x14ac:dyDescent="0.2">
      <c r="A27" s="24" t="s">
        <v>88</v>
      </c>
      <c r="B27" s="24">
        <f>VLOOKUP(B14,table1,14,FALSE)</f>
        <v>616</v>
      </c>
      <c r="C27" s="24" t="s">
        <v>84</v>
      </c>
      <c r="E27" s="43" t="s">
        <v>35</v>
      </c>
      <c r="F27" s="43"/>
      <c r="P27" s="28">
        <v>1000</v>
      </c>
      <c r="Q27" s="28">
        <v>400</v>
      </c>
      <c r="R27" s="28">
        <v>314</v>
      </c>
      <c r="S27" s="28">
        <v>1000</v>
      </c>
      <c r="T27" s="28">
        <v>300</v>
      </c>
      <c r="U27" s="28">
        <v>19</v>
      </c>
      <c r="V27" s="28">
        <v>36</v>
      </c>
      <c r="W27" s="28">
        <v>66</v>
      </c>
      <c r="X27" s="28">
        <v>868</v>
      </c>
      <c r="Y27" s="28">
        <v>644700</v>
      </c>
      <c r="Z27" s="28">
        <v>12890</v>
      </c>
      <c r="AA27" s="29">
        <v>40.1</v>
      </c>
      <c r="AB27" s="28">
        <v>16280</v>
      </c>
      <c r="AC27" s="28">
        <v>1090</v>
      </c>
      <c r="AD27" s="30">
        <v>6.38</v>
      </c>
    </row>
    <row r="28" spans="1:30" ht="20.25" x14ac:dyDescent="0.2">
      <c r="A28" s="24" t="s">
        <v>89</v>
      </c>
      <c r="B28" s="24">
        <f>VLOOKUP(B14,table1,15,FALSE)</f>
        <v>7.57</v>
      </c>
      <c r="C28" s="24" t="s">
        <v>6</v>
      </c>
      <c r="E28" s="43" t="s">
        <v>36</v>
      </c>
      <c r="F28" s="43"/>
    </row>
    <row r="29" spans="1:30" ht="20.25" x14ac:dyDescent="0.2">
      <c r="A29" s="24" t="s">
        <v>90</v>
      </c>
      <c r="B29" s="24">
        <f>(80*B28)/SQRT(B5)</f>
        <v>390.91311907720194</v>
      </c>
      <c r="C29" s="24" t="s">
        <v>6</v>
      </c>
      <c r="E29" s="39" t="str">
        <f>IF(G6/(0.8*F25)&lt;=0.2,"Pu / ᶲPnx &lt;= 0.2","")</f>
        <v>Pu / ᶲPnx &lt;= 0.2</v>
      </c>
      <c r="F29" s="39"/>
      <c r="G29" s="24" t="str">
        <f>IF(G6/(0.8*F25)&lt;=0.2,"&gt;&gt;&gt;&gt;","")</f>
        <v>&gt;&gt;&gt;&gt;</v>
      </c>
      <c r="H29" s="24">
        <f>IF(G6/(0.8*F25)&lt;=0.2,IF(G6/(0.8*F25)&lt;=0.2,G6/(2*0.8*F25)+G5/(0.85*IF(B11&lt;=B29,G16,IF(AND(B11&gt;B29,B11&lt;=B32),MIN(F15,G17),MIN(F15,G17)))),""),"")</f>
        <v>0.35313410907572829</v>
      </c>
      <c r="I29" s="5" t="str">
        <f>IF(G6/(0.8*F25)&lt;=0.2,IF((G6/(0.8*F25))&lt;=0.2,IF(H29&lt;=1,"Safe","Unsafe"),""))</f>
        <v>Safe</v>
      </c>
    </row>
    <row r="30" spans="1:30" ht="20.25" x14ac:dyDescent="0.2">
      <c r="A30" s="24" t="s">
        <v>91</v>
      </c>
      <c r="B30" s="24">
        <f>0.1*SQRT((B18*((B16)^3)/12)/(B18*B16+(1/6)*(B15-2*B18)*B17))</f>
        <v>8.3066441230504005</v>
      </c>
      <c r="C30" s="24" t="s">
        <v>6</v>
      </c>
      <c r="E30" s="39" t="str">
        <f>IF(G6/(0.8*F25)&gt;0.2,"Pu / ᶲPnx &gt; 0.2","")</f>
        <v/>
      </c>
      <c r="F30" s="39"/>
      <c r="G30" s="24" t="str">
        <f>IF(G6/(0.8*F25)&gt;0.2,"&gt;&gt;&gt;&gt;","")</f>
        <v/>
      </c>
      <c r="H30" s="24" t="str" cm="1">
        <f t="array" ref="H30">IF(G6/(0.8*F25)&gt;0.2,G6/(0.8*F25)+(8/9)*(G5/(0.85*F(B11&lt;=B29,G16,IF(AND(B11&gt;B29,B11&lt;=B32),MIN(F15,G17),MIN(F15,G18))))),"")</f>
        <v/>
      </c>
      <c r="I30" s="24" t="str">
        <f>IF((G6/(0.8*F25))&gt;0.2,IF(H30&lt;=1,"Safe","Unsafe"),"")</f>
        <v/>
      </c>
    </row>
    <row r="31" spans="1:30" x14ac:dyDescent="0.2">
      <c r="A31" s="24" t="s">
        <v>25</v>
      </c>
      <c r="B31" s="24">
        <f>((0.104*B30*0.1*B15)/(0.1*B16*0.1*B18))^2</f>
        <v>0.20205407466393757</v>
      </c>
      <c r="C31" s="24" t="s">
        <v>26</v>
      </c>
      <c r="E31" s="43" t="s">
        <v>38</v>
      </c>
      <c r="F31" s="43"/>
      <c r="G31" s="43"/>
    </row>
    <row r="32" spans="1:30" ht="20.25" x14ac:dyDescent="0.2">
      <c r="A32" s="24" t="s">
        <v>92</v>
      </c>
      <c r="B32" s="24">
        <f>((1380*(B16/10)*(B18/10))/((B15/10)*0.75*B5))*SQRT(0.5*(1+SQRT(1+(2*B31*0.75*B5)^2)))</f>
        <v>1558.1450196393507</v>
      </c>
      <c r="C32" s="24" t="s">
        <v>6</v>
      </c>
      <c r="E32" s="39">
        <f>(G6/(0.8*J25))+(G5/(0.85*IF(B11&lt;=B29,G16,IF(AND(B11&gt;B29,B11&lt;=B32),MIN(F15,G17),MIN(F15,G18)))))^2</f>
        <v>0.15741952201996806</v>
      </c>
      <c r="F32" s="39"/>
      <c r="G32" s="5" t="str">
        <f>IF(E32&lt;=1,"Safe","Unsafe")</f>
        <v>Safe</v>
      </c>
    </row>
    <row r="33" spans="1:3" x14ac:dyDescent="0.2">
      <c r="A33" s="24" t="s">
        <v>42</v>
      </c>
      <c r="B33" s="16">
        <v>0</v>
      </c>
      <c r="C33" s="24" t="s">
        <v>26</v>
      </c>
    </row>
    <row r="34" spans="1:3" ht="20.25" x14ac:dyDescent="0.2">
      <c r="A34" s="24" t="s">
        <v>94</v>
      </c>
      <c r="B34" s="24">
        <f>1.75+1.05*B33+0.3*(B33)^2</f>
        <v>1.75</v>
      </c>
      <c r="C34" s="24" t="s">
        <v>26</v>
      </c>
    </row>
    <row r="37" spans="1:3" ht="19.5" customHeight="1" x14ac:dyDescent="0.2"/>
  </sheetData>
  <mergeCells count="27">
    <mergeCell ref="U1:V1"/>
    <mergeCell ref="S2:X2"/>
    <mergeCell ref="G12:H12"/>
    <mergeCell ref="E5:F5"/>
    <mergeCell ref="E6:F6"/>
    <mergeCell ref="J11:J12"/>
    <mergeCell ref="Y2:AA2"/>
    <mergeCell ref="AB2:AD2"/>
    <mergeCell ref="G11:H11"/>
    <mergeCell ref="I11:I12"/>
    <mergeCell ref="E4:F4"/>
    <mergeCell ref="E32:F32"/>
    <mergeCell ref="B14:C14"/>
    <mergeCell ref="G21:H21"/>
    <mergeCell ref="E30:F30"/>
    <mergeCell ref="E27:F27"/>
    <mergeCell ref="E28:F28"/>
    <mergeCell ref="E29:F29"/>
    <mergeCell ref="E31:G31"/>
    <mergeCell ref="E20:F20"/>
    <mergeCell ref="I21:J21"/>
    <mergeCell ref="B4:C4"/>
    <mergeCell ref="E21:F21"/>
    <mergeCell ref="K11:K12"/>
    <mergeCell ref="A13:C13"/>
    <mergeCell ref="A8:C8"/>
    <mergeCell ref="E9:F9"/>
  </mergeCells>
  <phoneticPr fontId="1" type="noConversion"/>
  <conditionalFormatting sqref="K22 G22 I29:I30 G32">
    <cfRule type="cellIs" dxfId="9" priority="2" operator="equal">
      <formula>"Safe"</formula>
    </cfRule>
  </conditionalFormatting>
  <conditionalFormatting sqref="K22 G22 I29:I30 G32">
    <cfRule type="cellIs" dxfId="8" priority="1" operator="equal">
      <formula>"Unsafe"</formula>
    </cfRule>
  </conditionalFormatting>
  <dataValidations count="2">
    <dataValidation type="list" allowBlank="1" showInputMessage="1" showErrorMessage="1" sqref="B4" xr:uid="{507F1197-56F6-4B06-BC43-2FE6CBE21F9B}">
      <formula1>$A$1:$A$3</formula1>
    </dataValidation>
    <dataValidation type="list" allowBlank="1" showInputMessage="1" showErrorMessage="1" sqref="B14" xr:uid="{FD15E5BA-8D2E-400F-870A-3333AD5A9089}">
      <formula1>$P$4:$P$27</formula1>
    </dataValidation>
  </dataValidation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24DB-A657-4E62-817D-8FF2A7ED3E9B}">
  <sheetPr>
    <pageSetUpPr fitToPage="1"/>
  </sheetPr>
  <dimension ref="A1:N38"/>
  <sheetViews>
    <sheetView showGridLines="0" topLeftCell="A20" zoomScaleNormal="100" workbookViewId="0">
      <selection activeCell="H19" sqref="H19"/>
    </sheetView>
  </sheetViews>
  <sheetFormatPr defaultRowHeight="18.75" x14ac:dyDescent="0.2"/>
  <cols>
    <col min="1" max="1" width="5.625" style="8" bestFit="1" customWidth="1"/>
    <col min="2" max="2" width="10" style="8" bestFit="1" customWidth="1"/>
    <col min="3" max="3" width="9.25" style="8" customWidth="1"/>
    <col min="4" max="4" width="9" style="8"/>
    <col min="5" max="5" width="17.125" style="8" customWidth="1"/>
    <col min="6" max="6" width="10.25" style="8" customWidth="1"/>
    <col min="7" max="7" width="9.75" style="8" bestFit="1" customWidth="1"/>
    <col min="8" max="8" width="9.375" style="8" bestFit="1" customWidth="1"/>
    <col min="9" max="9" width="9.75" style="8" bestFit="1" customWidth="1"/>
    <col min="10" max="16384" width="9" style="8"/>
  </cols>
  <sheetData>
    <row r="1" spans="1:14" x14ac:dyDescent="0.2">
      <c r="A1" s="20">
        <v>37</v>
      </c>
      <c r="B1" s="21" t="s">
        <v>0</v>
      </c>
    </row>
    <row r="2" spans="1:14" x14ac:dyDescent="0.2">
      <c r="A2" s="20">
        <v>44</v>
      </c>
      <c r="B2" s="21" t="s">
        <v>1</v>
      </c>
    </row>
    <row r="3" spans="1:14" x14ac:dyDescent="0.2">
      <c r="A3" s="20">
        <v>52</v>
      </c>
      <c r="B3" s="21" t="s">
        <v>2</v>
      </c>
    </row>
    <row r="4" spans="1:14" x14ac:dyDescent="0.3">
      <c r="A4" s="7" t="s">
        <v>50</v>
      </c>
      <c r="B4" s="38">
        <v>37</v>
      </c>
      <c r="C4" s="38"/>
      <c r="D4" s="7"/>
      <c r="E4" s="2" t="s">
        <v>40</v>
      </c>
      <c r="F4" s="2"/>
      <c r="G4" s="7"/>
      <c r="H4" s="7"/>
      <c r="I4" s="7"/>
      <c r="J4" s="7"/>
      <c r="K4" s="7"/>
      <c r="L4" s="7"/>
      <c r="M4" s="7"/>
      <c r="N4" s="7"/>
    </row>
    <row r="5" spans="1:14" ht="21" x14ac:dyDescent="0.2">
      <c r="A5" s="7" t="s">
        <v>61</v>
      </c>
      <c r="B5" s="7">
        <f>IF(B4=A1,2.4,IF(B4=A2,2.8,3.6))</f>
        <v>2.4</v>
      </c>
      <c r="C5" s="7" t="s">
        <v>62</v>
      </c>
      <c r="D5" s="7"/>
      <c r="E5" s="12" t="s">
        <v>63</v>
      </c>
      <c r="F5" s="16">
        <v>2200</v>
      </c>
      <c r="G5" s="7" t="s">
        <v>3</v>
      </c>
      <c r="H5" s="7"/>
      <c r="I5" s="7"/>
      <c r="J5" s="7"/>
      <c r="K5" s="7"/>
      <c r="L5" s="7"/>
      <c r="M5" s="7"/>
      <c r="N5" s="7"/>
    </row>
    <row r="6" spans="1:14" ht="21" x14ac:dyDescent="0.2">
      <c r="A6" s="7" t="s">
        <v>64</v>
      </c>
      <c r="B6" s="7">
        <f>IF(B4=A1,3.7,IF(B4=A2,4.4,5.2))</f>
        <v>3.7</v>
      </c>
      <c r="C6" s="7" t="s">
        <v>62</v>
      </c>
      <c r="D6" s="7" t="s">
        <v>41</v>
      </c>
      <c r="E6" s="12" t="s">
        <v>4</v>
      </c>
      <c r="F6" s="16">
        <v>20</v>
      </c>
      <c r="G6" s="7" t="s">
        <v>5</v>
      </c>
      <c r="H6" s="7"/>
      <c r="I6" s="7"/>
      <c r="J6" s="7"/>
      <c r="K6" s="7"/>
      <c r="L6" s="7"/>
      <c r="M6" s="7"/>
      <c r="N6" s="7"/>
    </row>
    <row r="7" spans="1:14" ht="20.25" x14ac:dyDescent="0.2">
      <c r="D7" s="7"/>
      <c r="E7" s="14" t="s">
        <v>65</v>
      </c>
      <c r="F7" s="13">
        <v>30</v>
      </c>
      <c r="G7" s="15" t="s">
        <v>5</v>
      </c>
      <c r="I7" s="7"/>
      <c r="J7" s="7"/>
      <c r="K7" s="7"/>
      <c r="L7" s="7"/>
      <c r="M7" s="7"/>
      <c r="N7" s="7"/>
    </row>
    <row r="8" spans="1:14" x14ac:dyDescent="0.2">
      <c r="A8" s="40" t="s">
        <v>60</v>
      </c>
      <c r="B8" s="40"/>
      <c r="C8" s="40"/>
      <c r="D8" s="7"/>
      <c r="I8" s="7"/>
      <c r="J8" s="7"/>
      <c r="K8" s="7"/>
      <c r="L8" s="7"/>
      <c r="M8" s="7"/>
      <c r="N8" s="7"/>
    </row>
    <row r="9" spans="1:14" ht="20.25" x14ac:dyDescent="0.2">
      <c r="A9" s="7" t="s">
        <v>66</v>
      </c>
      <c r="B9" s="16">
        <v>400</v>
      </c>
      <c r="C9" s="7" t="s">
        <v>6</v>
      </c>
      <c r="D9" s="7"/>
      <c r="H9" s="7"/>
      <c r="I9" s="7"/>
      <c r="J9" s="7"/>
      <c r="K9" s="7"/>
      <c r="L9" s="7"/>
      <c r="M9" s="7"/>
      <c r="N9" s="7"/>
    </row>
    <row r="10" spans="1:14" ht="20.25" x14ac:dyDescent="0.2">
      <c r="A10" s="7" t="s">
        <v>67</v>
      </c>
      <c r="B10" s="16">
        <v>400</v>
      </c>
      <c r="C10" s="7" t="s">
        <v>6</v>
      </c>
      <c r="D10" s="7"/>
      <c r="E10" s="2" t="s">
        <v>28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 ht="20.25" x14ac:dyDescent="0.2">
      <c r="A11" s="7" t="s">
        <v>68</v>
      </c>
      <c r="B11" s="16">
        <v>400</v>
      </c>
      <c r="C11" s="7" t="s">
        <v>6</v>
      </c>
      <c r="D11" s="7"/>
      <c r="E11" s="43" t="s">
        <v>29</v>
      </c>
      <c r="F11" s="43"/>
      <c r="G11" s="7"/>
      <c r="H11" s="7"/>
      <c r="I11" s="7"/>
      <c r="J11" s="7"/>
      <c r="K11" s="7"/>
      <c r="L11" s="7"/>
      <c r="M11" s="7"/>
      <c r="N11" s="7"/>
    </row>
    <row r="12" spans="1:14" ht="21" x14ac:dyDescent="0.2">
      <c r="A12" s="7"/>
      <c r="B12" s="16"/>
      <c r="C12" s="7"/>
      <c r="D12" s="7"/>
      <c r="E12" s="3" t="s">
        <v>59</v>
      </c>
      <c r="F12" s="7">
        <f>(1/B14)*(((B14+2*B17)/2)+(F6/(2*B16*B5))-B17)</f>
        <v>0.62112403100775193</v>
      </c>
      <c r="G12" s="7"/>
      <c r="H12" s="7"/>
      <c r="I12" s="7"/>
      <c r="J12" s="7"/>
      <c r="K12" s="7"/>
      <c r="L12" s="7"/>
      <c r="M12" s="7"/>
      <c r="N12" s="7"/>
    </row>
    <row r="13" spans="1:14" ht="20.25" x14ac:dyDescent="0.2">
      <c r="A13" s="40" t="s">
        <v>55</v>
      </c>
      <c r="B13" s="40"/>
      <c r="C13" s="40"/>
      <c r="D13" s="7"/>
      <c r="E13" s="7" t="s">
        <v>69</v>
      </c>
      <c r="F13" s="7">
        <f>B14/B16</f>
        <v>46.511627906976742</v>
      </c>
      <c r="G13" s="12" t="str">
        <f>IF(AND(F12&gt;0.5,F13&lt;=((699/SQRT(B5))/(13*F12-1))),B1,IF(AND(F12&lt;=0.5,F13&lt;=((63.3/F12)/SQRT(B5))),B1,B2))</f>
        <v>Compact</v>
      </c>
      <c r="H13" s="39" t="s">
        <v>30</v>
      </c>
      <c r="I13" s="39" t="str">
        <f>IF(AND(G13=B1,G14=B1),B1,B2)</f>
        <v>Compact</v>
      </c>
      <c r="J13" s="39" t="s">
        <v>51</v>
      </c>
      <c r="K13" s="12"/>
      <c r="M13" s="12"/>
      <c r="N13" s="7"/>
    </row>
    <row r="14" spans="1:14" ht="20.25" x14ac:dyDescent="0.2">
      <c r="A14" s="7" t="s">
        <v>95</v>
      </c>
      <c r="B14" s="16">
        <v>40</v>
      </c>
      <c r="C14" s="7" t="s">
        <v>6</v>
      </c>
      <c r="D14" s="7"/>
      <c r="E14" s="7" t="s">
        <v>70</v>
      </c>
      <c r="F14" s="7">
        <f>(0.4*B15)/(B17)</f>
        <v>5.333333333333333</v>
      </c>
      <c r="G14" s="12" t="str">
        <f>IF(F14&lt;=15.3/SQRT(B5),B1,IF(F14&lt;=21/SQRT(B5),B2,B3))</f>
        <v>Compact</v>
      </c>
      <c r="H14" s="39"/>
      <c r="I14" s="39"/>
      <c r="J14" s="39"/>
      <c r="K14" s="12"/>
      <c r="L14" s="12"/>
      <c r="M14" s="12"/>
      <c r="N14" s="7"/>
    </row>
    <row r="15" spans="1:14" x14ac:dyDescent="0.2">
      <c r="A15" s="7" t="s">
        <v>18</v>
      </c>
      <c r="B15" s="16">
        <v>18</v>
      </c>
      <c r="C15" s="7" t="s">
        <v>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25" x14ac:dyDescent="0.2">
      <c r="A16" s="7" t="s">
        <v>96</v>
      </c>
      <c r="B16" s="16">
        <v>0.86</v>
      </c>
      <c r="C16" s="7" t="s">
        <v>6</v>
      </c>
      <c r="D16" s="7"/>
      <c r="E16" s="17" t="s">
        <v>57</v>
      </c>
      <c r="F16" s="7"/>
      <c r="G16" s="7"/>
      <c r="H16" s="7"/>
      <c r="I16" s="7"/>
      <c r="J16" s="7"/>
      <c r="K16" s="7"/>
      <c r="L16" s="7"/>
      <c r="M16" s="7"/>
      <c r="N16" s="7"/>
    </row>
    <row r="17" spans="1:14" ht="20.25" x14ac:dyDescent="0.2">
      <c r="A17" s="7" t="s">
        <v>97</v>
      </c>
      <c r="B17" s="16">
        <v>1.35</v>
      </c>
      <c r="C17" s="7" t="s">
        <v>6</v>
      </c>
      <c r="D17" s="7"/>
      <c r="E17" s="7" t="s">
        <v>71</v>
      </c>
      <c r="F17" s="7">
        <f>B23*B5</f>
        <v>3237.1320000000001</v>
      </c>
      <c r="G17" s="7" t="s">
        <v>3</v>
      </c>
      <c r="H17" s="7"/>
      <c r="I17" s="7"/>
      <c r="J17" s="7"/>
      <c r="K17" s="7"/>
      <c r="L17" s="7"/>
      <c r="M17" s="7"/>
      <c r="N17" s="7"/>
    </row>
    <row r="18" spans="1:14" x14ac:dyDescent="0.2">
      <c r="A18" s="7"/>
      <c r="B18" s="16"/>
      <c r="C18" s="7"/>
      <c r="D18" s="7"/>
      <c r="E18" s="7" t="str">
        <f>IF(B11&lt;=B28,"Lb &lt;= Lp","")</f>
        <v/>
      </c>
      <c r="F18" s="7" t="str">
        <f>IF(B11&lt;=B28,"&gt;&gt;&gt;","")</f>
        <v/>
      </c>
      <c r="G18" s="7" t="str">
        <f>IF(B11&lt;=B28,"Mnx","")</f>
        <v/>
      </c>
      <c r="H18" s="7" t="str">
        <f>IF(B11&lt;=B28,F17,"")</f>
        <v/>
      </c>
      <c r="I18" s="7" t="str">
        <f>IF(B11&lt;=B28,"Cm.t","")</f>
        <v/>
      </c>
      <c r="J18" s="12"/>
      <c r="N18" s="7"/>
    </row>
    <row r="19" spans="1:14" x14ac:dyDescent="0.2">
      <c r="A19" s="40" t="s">
        <v>56</v>
      </c>
      <c r="B19" s="40"/>
      <c r="C19" s="40"/>
      <c r="D19" s="7"/>
      <c r="E19" s="7" t="str">
        <f>IF(AND(B11&gt;B28,B11&lt;=B31),"Lp &lt; Lb &lt;= Lr","")</f>
        <v>Lp &lt; Lb &lt;= Lr</v>
      </c>
      <c r="F19" s="7" t="str">
        <f>IF(AND(B11&gt;B28,B11&lt;=B31),"&gt;&gt;&gt;","")</f>
        <v>&gt;&gt;&gt;</v>
      </c>
      <c r="G19" s="7" t="str">
        <f>IF(AND(B11&gt;B28,B11&lt;=B31),"Mnx","")</f>
        <v>Mnx</v>
      </c>
      <c r="H19" s="7">
        <f>IF(AND(B11&gt;B28,B11&lt;=B31),MIN(B33*(F17-(F17-(B22*0.75*B5))*((B11-B28)/(B31-B28))),F17),"")</f>
        <v>3237.1320000000001</v>
      </c>
      <c r="I19" s="7" t="str">
        <f>IF(AND(B11&gt;B28,B11&lt;=B31),"Cm.t","")</f>
        <v>Cm.t</v>
      </c>
      <c r="J19" s="12"/>
      <c r="K19" s="24"/>
      <c r="L19" s="24"/>
      <c r="M19" s="24"/>
      <c r="N19" s="7"/>
    </row>
    <row r="20" spans="1:14" ht="21" x14ac:dyDescent="0.2">
      <c r="A20" s="7" t="s">
        <v>10</v>
      </c>
      <c r="B20" s="7">
        <f>B14*B16+2*B15*B17</f>
        <v>83</v>
      </c>
      <c r="C20" s="7" t="s">
        <v>77</v>
      </c>
      <c r="D20" s="7"/>
      <c r="E20" s="7" t="str">
        <f>IF(B11&gt;B31,"Lb &gt; Lr","")</f>
        <v/>
      </c>
      <c r="F20" s="7" t="str">
        <f>IF(B11&gt;B31,"&gt;&gt;&gt;","")</f>
        <v/>
      </c>
      <c r="G20" s="7" t="str">
        <f>IF(B11&gt;B31,"Mnx","")</f>
        <v/>
      </c>
      <c r="H20" s="7" t="str">
        <f>IF(B11&gt;B31,MIN(B22*SQRT(((1380*0.1*B15*0.1*B17)/(0.1*B14*B11))^2+(20700/(B11/B29)^2)^2),F17),"")</f>
        <v/>
      </c>
      <c r="I20" s="7" t="str">
        <f>IF(B11&gt;B31,"Cm.t","")</f>
        <v/>
      </c>
      <c r="J20" s="12"/>
      <c r="K20" s="24"/>
      <c r="L20" s="24"/>
      <c r="M20" s="24"/>
      <c r="N20" s="7"/>
    </row>
    <row r="21" spans="1:14" ht="21" x14ac:dyDescent="0.2">
      <c r="A21" s="7" t="s">
        <v>79</v>
      </c>
      <c r="B21" s="7">
        <f>((B16*B14^3))/12+2*(((B15*B17^3)/12)+B15*B17*(0.5*B14+0.5*B17)^2)</f>
        <v>25368.391166666672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21" x14ac:dyDescent="0.2">
      <c r="A22" s="7" t="s">
        <v>83</v>
      </c>
      <c r="B22" s="7">
        <f>B21/(0.5*B14+B17)</f>
        <v>1188.2150429352071</v>
      </c>
      <c r="C22" s="7" t="s">
        <v>84</v>
      </c>
      <c r="D22" s="7"/>
      <c r="E22" s="43" t="s">
        <v>58</v>
      </c>
      <c r="F22" s="43"/>
      <c r="G22" s="7"/>
      <c r="H22" s="7"/>
      <c r="I22" s="7"/>
      <c r="J22" s="7"/>
      <c r="K22" s="7"/>
      <c r="L22" s="7"/>
      <c r="M22" s="7"/>
      <c r="N22" s="7"/>
    </row>
    <row r="23" spans="1:14" ht="21" x14ac:dyDescent="0.2">
      <c r="A23" s="7" t="s">
        <v>85</v>
      </c>
      <c r="B23" s="7">
        <f>2*(B15*B17*(0.5*B14+0.5*B17)+0.5*B14*B16*0.25*B14)</f>
        <v>1348.8050000000001</v>
      </c>
      <c r="C23" s="7" t="s">
        <v>84</v>
      </c>
      <c r="D23" s="7"/>
      <c r="E23" s="43" t="s">
        <v>37</v>
      </c>
      <c r="F23" s="43"/>
      <c r="G23" s="39"/>
      <c r="H23" s="39"/>
      <c r="I23" s="43" t="s">
        <v>54</v>
      </c>
      <c r="J23" s="43"/>
      <c r="K23" s="7"/>
      <c r="L23" s="7"/>
      <c r="M23" s="7"/>
      <c r="N23" s="7"/>
    </row>
    <row r="24" spans="1:14" ht="20.25" x14ac:dyDescent="0.2">
      <c r="A24" s="7" t="s">
        <v>86</v>
      </c>
      <c r="B24" s="7">
        <f>SQRT(B21/B20)</f>
        <v>17.482656178861184</v>
      </c>
      <c r="C24" s="7" t="s">
        <v>6</v>
      </c>
      <c r="D24" s="7"/>
      <c r="E24" s="7" t="s">
        <v>73</v>
      </c>
      <c r="F24" s="7">
        <f>B9/B24</f>
        <v>22.879818484541971</v>
      </c>
      <c r="G24" s="5" t="str">
        <f>IF(F24&lt;180,"Safe","Unsafe")</f>
        <v>Safe</v>
      </c>
      <c r="H24" s="7"/>
      <c r="I24" s="7" t="s">
        <v>74</v>
      </c>
      <c r="J24" s="7">
        <f>B10/B27</f>
        <v>100.51906687910243</v>
      </c>
      <c r="K24" s="5" t="str">
        <f>IF(J24&lt;=180,"Safe","Unsafe")</f>
        <v>Safe</v>
      </c>
      <c r="L24" s="7"/>
      <c r="M24" s="7"/>
      <c r="N24" s="7"/>
    </row>
    <row r="25" spans="1:14" ht="21" x14ac:dyDescent="0.2">
      <c r="A25" s="7" t="s">
        <v>87</v>
      </c>
      <c r="B25" s="7">
        <f>2*((B17*B15^3)/12)+((B14*B16^3)/12)</f>
        <v>1314.3201866666668</v>
      </c>
      <c r="C25" s="7" t="s">
        <v>80</v>
      </c>
      <c r="D25" s="7"/>
      <c r="E25" s="7" t="s">
        <v>75</v>
      </c>
      <c r="F25" s="7">
        <f>F24*SQRT((B5)/((22/7)^2*2100))</f>
        <v>0.24610696650434116</v>
      </c>
      <c r="G25" s="7"/>
      <c r="H25" s="7"/>
      <c r="I25" s="7" t="s">
        <v>75</v>
      </c>
      <c r="J25" s="7">
        <f>J24*SQRT((B5)/((22/7)^2*2100))</f>
        <v>1.0812342170536291</v>
      </c>
      <c r="K25" s="7"/>
      <c r="L25" s="7"/>
      <c r="M25" s="7"/>
      <c r="N25" s="7"/>
    </row>
    <row r="26" spans="1:14" ht="21" x14ac:dyDescent="0.2">
      <c r="A26" s="7" t="s">
        <v>88</v>
      </c>
      <c r="B26" s="7">
        <f>B25/(0.5*B15)</f>
        <v>146.03557629629631</v>
      </c>
      <c r="C26" s="7" t="s">
        <v>84</v>
      </c>
      <c r="D26" s="7"/>
      <c r="E26" s="7" t="s">
        <v>78</v>
      </c>
      <c r="F26" s="7">
        <f>IF(F25&lt;1.1,B5*(1-0.384*(F25)^2),IF(F25&gt;1.1,(0.648*B5)/(F25)^2))</f>
        <v>2.3441799423326493</v>
      </c>
      <c r="G26" s="7" t="s">
        <v>62</v>
      </c>
      <c r="H26" s="7"/>
      <c r="I26" s="7" t="s">
        <v>78</v>
      </c>
      <c r="J26" s="7">
        <f>IF(J25&lt;1.1,B5*(1-0.384*(J25)^2),IF(J25&gt;1.1,(0.648*B5)/(J25)^2))</f>
        <v>1.3225874545512275</v>
      </c>
      <c r="K26" s="7" t="s">
        <v>62</v>
      </c>
      <c r="L26" s="7"/>
      <c r="M26" s="7"/>
      <c r="N26" s="7"/>
    </row>
    <row r="27" spans="1:14" ht="20.25" x14ac:dyDescent="0.2">
      <c r="A27" s="7" t="s">
        <v>89</v>
      </c>
      <c r="B27" s="7">
        <f>SQRT(B25/B20)</f>
        <v>3.9793445404849717</v>
      </c>
      <c r="C27" s="7" t="s">
        <v>6</v>
      </c>
      <c r="D27" s="7"/>
      <c r="E27" s="7" t="s">
        <v>81</v>
      </c>
      <c r="F27" s="7">
        <f>F26*B20</f>
        <v>194.5669352136099</v>
      </c>
      <c r="G27" s="7" t="s">
        <v>34</v>
      </c>
      <c r="H27" s="7"/>
      <c r="I27" s="7" t="s">
        <v>82</v>
      </c>
      <c r="J27" s="7">
        <f>J26*B20</f>
        <v>109.77475872775189</v>
      </c>
      <c r="K27" s="7" t="s">
        <v>34</v>
      </c>
      <c r="L27" s="7"/>
      <c r="M27" s="7"/>
      <c r="N27" s="7"/>
    </row>
    <row r="28" spans="1:14" ht="20.25" x14ac:dyDescent="0.2">
      <c r="A28" s="7" t="s">
        <v>90</v>
      </c>
      <c r="B28" s="7">
        <f>(80*B27)/SQRT(B5)</f>
        <v>205.49246845492937</v>
      </c>
      <c r="C28" s="7" t="s">
        <v>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20.25" x14ac:dyDescent="0.2">
      <c r="A29" s="7" t="s">
        <v>91</v>
      </c>
      <c r="B29" s="7">
        <f>SQRT((B17*((B15)^3)/12)/(B17*B15+(1/6)*(B14-2*B17)*B16))</f>
        <v>4.7043489141277108</v>
      </c>
      <c r="C29" s="7" t="s">
        <v>6</v>
      </c>
      <c r="D29" s="7"/>
      <c r="E29" s="43" t="s">
        <v>35</v>
      </c>
      <c r="F29" s="43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7" t="s">
        <v>25</v>
      </c>
      <c r="B30" s="7">
        <f>((0.104*B29*B14)/(B15*B17))^2</f>
        <v>0.64859435493240658</v>
      </c>
      <c r="C30" s="7" t="s">
        <v>26</v>
      </c>
      <c r="D30" s="7"/>
      <c r="E30" s="43" t="s">
        <v>36</v>
      </c>
      <c r="F30" s="43"/>
      <c r="G30" s="7"/>
      <c r="H30" s="7"/>
      <c r="I30" s="7"/>
      <c r="J30" s="7"/>
      <c r="K30" s="7"/>
      <c r="L30" s="7"/>
      <c r="M30" s="7"/>
      <c r="N30" s="7"/>
    </row>
    <row r="31" spans="1:14" ht="20.25" x14ac:dyDescent="0.2">
      <c r="A31" s="7" t="s">
        <v>92</v>
      </c>
      <c r="B31" s="7">
        <f>((1380*(B15)*(B17))/((B14)*0.6*B5))*SQRT(0.5*(1+SQRT(1+(2*B30*0.6*B5)^2)))</f>
        <v>727.01018620842376</v>
      </c>
      <c r="C31" s="7" t="s">
        <v>6</v>
      </c>
      <c r="D31" s="7"/>
      <c r="E31" s="39" t="str">
        <f>IF(F6/(0.8*F27)&lt;=0.2,"Pu / ᶲPnx &lt;= 0.2","")</f>
        <v>Pu / ᶲPnx &lt;= 0.2</v>
      </c>
      <c r="F31" s="39"/>
      <c r="G31" s="7" t="str">
        <f>IF(F6/(0.8*F27)&lt;=0.2,"&gt;&gt;&gt;&gt;","")</f>
        <v>&gt;&gt;&gt;&gt;</v>
      </c>
      <c r="H31" s="7">
        <f>IF(F6/(0.8*F27)&lt;=0.2,F6/(2*0.8*F27)+F5/(0.85*IF(B11&lt;=B28,H18,IF(AND(B11&gt;B28,B11&lt;=B31),H19,H20))),"")</f>
        <v>0.86379104266954254</v>
      </c>
      <c r="I31" s="5" t="str">
        <f>IF((F6/(0.8*F27))&lt;=0.2,IF(H31&lt;=1,"Safe","Unsafe"),"")</f>
        <v>Safe</v>
      </c>
      <c r="J31" s="7"/>
      <c r="K31" s="7"/>
      <c r="L31" s="7"/>
      <c r="M31" s="7"/>
      <c r="N31" s="7"/>
    </row>
    <row r="32" spans="1:14" x14ac:dyDescent="0.2">
      <c r="A32" s="18" t="s">
        <v>42</v>
      </c>
      <c r="B32" s="16">
        <f>18/20</f>
        <v>0.9</v>
      </c>
      <c r="C32" s="7" t="s">
        <v>26</v>
      </c>
      <c r="D32" s="7"/>
      <c r="E32" s="39" t="str">
        <f>IF(F6/(0.8*F27)&gt;0.2,"Pu / ᶲPnx &gt; 0.2","")</f>
        <v/>
      </c>
      <c r="F32" s="39"/>
      <c r="G32" s="7" t="str">
        <f>IF(F6/(0.8*F27)&gt;0.2,"&gt;&gt;&gt;&gt;","")</f>
        <v/>
      </c>
      <c r="H32" s="7" t="str">
        <f>IF(F6/(0.8*F27)&gt;0.2,F6/(0.8*F27)+(8/9)*(F5/(0.85*IF(B11&lt;=B28,H18,IF(AND(B11&gt;B28,B11&lt;=B31),H19,H20)))),"")</f>
        <v/>
      </c>
      <c r="I32" s="5" t="str">
        <f>IF((F6/(0.8*F27))&gt;0.2,IF(H32&lt;=1,"Safe","Unsafe"),"")</f>
        <v/>
      </c>
      <c r="J32" s="7"/>
      <c r="K32" s="7"/>
      <c r="L32" s="7"/>
      <c r="M32" s="7"/>
      <c r="N32" s="7"/>
    </row>
    <row r="33" spans="1:14" ht="20.25" x14ac:dyDescent="0.2">
      <c r="A33" s="7" t="s">
        <v>94</v>
      </c>
      <c r="B33" s="7">
        <f>MIN(1.75+1.05*B32+0.3*(B32)^2,2.3)</f>
        <v>2.2999999999999998</v>
      </c>
      <c r="C33" s="7" t="s">
        <v>26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">
      <c r="A34" s="7"/>
      <c r="B34" s="7"/>
      <c r="C34" s="7"/>
      <c r="D34" s="7"/>
      <c r="E34" s="43" t="s">
        <v>53</v>
      </c>
      <c r="F34" s="43"/>
      <c r="G34" s="43"/>
      <c r="H34" s="7"/>
      <c r="I34" s="7"/>
      <c r="J34" s="7"/>
      <c r="K34" s="7"/>
      <c r="L34" s="7"/>
      <c r="M34" s="7"/>
      <c r="N34" s="7"/>
    </row>
    <row r="35" spans="1:14" x14ac:dyDescent="0.2">
      <c r="A35" s="7"/>
      <c r="B35" s="7"/>
      <c r="C35" s="7"/>
      <c r="D35" s="7"/>
      <c r="E35" s="39">
        <f>(F6/(0.8*J27))+(F5/(0.85*IF(B11&lt;=B28,H18,IF(AND(B11&gt;B28,B11&lt;=B31),H19,H20))))^2</f>
        <v>0.86701254271745165</v>
      </c>
      <c r="F35" s="39"/>
      <c r="G35" s="5" t="str">
        <f>IF(E35&lt;=1,"Safe","Unsafe")</f>
        <v>Safe</v>
      </c>
      <c r="H35" s="7"/>
      <c r="I35" s="7"/>
      <c r="J35" s="7"/>
      <c r="K35" s="7"/>
      <c r="L35" s="7"/>
      <c r="M35" s="7"/>
    </row>
    <row r="36" spans="1:14" x14ac:dyDescent="0.2">
      <c r="A36" s="7"/>
      <c r="B36" s="7"/>
      <c r="C36" s="7"/>
      <c r="D36" s="7"/>
    </row>
    <row r="37" spans="1:14" ht="19.5" customHeight="1" x14ac:dyDescent="0.2">
      <c r="A37" s="7"/>
      <c r="B37" s="7"/>
      <c r="C37" s="7"/>
      <c r="D37" s="7"/>
      <c r="E37" s="4" t="s">
        <v>52</v>
      </c>
      <c r="F37" s="15"/>
      <c r="G37" s="15"/>
    </row>
    <row r="38" spans="1:14" ht="20.25" x14ac:dyDescent="0.2">
      <c r="A38" s="7"/>
      <c r="B38" s="7"/>
      <c r="C38" s="7"/>
      <c r="E38" s="15" t="s">
        <v>93</v>
      </c>
      <c r="F38" s="15">
        <f>F7/(0.85*0.6*B5*B14*B16)</f>
        <v>0.71249430004559955</v>
      </c>
      <c r="G38" s="19" t="str">
        <f>IF(F38&lt;=1,"Safe","Unsafe")</f>
        <v>Safe</v>
      </c>
    </row>
  </sheetData>
  <mergeCells count="18">
    <mergeCell ref="E32:F32"/>
    <mergeCell ref="E34:G34"/>
    <mergeCell ref="E35:F35"/>
    <mergeCell ref="E29:F29"/>
    <mergeCell ref="E30:F30"/>
    <mergeCell ref="E31:F31"/>
    <mergeCell ref="B4:C4"/>
    <mergeCell ref="I23:J23"/>
    <mergeCell ref="G23:H23"/>
    <mergeCell ref="E22:F22"/>
    <mergeCell ref="E23:F23"/>
    <mergeCell ref="H13:H14"/>
    <mergeCell ref="J13:J14"/>
    <mergeCell ref="I13:I14"/>
    <mergeCell ref="A19:C19"/>
    <mergeCell ref="A8:C8"/>
    <mergeCell ref="E11:F11"/>
    <mergeCell ref="A13:C13"/>
  </mergeCells>
  <conditionalFormatting sqref="K24 G24 I31:I32 G35">
    <cfRule type="cellIs" dxfId="7" priority="4" operator="equal">
      <formula>"Safe"</formula>
    </cfRule>
  </conditionalFormatting>
  <conditionalFormatting sqref="K24 G24 I31:I32 G35">
    <cfRule type="cellIs" dxfId="6" priority="3" operator="equal">
      <formula>"Unsafe"</formula>
    </cfRule>
  </conditionalFormatting>
  <conditionalFormatting sqref="G38">
    <cfRule type="cellIs" dxfId="5" priority="1" operator="equal">
      <formula>"Unsafe"</formula>
    </cfRule>
    <cfRule type="cellIs" dxfId="4" priority="2" operator="equal">
      <formula>"Safe"</formula>
    </cfRule>
  </conditionalFormatting>
  <dataValidations disablePrompts="1" count="1">
    <dataValidation type="list" allowBlank="1" showInputMessage="1" showErrorMessage="1" sqref="B4" xr:uid="{ECD9D33B-B0CD-4A71-A820-E33E1FDEB7DB}">
      <formula1>$A$1:$A$3</formula1>
    </dataValidation>
  </dataValidations>
  <pageMargins left="0.7" right="0.7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8EC8-1D32-4E02-A32C-1C707B618A56}">
  <sheetPr>
    <pageSetUpPr fitToPage="1"/>
  </sheetPr>
  <dimension ref="A1:N52"/>
  <sheetViews>
    <sheetView showGridLines="0" zoomScaleNormal="100" workbookViewId="0">
      <selection activeCell="C39" sqref="C39"/>
    </sheetView>
  </sheetViews>
  <sheetFormatPr defaultRowHeight="18.75" x14ac:dyDescent="0.2"/>
  <cols>
    <col min="1" max="1" width="7.375" style="8" bestFit="1" customWidth="1"/>
    <col min="2" max="2" width="10" style="8" bestFit="1" customWidth="1"/>
    <col min="3" max="3" width="9.25" style="8" customWidth="1"/>
    <col min="4" max="4" width="9" style="8"/>
    <col min="5" max="5" width="17.125" style="8" customWidth="1"/>
    <col min="6" max="6" width="10.25" style="8" customWidth="1"/>
    <col min="7" max="7" width="14.5" style="8" bestFit="1" customWidth="1"/>
    <col min="8" max="8" width="9.375" style="8" bestFit="1" customWidth="1"/>
    <col min="9" max="9" width="14.5" style="8" bestFit="1" customWidth="1"/>
    <col min="10" max="16384" width="9" style="8"/>
  </cols>
  <sheetData>
    <row r="1" spans="1:14" x14ac:dyDescent="0.2">
      <c r="A1" s="20">
        <v>37</v>
      </c>
      <c r="B1" s="21" t="s">
        <v>0</v>
      </c>
    </row>
    <row r="2" spans="1:14" x14ac:dyDescent="0.2">
      <c r="A2" s="20">
        <v>44</v>
      </c>
      <c r="B2" s="21" t="s">
        <v>1</v>
      </c>
    </row>
    <row r="3" spans="1:14" x14ac:dyDescent="0.2">
      <c r="A3" s="20">
        <v>52</v>
      </c>
      <c r="B3" s="21" t="s">
        <v>2</v>
      </c>
    </row>
    <row r="4" spans="1:14" x14ac:dyDescent="0.3">
      <c r="A4" s="7" t="s">
        <v>50</v>
      </c>
      <c r="B4" s="38">
        <v>37</v>
      </c>
      <c r="C4" s="38"/>
      <c r="D4" s="7"/>
      <c r="E4" s="2" t="s">
        <v>40</v>
      </c>
      <c r="F4" s="2"/>
      <c r="G4" s="7"/>
      <c r="H4" s="7"/>
      <c r="I4" s="7"/>
      <c r="J4" s="7"/>
      <c r="K4" s="7"/>
      <c r="L4" s="7"/>
      <c r="M4" s="7"/>
      <c r="N4" s="7"/>
    </row>
    <row r="5" spans="1:14" ht="21" x14ac:dyDescent="0.2">
      <c r="A5" s="7" t="s">
        <v>61</v>
      </c>
      <c r="B5" s="7">
        <f>IF(B4=A1,2.4,IF(B4=A2,2.8,3.6))</f>
        <v>2.4</v>
      </c>
      <c r="C5" s="7" t="s">
        <v>62</v>
      </c>
      <c r="D5" s="7"/>
      <c r="E5" s="12" t="s">
        <v>63</v>
      </c>
      <c r="F5" s="16">
        <v>3000</v>
      </c>
      <c r="G5" s="7" t="s">
        <v>3</v>
      </c>
      <c r="H5" s="7"/>
      <c r="I5" s="7"/>
      <c r="J5" s="7"/>
      <c r="K5" s="7"/>
      <c r="L5" s="7"/>
      <c r="M5" s="7"/>
      <c r="N5" s="7"/>
    </row>
    <row r="6" spans="1:14" ht="21" x14ac:dyDescent="0.2">
      <c r="A6" s="7" t="s">
        <v>64</v>
      </c>
      <c r="B6" s="7">
        <f>IF(B4=A1,3.7,IF(B4=A2,4.4,5.2))</f>
        <v>3.7</v>
      </c>
      <c r="C6" s="7" t="s">
        <v>62</v>
      </c>
      <c r="D6" s="7" t="s">
        <v>41</v>
      </c>
      <c r="E6" s="12" t="s">
        <v>4</v>
      </c>
      <c r="F6" s="16">
        <v>5</v>
      </c>
      <c r="G6" s="7" t="s">
        <v>5</v>
      </c>
      <c r="H6" s="7"/>
      <c r="I6" s="7"/>
      <c r="J6" s="7"/>
      <c r="K6" s="7"/>
      <c r="L6" s="7"/>
      <c r="M6" s="7"/>
      <c r="N6" s="7"/>
    </row>
    <row r="7" spans="1:14" ht="20.25" x14ac:dyDescent="0.2">
      <c r="D7" s="7"/>
      <c r="E7" s="14" t="s">
        <v>65</v>
      </c>
      <c r="F7" s="13">
        <v>30</v>
      </c>
      <c r="G7" s="15" t="s">
        <v>5</v>
      </c>
      <c r="I7" s="7"/>
      <c r="J7" s="7"/>
      <c r="K7" s="7"/>
      <c r="L7" s="7"/>
      <c r="M7" s="7"/>
      <c r="N7" s="7"/>
    </row>
    <row r="8" spans="1:14" x14ac:dyDescent="0.2">
      <c r="A8" s="40" t="s">
        <v>60</v>
      </c>
      <c r="B8" s="40"/>
      <c r="C8" s="40"/>
      <c r="D8" s="7"/>
      <c r="I8" s="7"/>
      <c r="J8" s="7"/>
      <c r="K8" s="7"/>
      <c r="L8" s="7"/>
      <c r="M8" s="7"/>
      <c r="N8" s="7"/>
    </row>
    <row r="9" spans="1:14" ht="20.25" x14ac:dyDescent="0.2">
      <c r="A9" s="7" t="s">
        <v>66</v>
      </c>
      <c r="B9" s="16">
        <f>0.8*2000</f>
        <v>1600</v>
      </c>
      <c r="C9" s="7" t="s">
        <v>6</v>
      </c>
      <c r="D9" s="7"/>
      <c r="H9" s="7"/>
      <c r="I9" s="7"/>
      <c r="J9" s="7"/>
      <c r="K9" s="7"/>
      <c r="L9" s="7"/>
      <c r="M9" s="7"/>
      <c r="N9" s="7"/>
    </row>
    <row r="10" spans="1:14" ht="20.25" x14ac:dyDescent="0.2">
      <c r="A10" s="7" t="s">
        <v>67</v>
      </c>
      <c r="B10" s="16">
        <v>200</v>
      </c>
      <c r="C10" s="7" t="s">
        <v>6</v>
      </c>
      <c r="D10" s="7"/>
      <c r="E10" s="2" t="s">
        <v>28</v>
      </c>
      <c r="F10" s="7"/>
      <c r="G10" s="7"/>
      <c r="H10" s="7"/>
      <c r="I10" s="7"/>
      <c r="J10" s="7"/>
      <c r="K10" s="7"/>
      <c r="L10" s="7"/>
      <c r="M10" s="7"/>
      <c r="N10" s="7"/>
    </row>
    <row r="11" spans="1:14" ht="20.25" x14ac:dyDescent="0.2">
      <c r="A11" s="7" t="s">
        <v>68</v>
      </c>
      <c r="B11" s="16">
        <v>200</v>
      </c>
      <c r="C11" s="7" t="s">
        <v>6</v>
      </c>
      <c r="D11" s="7"/>
      <c r="E11" s="43" t="s">
        <v>29</v>
      </c>
      <c r="F11" s="43"/>
      <c r="G11" s="7"/>
      <c r="H11" s="7"/>
      <c r="I11" s="7"/>
      <c r="J11" s="7"/>
      <c r="K11" s="7"/>
      <c r="L11" s="7"/>
      <c r="M11" s="7"/>
      <c r="N11" s="7"/>
    </row>
    <row r="12" spans="1:14" ht="21" x14ac:dyDescent="0.2">
      <c r="A12" s="7"/>
      <c r="B12" s="16"/>
      <c r="C12" s="7"/>
      <c r="D12" s="7"/>
      <c r="E12" s="3" t="s">
        <v>59</v>
      </c>
      <c r="F12" s="7">
        <f>(1/B14)*(((B14+2*B17)/2)+(F6/(2*B16*B5))-B17)</f>
        <v>0.5180844907407407</v>
      </c>
      <c r="G12" s="7"/>
      <c r="H12" s="7"/>
      <c r="I12" s="7"/>
      <c r="J12" s="7"/>
      <c r="K12" s="7"/>
      <c r="L12" s="7"/>
      <c r="M12" s="7"/>
      <c r="N12" s="7"/>
    </row>
    <row r="13" spans="1:14" ht="20.25" x14ac:dyDescent="0.2">
      <c r="A13" s="40" t="s">
        <v>55</v>
      </c>
      <c r="B13" s="40"/>
      <c r="C13" s="40"/>
      <c r="D13" s="7"/>
      <c r="E13" s="7" t="s">
        <v>69</v>
      </c>
      <c r="F13" s="7">
        <f>B14/B16</f>
        <v>90</v>
      </c>
      <c r="G13" s="12" t="str">
        <f>IF(AND(F12&gt;0.5,F13&lt;=((699/SQRT(B5))/(13*F12-1))),B1,IF(AND(F12&lt;=0.5,F13&lt;=((63.3/F12)/SQRT(B5))),B1,B2))</f>
        <v>Non-compact</v>
      </c>
      <c r="H13" s="39" t="s">
        <v>30</v>
      </c>
      <c r="I13" s="39" t="str">
        <f>IF(AND(G13=B1,G14=B1),B1,B2)</f>
        <v>Non-compact</v>
      </c>
      <c r="J13" s="39" t="s">
        <v>51</v>
      </c>
      <c r="K13" s="12"/>
      <c r="M13" s="12"/>
      <c r="N13" s="7"/>
    </row>
    <row r="14" spans="1:14" ht="20.25" x14ac:dyDescent="0.2">
      <c r="A14" s="7" t="s">
        <v>95</v>
      </c>
      <c r="B14" s="16">
        <f>2*36</f>
        <v>72</v>
      </c>
      <c r="C14" s="7" t="s">
        <v>6</v>
      </c>
      <c r="D14" s="7"/>
      <c r="E14" s="7" t="s">
        <v>70</v>
      </c>
      <c r="F14" s="7">
        <f>(0.4*B15)/(B17)</f>
        <v>5.3543307086614176</v>
      </c>
      <c r="G14" s="12" t="str">
        <f>IF(F14&lt;=15.3/SQRT(B5),B1,IF(F14&lt;=21/SQRT(B5),B2,B3))</f>
        <v>Compact</v>
      </c>
      <c r="H14" s="39"/>
      <c r="I14" s="39"/>
      <c r="J14" s="39"/>
      <c r="K14" s="12"/>
      <c r="L14" s="12"/>
      <c r="M14" s="12"/>
      <c r="N14" s="7"/>
    </row>
    <row r="15" spans="1:14" x14ac:dyDescent="0.2">
      <c r="A15" s="7" t="s">
        <v>18</v>
      </c>
      <c r="B15" s="16">
        <v>17</v>
      </c>
      <c r="C15" s="7" t="s">
        <v>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25" x14ac:dyDescent="0.2">
      <c r="A16" s="7" t="s">
        <v>96</v>
      </c>
      <c r="B16" s="16">
        <v>0.8</v>
      </c>
      <c r="C16" s="7" t="s">
        <v>6</v>
      </c>
      <c r="D16" s="7"/>
      <c r="E16" s="17" t="s">
        <v>57</v>
      </c>
      <c r="F16" s="7"/>
      <c r="G16" s="7"/>
      <c r="H16" s="7"/>
      <c r="I16" s="7"/>
      <c r="J16" s="7"/>
      <c r="K16" s="7"/>
      <c r="L16" s="7"/>
      <c r="M16" s="7"/>
      <c r="N16" s="7"/>
    </row>
    <row r="17" spans="1:14" ht="20.25" x14ac:dyDescent="0.2">
      <c r="A17" s="7" t="s">
        <v>97</v>
      </c>
      <c r="B17" s="16">
        <v>1.27</v>
      </c>
      <c r="C17" s="7" t="s">
        <v>6</v>
      </c>
      <c r="D17" s="7"/>
      <c r="E17" s="7" t="s">
        <v>71</v>
      </c>
      <c r="F17" s="7">
        <f>B24*B5</f>
        <v>37089.599999999999</v>
      </c>
      <c r="G17" s="7" t="s">
        <v>3</v>
      </c>
      <c r="H17" s="7"/>
      <c r="I17" s="7"/>
      <c r="J17" s="7"/>
      <c r="K17" s="7"/>
      <c r="L17" s="7"/>
      <c r="M17" s="7"/>
      <c r="N17" s="7"/>
    </row>
    <row r="18" spans="1:14" x14ac:dyDescent="0.2">
      <c r="A18" s="7"/>
      <c r="B18" s="16"/>
      <c r="C18" s="7"/>
      <c r="D18" s="7"/>
      <c r="E18" s="7" t="str">
        <f>IF(B11&lt;=B29,"Lb &lt;= Lp","")</f>
        <v/>
      </c>
      <c r="F18" s="7" t="str">
        <f>IF(B11&lt;=B29,"&gt;&gt;&gt;","")</f>
        <v/>
      </c>
      <c r="G18" s="7" t="str">
        <f>IF(B11&lt;=B29,"Mnx","")</f>
        <v/>
      </c>
      <c r="H18" s="7" t="str">
        <f>IF(B11&lt;=B29,F17,"")</f>
        <v/>
      </c>
      <c r="I18" s="7" t="str">
        <f>IF(B11&lt;=B29,"Cm.t","")</f>
        <v/>
      </c>
      <c r="J18" s="39" t="s">
        <v>30</v>
      </c>
      <c r="N18" s="7"/>
    </row>
    <row r="19" spans="1:14" ht="20.25" x14ac:dyDescent="0.2">
      <c r="A19" s="40" t="s">
        <v>56</v>
      </c>
      <c r="B19" s="40"/>
      <c r="C19" s="40"/>
      <c r="D19" s="7"/>
      <c r="E19" s="7" t="str">
        <f>IF(AND(B11&gt;B29,B11&lt;=B32),"Lp &lt; Lb &lt;= Lr","")</f>
        <v>Lp &lt; Lb &lt;= Lr</v>
      </c>
      <c r="F19" s="7" t="str">
        <f>IF(AND(B11&gt;B29,B11&lt;=B32),"&gt;&gt;&gt;","")</f>
        <v>&gt;&gt;&gt;</v>
      </c>
      <c r="G19" s="7" t="str">
        <f>IF(AND(B11&gt;B29,B11&lt;=B32),"Mnx","")</f>
        <v>Mnx</v>
      </c>
      <c r="H19" s="7">
        <f>IF(AND(B11&gt;B29,B11&lt;=B32),MIN(B34*(F17-(F17-(B22*0.75*B5))*((B11-B29)/(B32-B29))),F17),"")</f>
        <v>37089.599999999999</v>
      </c>
      <c r="I19" s="7" t="str">
        <f>IF(AND(B11&gt;B29,B11&lt;=B32),"Cm.t","")</f>
        <v>Cm.t</v>
      </c>
      <c r="J19" s="39"/>
      <c r="K19" s="7" t="s">
        <v>72</v>
      </c>
      <c r="L19" s="7">
        <f>IF(B11&lt;=B29,H18,IF(AND(B11&gt;B29,B11&lt;=B32),H19,H20))</f>
        <v>37089.599999999999</v>
      </c>
      <c r="M19" s="7" t="s">
        <v>3</v>
      </c>
      <c r="N19" s="7"/>
    </row>
    <row r="20" spans="1:14" ht="21" x14ac:dyDescent="0.2">
      <c r="A20" s="7" t="s">
        <v>10</v>
      </c>
      <c r="B20" s="22">
        <v>673.06129999999996</v>
      </c>
      <c r="C20" s="7" t="s">
        <v>77</v>
      </c>
      <c r="D20" s="7"/>
      <c r="E20" s="7" t="str">
        <f>IF(B11&gt;B32,"Lb &gt; Lr","")</f>
        <v/>
      </c>
      <c r="F20" s="7" t="str">
        <f>IF(B11&gt;B32,"&gt;&gt;&gt;","")</f>
        <v/>
      </c>
      <c r="G20" s="7" t="str">
        <f>IF(B11&gt;B32,"Mnx","")</f>
        <v/>
      </c>
      <c r="H20" s="7" t="str">
        <f>IF(B11&gt;B32,MIN(B22*SQRT(((1380*0.1*B15*0.1*B17)/(0.1*B14*B11))^2+(20700/(B11/B30)^2)^2),F17),"")</f>
        <v/>
      </c>
      <c r="I20" s="7" t="str">
        <f>IF(B11&gt;B32,"Cm.t","")</f>
        <v/>
      </c>
      <c r="J20" s="39"/>
      <c r="K20" s="7"/>
      <c r="L20" s="7"/>
      <c r="M20" s="7"/>
      <c r="N20" s="7"/>
    </row>
    <row r="21" spans="1:14" ht="21" x14ac:dyDescent="0.2">
      <c r="A21" s="7" t="s">
        <v>79</v>
      </c>
      <c r="B21" s="22">
        <v>189904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21" x14ac:dyDescent="0.2">
      <c r="A22" s="7" t="s">
        <v>98</v>
      </c>
      <c r="B22" s="22">
        <v>8796.9359999999997</v>
      </c>
      <c r="C22" s="7" t="s">
        <v>84</v>
      </c>
      <c r="D22" s="7"/>
      <c r="E22" s="43" t="s">
        <v>58</v>
      </c>
      <c r="F22" s="43"/>
      <c r="G22" s="7"/>
      <c r="H22" s="7"/>
      <c r="I22" s="7"/>
      <c r="J22" s="7"/>
      <c r="K22" s="7"/>
      <c r="L22" s="7"/>
      <c r="M22" s="7"/>
      <c r="N22" s="7"/>
    </row>
    <row r="23" spans="1:14" ht="21" x14ac:dyDescent="0.2">
      <c r="A23" s="7" t="s">
        <v>99</v>
      </c>
      <c r="B23" s="22">
        <v>6850.1886000000004</v>
      </c>
      <c r="C23" s="7" t="s">
        <v>84</v>
      </c>
      <c r="D23" s="7"/>
      <c r="E23" s="43" t="s">
        <v>37</v>
      </c>
      <c r="F23" s="43"/>
      <c r="G23" s="39"/>
      <c r="H23" s="39"/>
      <c r="I23" s="43" t="s">
        <v>54</v>
      </c>
      <c r="J23" s="43"/>
      <c r="K23" s="7"/>
      <c r="L23" s="7"/>
      <c r="M23" s="7"/>
      <c r="N23" s="7"/>
    </row>
    <row r="24" spans="1:14" ht="21" x14ac:dyDescent="0.2">
      <c r="A24" s="7" t="s">
        <v>85</v>
      </c>
      <c r="B24" s="22">
        <v>15454</v>
      </c>
      <c r="C24" s="7" t="s">
        <v>84</v>
      </c>
      <c r="D24" s="7"/>
      <c r="E24" s="7" t="s">
        <v>73</v>
      </c>
      <c r="F24" s="7">
        <f>B9/B25</f>
        <v>95.253403820852157</v>
      </c>
      <c r="G24" s="5" t="str">
        <f>IF(F24&lt;180,"Safe","Unsafe")</f>
        <v>Safe</v>
      </c>
      <c r="H24" s="7"/>
      <c r="I24" s="7" t="s">
        <v>74</v>
      </c>
      <c r="J24" s="7">
        <f>B10/B28</f>
        <v>56.04595768530195</v>
      </c>
      <c r="K24" s="5" t="str">
        <f>IF(J24&lt;=180,"Safe","Unsafe")</f>
        <v>Safe</v>
      </c>
      <c r="L24" s="7"/>
      <c r="M24" s="7"/>
      <c r="N24" s="7"/>
    </row>
    <row r="25" spans="1:14" ht="20.25" x14ac:dyDescent="0.2">
      <c r="A25" s="7" t="s">
        <v>86</v>
      </c>
      <c r="B25" s="22">
        <v>16.7973</v>
      </c>
      <c r="C25" s="7" t="s">
        <v>6</v>
      </c>
      <c r="D25" s="7"/>
      <c r="E25" s="7" t="s">
        <v>75</v>
      </c>
      <c r="F25" s="7">
        <f>F24*SQRT((B5)/((22/7)^2*2100))</f>
        <v>1.0245940665744857</v>
      </c>
      <c r="G25" s="7"/>
      <c r="H25" s="7"/>
      <c r="I25" s="7" t="s">
        <v>75</v>
      </c>
      <c r="J25" s="7">
        <f>J24*SQRT((B5)/((22/7)^2*2100))</f>
        <v>0.60285883124812978</v>
      </c>
      <c r="K25" s="7"/>
      <c r="L25" s="7"/>
      <c r="M25" s="7"/>
      <c r="N25" s="7"/>
    </row>
    <row r="26" spans="1:14" ht="21" x14ac:dyDescent="0.2">
      <c r="A26" s="7" t="s">
        <v>87</v>
      </c>
      <c r="B26" s="22">
        <v>8571.1185000000005</v>
      </c>
      <c r="C26" s="7" t="s">
        <v>80</v>
      </c>
      <c r="D26" s="7"/>
      <c r="E26" s="7" t="s">
        <v>78</v>
      </c>
      <c r="F26" s="7">
        <f>IF(F25&lt;1.1,B5*(1-0.384*(F25)^2),IF(F25&gt;1.1,(0.648*B5)/(F25)^2))</f>
        <v>1.4325107700391142</v>
      </c>
      <c r="G26" s="7" t="s">
        <v>62</v>
      </c>
      <c r="H26" s="7"/>
      <c r="I26" s="7" t="s">
        <v>78</v>
      </c>
      <c r="J26" s="7">
        <f>IF(J25&lt;1.1,B5*(1-0.384*(J25)^2),IF(J25&gt;1.1,(0.648*B5)/(J25)^2))</f>
        <v>2.0650548291865856</v>
      </c>
      <c r="K26" s="7" t="s">
        <v>62</v>
      </c>
      <c r="L26" s="7"/>
      <c r="M26" s="7"/>
      <c r="N26" s="7"/>
    </row>
    <row r="27" spans="1:14" ht="21" x14ac:dyDescent="0.2">
      <c r="A27" s="7" t="s">
        <v>88</v>
      </c>
      <c r="B27" s="22">
        <v>1008.3669</v>
      </c>
      <c r="C27" s="7" t="s">
        <v>84</v>
      </c>
      <c r="D27" s="7"/>
      <c r="E27" s="7" t="s">
        <v>81</v>
      </c>
      <c r="F27" s="7">
        <f>F26*B20</f>
        <v>964.16756114652719</v>
      </c>
      <c r="G27" s="7" t="s">
        <v>34</v>
      </c>
      <c r="H27" s="7"/>
      <c r="I27" s="7" t="s">
        <v>82</v>
      </c>
      <c r="J27" s="7">
        <f>J26*B20</f>
        <v>1389.9084879036011</v>
      </c>
      <c r="K27" s="7" t="s">
        <v>34</v>
      </c>
      <c r="L27" s="7"/>
      <c r="M27" s="7"/>
      <c r="N27" s="7"/>
    </row>
    <row r="28" spans="1:14" ht="20.25" x14ac:dyDescent="0.2">
      <c r="A28" s="7" t="s">
        <v>89</v>
      </c>
      <c r="B28" s="22">
        <v>3.5684999999999998</v>
      </c>
      <c r="C28" s="7" t="s">
        <v>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20.25" x14ac:dyDescent="0.2">
      <c r="A29" s="7" t="s">
        <v>90</v>
      </c>
      <c r="B29" s="7">
        <f>(80*B28)/SQRT(B5)</f>
        <v>184.27654761254885</v>
      </c>
      <c r="C29" s="7" t="s">
        <v>6</v>
      </c>
      <c r="D29" s="7"/>
      <c r="E29" s="43" t="s">
        <v>35</v>
      </c>
      <c r="F29" s="43"/>
      <c r="G29" s="7"/>
      <c r="H29" s="7"/>
      <c r="I29" s="7"/>
      <c r="J29" s="7"/>
      <c r="K29" s="7"/>
      <c r="L29" s="7"/>
      <c r="M29" s="7"/>
      <c r="N29" s="7"/>
    </row>
    <row r="30" spans="1:14" ht="20.25" x14ac:dyDescent="0.2">
      <c r="A30" s="7" t="s">
        <v>91</v>
      </c>
      <c r="B30" s="7">
        <f>SQRT((B17*((B15)^3)/12)/(B17*B15+(1/6)*(B14-2*B17)*B16))</f>
        <v>4.105326006888661</v>
      </c>
      <c r="C30" s="7" t="s">
        <v>6</v>
      </c>
      <c r="D30" s="7"/>
      <c r="E30" s="43" t="s">
        <v>36</v>
      </c>
      <c r="F30" s="43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7" t="s">
        <v>25</v>
      </c>
      <c r="B31" s="7">
        <f>((0.104*B30*B14)/(B15*B17))^2</f>
        <v>2.027317119318639</v>
      </c>
      <c r="C31" s="7" t="s">
        <v>26</v>
      </c>
      <c r="D31" s="7"/>
      <c r="E31" s="39" t="str">
        <f>IF(F6/(0.8*F27)&lt;=0.2,"Pu / ᶲPnx &lt;= 0.2","")</f>
        <v>Pu / ᶲPnx &lt;= 0.2</v>
      </c>
      <c r="F31" s="39"/>
      <c r="G31" s="7" t="str">
        <f>IF(F6/(0.8*F27)&lt;=0.2,"&gt;&gt;&gt;&gt;","")</f>
        <v>&gt;&gt;&gt;&gt;</v>
      </c>
      <c r="H31" s="7">
        <f>IF(F6/(0.8*F27)&lt;=0.2,F6/(2*0.8*F27)+F5/(0.85*L19),"")</f>
        <v>9.8400205772609411E-2</v>
      </c>
      <c r="I31" s="5" t="str">
        <f>IF((F6/(0.8*F27))&lt;=0.2,IF(H31&lt;=1,"Safe","Unsafe"),"")</f>
        <v>Safe</v>
      </c>
      <c r="J31" s="7"/>
      <c r="K31" s="7"/>
      <c r="L31" s="7"/>
      <c r="M31" s="7"/>
      <c r="N31" s="7"/>
    </row>
    <row r="32" spans="1:14" ht="20.25" x14ac:dyDescent="0.2">
      <c r="A32" s="7" t="s">
        <v>92</v>
      </c>
      <c r="B32" s="7">
        <f>((1380*(B15)*(B17))/((B14)*0.6*B5))*SQRT(0.5*(1+SQRT(1+(2*B31*0.6*B5)^2)))</f>
        <v>534.67583570720763</v>
      </c>
      <c r="C32" s="7" t="s">
        <v>6</v>
      </c>
      <c r="D32" s="7"/>
      <c r="E32" s="39" t="str">
        <f>IF(F6/(0.8*F27)&gt;0.2,"Pu / ᶲPnx &gt; 0.2","")</f>
        <v/>
      </c>
      <c r="F32" s="39"/>
      <c r="G32" s="7" t="str">
        <f>IF(F6/(0.8*F27)&gt;0.2,"&gt;&gt;&gt;&gt;","")</f>
        <v/>
      </c>
      <c r="H32" s="7" t="str">
        <f>IF(F6/(0.8*F27)&gt;0.2,F6/(0.8*F27)+(8/9)*(F5/(0.85*L19)),"")</f>
        <v/>
      </c>
      <c r="I32" s="5" t="str">
        <f>IF((F6/(0.8*F27))&gt;0.2,IF(H32&lt;=1,"Safe","Unsafe"),"")</f>
        <v/>
      </c>
      <c r="J32" s="7"/>
      <c r="K32" s="7"/>
      <c r="L32" s="7"/>
      <c r="M32" s="7"/>
      <c r="N32" s="7"/>
    </row>
    <row r="33" spans="1:14" x14ac:dyDescent="0.2">
      <c r="A33" s="18" t="s">
        <v>42</v>
      </c>
      <c r="B33" s="16">
        <f>16/18</f>
        <v>0.88888888888888884</v>
      </c>
      <c r="C33" s="7" t="s">
        <v>26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20.25" x14ac:dyDescent="0.2">
      <c r="A34" s="7" t="s">
        <v>94</v>
      </c>
      <c r="B34" s="7">
        <f>MIN(1.75+1.05*B33+0.3*(B33)^2,2.3)</f>
        <v>2.2999999999999998</v>
      </c>
      <c r="C34" s="7" t="s">
        <v>26</v>
      </c>
      <c r="D34" s="7"/>
      <c r="E34" s="43" t="s">
        <v>53</v>
      </c>
      <c r="F34" s="43"/>
      <c r="G34" s="43"/>
      <c r="H34" s="7"/>
      <c r="I34" s="7"/>
      <c r="J34" s="7"/>
      <c r="K34" s="7"/>
      <c r="L34" s="7"/>
      <c r="M34" s="7"/>
      <c r="N34" s="7"/>
    </row>
    <row r="35" spans="1:14" x14ac:dyDescent="0.2">
      <c r="C35" s="7"/>
      <c r="D35" s="7"/>
      <c r="E35" s="39">
        <f>(F6/(0.8*J27))+(F5/(0.85*L19))^2</f>
        <v>1.3551947125747348E-2</v>
      </c>
      <c r="F35" s="39"/>
      <c r="G35" s="5" t="str">
        <f>IF(E35&lt;=1,"Safe","Unsafe")</f>
        <v>Safe</v>
      </c>
      <c r="H35" s="7"/>
      <c r="I35" s="7"/>
      <c r="J35" s="7"/>
      <c r="K35" s="7"/>
      <c r="L35" s="7"/>
      <c r="M35" s="7"/>
    </row>
    <row r="36" spans="1:14" x14ac:dyDescent="0.2">
      <c r="B36" s="23"/>
      <c r="C36" s="23"/>
      <c r="D36" s="7"/>
    </row>
    <row r="37" spans="1:14" ht="19.5" customHeight="1" x14ac:dyDescent="0.2">
      <c r="B37" s="23"/>
      <c r="C37" s="23"/>
      <c r="D37" s="7"/>
      <c r="E37" s="4" t="s">
        <v>52</v>
      </c>
      <c r="F37" s="15"/>
      <c r="G37" s="15"/>
    </row>
    <row r="38" spans="1:14" ht="20.25" x14ac:dyDescent="0.2">
      <c r="B38" s="23"/>
      <c r="C38" s="23"/>
      <c r="E38" s="15" t="s">
        <v>93</v>
      </c>
      <c r="F38" s="15">
        <f>F7/(0.85*0.6*B5*B14*B16)</f>
        <v>0.42551742919389973</v>
      </c>
      <c r="G38" s="19" t="str">
        <f>IF(F38&lt;=1,"Safe","Unsafe")</f>
        <v>Safe</v>
      </c>
    </row>
    <row r="39" spans="1:14" x14ac:dyDescent="0.2">
      <c r="B39" s="23"/>
      <c r="C39" s="23"/>
    </row>
    <row r="40" spans="1:14" x14ac:dyDescent="0.2">
      <c r="B40" s="23"/>
      <c r="C40" s="23"/>
    </row>
    <row r="41" spans="1:14" x14ac:dyDescent="0.2">
      <c r="B41" s="23"/>
      <c r="C41" s="23"/>
    </row>
    <row r="42" spans="1:14" x14ac:dyDescent="0.2">
      <c r="B42" s="23"/>
      <c r="C42" s="23"/>
    </row>
    <row r="43" spans="1:14" x14ac:dyDescent="0.2">
      <c r="B43" s="23"/>
      <c r="C43" s="23"/>
    </row>
    <row r="44" spans="1:14" x14ac:dyDescent="0.2">
      <c r="B44" s="23"/>
      <c r="C44" s="23"/>
    </row>
    <row r="51" spans="11:12" x14ac:dyDescent="0.2">
      <c r="K51" s="23"/>
      <c r="L51" s="23"/>
    </row>
    <row r="52" spans="11:12" x14ac:dyDescent="0.2">
      <c r="K52" s="23"/>
      <c r="L52" s="23"/>
    </row>
  </sheetData>
  <mergeCells count="19">
    <mergeCell ref="B4:C4"/>
    <mergeCell ref="A8:C8"/>
    <mergeCell ref="E11:F11"/>
    <mergeCell ref="A13:C13"/>
    <mergeCell ref="H13:H14"/>
    <mergeCell ref="E35:F35"/>
    <mergeCell ref="J13:J14"/>
    <mergeCell ref="J18:J20"/>
    <mergeCell ref="A19:C19"/>
    <mergeCell ref="E22:F22"/>
    <mergeCell ref="E23:F23"/>
    <mergeCell ref="G23:H23"/>
    <mergeCell ref="I23:J23"/>
    <mergeCell ref="I13:I14"/>
    <mergeCell ref="E29:F29"/>
    <mergeCell ref="E30:F30"/>
    <mergeCell ref="E31:F31"/>
    <mergeCell ref="E32:F32"/>
    <mergeCell ref="E34:G34"/>
  </mergeCells>
  <conditionalFormatting sqref="K24 G24 I31:I32 G35">
    <cfRule type="cellIs" dxfId="3" priority="4" operator="equal">
      <formula>"Safe"</formula>
    </cfRule>
  </conditionalFormatting>
  <conditionalFormatting sqref="K24 G24 I31:I32 G35">
    <cfRule type="cellIs" dxfId="2" priority="3" operator="equal">
      <formula>"Unsafe"</formula>
    </cfRule>
  </conditionalFormatting>
  <conditionalFormatting sqref="G38">
    <cfRule type="cellIs" dxfId="1" priority="1" operator="equal">
      <formula>"Unsafe"</formula>
    </cfRule>
    <cfRule type="cellIs" dxfId="0" priority="2" operator="equal">
      <formula>"Safe"</formula>
    </cfRule>
  </conditionalFormatting>
  <dataValidations disablePrompts="1" count="1">
    <dataValidation type="list" allowBlank="1" showInputMessage="1" showErrorMessage="1" sqref="B4" xr:uid="{F2045815-0A7A-4F63-B8F4-696BAFAE9589}">
      <formula1>$A$1:$A$3</formula1>
    </dataValidation>
  </dataValidation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IPE</vt:lpstr>
      <vt:lpstr>HEB</vt:lpstr>
      <vt:lpstr>B.U.S</vt:lpstr>
      <vt:lpstr>at Haunch </vt:lpstr>
      <vt:lpstr>'at Haunch '!Print_Area</vt:lpstr>
      <vt:lpstr>B.U.S!Print_Area</vt:lpstr>
      <vt:lpstr>HEB!Print_Area</vt:lpstr>
      <vt:lpstr>IPE!Print_Area</vt:lpstr>
      <vt:lpstr>table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Windows User</cp:lastModifiedBy>
  <cp:lastPrinted>2022-03-12T09:22:21Z</cp:lastPrinted>
  <dcterms:created xsi:type="dcterms:W3CDTF">2019-09-02T15:17:54Z</dcterms:created>
  <dcterms:modified xsi:type="dcterms:W3CDTF">2022-10-14T11:43:54Z</dcterms:modified>
</cp:coreProperties>
</file>