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1-Study\all about steel structure\Excel Sheets\my sheets\LRFD\"/>
    </mc:Choice>
  </mc:AlternateContent>
  <xr:revisionPtr revIDLastSave="0" documentId="13_ncr:1_{03753264-8E09-439B-98C1-1162AA2ECA26}" xr6:coauthVersionLast="47" xr6:coauthVersionMax="47" xr10:uidLastSave="{00000000-0000-0000-0000-000000000000}"/>
  <bookViews>
    <workbookView xWindow="-120" yWindow="-120" windowWidth="20730" windowHeight="11310" activeTab="2" xr2:uid="{5FA20775-A49F-4BF2-BE7E-4D60899C260C}"/>
  </bookViews>
  <sheets>
    <sheet name="2-I" sheetId="2" r:id="rId1"/>
    <sheet name="2-C" sheetId="3" r:id="rId2"/>
    <sheet name="4-L" sheetId="4" r:id="rId3"/>
  </sheets>
  <definedNames>
    <definedName name="_xlnm.Print_Area" localSheetId="1">'2-C'!$A$4:$K$35</definedName>
    <definedName name="_xlnm.Print_Area" localSheetId="0">'2-I'!$A$4:$K$35</definedName>
    <definedName name="_xlnm.Print_Area" localSheetId="2">'4-L'!$A$1:$N$33</definedName>
    <definedName name="table" localSheetId="1">'2-C'!$S$2:$AH$24</definedName>
    <definedName name="table" localSheetId="0">'2-I'!$S$2:$AH$24</definedName>
    <definedName name="table" localSheetId="2">'4-L'!$S$2:$AG$20</definedName>
    <definedName name="tabl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2" i="2" l="1"/>
  <c r="H31" i="2"/>
  <c r="F20" i="2"/>
  <c r="F19" i="2"/>
  <c r="B28" i="2"/>
  <c r="B31" i="2"/>
  <c r="B30" i="3"/>
  <c r="H30" i="4"/>
  <c r="F18" i="4"/>
  <c r="B27" i="4"/>
  <c r="B20" i="4"/>
  <c r="B28" i="4"/>
  <c r="B29" i="4" s="1"/>
  <c r="B31" i="4"/>
  <c r="B25" i="4"/>
  <c r="B24" i="4"/>
  <c r="B21" i="4"/>
  <c r="B19" i="4"/>
  <c r="B18" i="4"/>
  <c r="B26" i="4" l="1"/>
  <c r="J22" i="4" s="1"/>
  <c r="F14" i="4"/>
  <c r="F11" i="4"/>
  <c r="B6" i="4"/>
  <c r="B5" i="4"/>
  <c r="B9" i="3"/>
  <c r="B32" i="3"/>
  <c r="B29" i="3"/>
  <c r="B28" i="3"/>
  <c r="B26" i="3"/>
  <c r="B21" i="3"/>
  <c r="B25" i="3"/>
  <c r="B22" i="3"/>
  <c r="B20" i="3"/>
  <c r="B19" i="3"/>
  <c r="B18" i="3"/>
  <c r="B17" i="3"/>
  <c r="B27" i="3" s="1"/>
  <c r="F15" i="3" l="1"/>
  <c r="F16" i="3"/>
  <c r="G14" i="4"/>
  <c r="I14" i="4" s="1"/>
  <c r="F17" i="4"/>
  <c r="J23" i="4"/>
  <c r="J24" i="4" s="1"/>
  <c r="J25" i="4" s="1"/>
  <c r="B30" i="4"/>
  <c r="K22" i="4"/>
  <c r="F22" i="4" l="1"/>
  <c r="F23" i="4" s="1"/>
  <c r="F24" i="4" s="1"/>
  <c r="F25" i="4" s="1"/>
  <c r="E33" i="4"/>
  <c r="F33" i="4" s="1"/>
  <c r="G11" i="4"/>
  <c r="E30" i="4" l="1"/>
  <c r="H29" i="4"/>
  <c r="G22" i="4"/>
  <c r="E29" i="4"/>
  <c r="I29" i="4"/>
  <c r="G30" i="4"/>
  <c r="I30" i="4"/>
  <c r="G29" i="4"/>
  <c r="J24" i="3" l="1"/>
  <c r="F11" i="3"/>
  <c r="G11" i="3" s="1"/>
  <c r="F12" i="3"/>
  <c r="B6" i="3"/>
  <c r="B5" i="3"/>
  <c r="B9" i="2"/>
  <c r="B33" i="2"/>
  <c r="F12" i="2" s="1"/>
  <c r="B30" i="2"/>
  <c r="B29" i="2"/>
  <c r="J24" i="2" s="1"/>
  <c r="B27" i="2"/>
  <c r="B26" i="2"/>
  <c r="B22" i="2"/>
  <c r="B21" i="2"/>
  <c r="B17" i="2"/>
  <c r="F11" i="2" s="1"/>
  <c r="G11" i="2" s="1"/>
  <c r="F19" i="3" l="1"/>
  <c r="F20" i="3"/>
  <c r="G15" i="3"/>
  <c r="B31" i="3"/>
  <c r="F24" i="3" s="1"/>
  <c r="F25" i="3" s="1"/>
  <c r="F26" i="3" s="1"/>
  <c r="F27" i="3" s="1"/>
  <c r="G16" i="3"/>
  <c r="K24" i="3"/>
  <c r="J25" i="3"/>
  <c r="J26" i="3" s="1"/>
  <c r="J27" i="3" s="1"/>
  <c r="E35" i="3" s="1"/>
  <c r="F35" i="3" s="1"/>
  <c r="K24" i="2"/>
  <c r="H32" i="3" l="1"/>
  <c r="H31" i="3"/>
  <c r="I15" i="3"/>
  <c r="G12" i="3"/>
  <c r="G24" i="3"/>
  <c r="E32" i="3"/>
  <c r="G31" i="3"/>
  <c r="I31" i="3"/>
  <c r="E31" i="3"/>
  <c r="G32" i="3"/>
  <c r="I32" i="3"/>
  <c r="B23" i="2" l="1"/>
  <c r="B20" i="2"/>
  <c r="B19" i="2"/>
  <c r="F15" i="2" s="1"/>
  <c r="B18" i="2"/>
  <c r="B6" i="2"/>
  <c r="B5" i="2"/>
  <c r="G15" i="2" l="1"/>
  <c r="J25" i="2"/>
  <c r="J26" i="2" s="1"/>
  <c r="F16" i="2"/>
  <c r="G16" i="2" s="1"/>
  <c r="B32" i="2"/>
  <c r="F24" i="2" s="1"/>
  <c r="G12" i="2" l="1"/>
  <c r="G24" i="2"/>
  <c r="F25" i="2"/>
  <c r="F26" i="2" s="1"/>
  <c r="F27" i="2" s="1"/>
  <c r="E31" i="2" s="1"/>
  <c r="E32" i="2"/>
  <c r="J27" i="2"/>
  <c r="I15" i="2"/>
  <c r="I31" i="2" l="1"/>
  <c r="G31" i="2"/>
  <c r="G32" i="2"/>
  <c r="I32" i="2"/>
  <c r="E35" i="2"/>
  <c r="F35" i="2" s="1"/>
</calcChain>
</file>

<file path=xl/sharedStrings.xml><?xml version="1.0" encoding="utf-8"?>
<sst xmlns="http://schemas.openxmlformats.org/spreadsheetml/2006/main" count="354" uniqueCount="153">
  <si>
    <t>Fu =</t>
  </si>
  <si>
    <t>Fy =</t>
  </si>
  <si>
    <t>cm.t</t>
  </si>
  <si>
    <t>Ton</t>
  </si>
  <si>
    <t>Sec.</t>
  </si>
  <si>
    <t>Area</t>
  </si>
  <si>
    <t>Weight</t>
  </si>
  <si>
    <t>Dimensions (mm)</t>
  </si>
  <si>
    <t>x-x</t>
  </si>
  <si>
    <t>y-y</t>
  </si>
  <si>
    <t>For Details</t>
  </si>
  <si>
    <t>h</t>
  </si>
  <si>
    <t>b</t>
  </si>
  <si>
    <t>s</t>
  </si>
  <si>
    <t>c</t>
  </si>
  <si>
    <t>h-2c</t>
  </si>
  <si>
    <t>(kg/m`)</t>
  </si>
  <si>
    <t>30x15</t>
  </si>
  <si>
    <t>40x20</t>
  </si>
  <si>
    <t>50x25</t>
  </si>
  <si>
    <t>h =</t>
  </si>
  <si>
    <t>b =</t>
  </si>
  <si>
    <t>s =</t>
  </si>
  <si>
    <t>h-2c =</t>
  </si>
  <si>
    <t>Area =</t>
  </si>
  <si>
    <t>Weight =</t>
  </si>
  <si>
    <t>mm</t>
  </si>
  <si>
    <t>cm</t>
  </si>
  <si>
    <t>kg/m'</t>
  </si>
  <si>
    <t>d =</t>
  </si>
  <si>
    <t>Checks</t>
  </si>
  <si>
    <t>I- Compactness</t>
  </si>
  <si>
    <t>lacing bars</t>
  </si>
  <si>
    <t>batten plate</t>
  </si>
  <si>
    <t>Type:</t>
  </si>
  <si>
    <r>
      <t>(cm</t>
    </r>
    <r>
      <rPr>
        <b/>
        <vertAlign val="superscript"/>
        <sz val="14"/>
        <color theme="1"/>
        <rFont val="Calibri"/>
        <family val="2"/>
      </rPr>
      <t>2</t>
    </r>
    <r>
      <rPr>
        <b/>
        <sz val="14"/>
        <color theme="1"/>
        <rFont val="Calibri"/>
        <family val="2"/>
      </rPr>
      <t>)</t>
    </r>
  </si>
  <si>
    <r>
      <t>t=r</t>
    </r>
    <r>
      <rPr>
        <b/>
        <vertAlign val="subscript"/>
        <sz val="14"/>
        <color theme="1"/>
        <rFont val="Calibri"/>
        <family val="2"/>
      </rPr>
      <t>2</t>
    </r>
  </si>
  <si>
    <r>
      <t>I</t>
    </r>
    <r>
      <rPr>
        <b/>
        <vertAlign val="subscript"/>
        <sz val="14"/>
        <color theme="1"/>
        <rFont val="Calibri"/>
        <family val="2"/>
      </rPr>
      <t>x</t>
    </r>
    <r>
      <rPr>
        <b/>
        <sz val="14"/>
        <color theme="1"/>
        <rFont val="Calibri"/>
        <family val="2"/>
      </rPr>
      <t>(cm</t>
    </r>
    <r>
      <rPr>
        <b/>
        <vertAlign val="superscript"/>
        <sz val="14"/>
        <color theme="1"/>
        <rFont val="Calibri"/>
        <family val="2"/>
      </rPr>
      <t>4</t>
    </r>
    <r>
      <rPr>
        <b/>
        <sz val="14"/>
        <color theme="1"/>
        <rFont val="Calibri"/>
        <family val="2"/>
      </rPr>
      <t>)</t>
    </r>
  </si>
  <si>
    <r>
      <t>S</t>
    </r>
    <r>
      <rPr>
        <b/>
        <vertAlign val="subscript"/>
        <sz val="14"/>
        <color theme="1"/>
        <rFont val="Calibri"/>
        <family val="2"/>
      </rPr>
      <t>x</t>
    </r>
    <r>
      <rPr>
        <b/>
        <sz val="14"/>
        <color theme="1"/>
        <rFont val="Calibri"/>
        <family val="2"/>
      </rPr>
      <t>(cm</t>
    </r>
    <r>
      <rPr>
        <b/>
        <vertAlign val="superscript"/>
        <sz val="14"/>
        <color theme="1"/>
        <rFont val="Calibri"/>
        <family val="2"/>
      </rPr>
      <t>3</t>
    </r>
    <r>
      <rPr>
        <b/>
        <sz val="14"/>
        <color theme="1"/>
        <rFont val="Calibri"/>
        <family val="2"/>
      </rPr>
      <t>)</t>
    </r>
  </si>
  <si>
    <r>
      <t>r</t>
    </r>
    <r>
      <rPr>
        <b/>
        <vertAlign val="subscript"/>
        <sz val="14"/>
        <color theme="1"/>
        <rFont val="Calibri"/>
        <family val="2"/>
      </rPr>
      <t>x</t>
    </r>
    <r>
      <rPr>
        <b/>
        <sz val="14"/>
        <color theme="1"/>
        <rFont val="Calibri"/>
        <family val="2"/>
      </rPr>
      <t>(cm)</t>
    </r>
  </si>
  <si>
    <r>
      <t>I</t>
    </r>
    <r>
      <rPr>
        <b/>
        <vertAlign val="subscript"/>
        <sz val="14"/>
        <color theme="1"/>
        <rFont val="Calibri"/>
        <family val="2"/>
      </rPr>
      <t>y</t>
    </r>
    <r>
      <rPr>
        <b/>
        <sz val="14"/>
        <color theme="1"/>
        <rFont val="Calibri"/>
        <family val="2"/>
      </rPr>
      <t>(cm</t>
    </r>
    <r>
      <rPr>
        <b/>
        <vertAlign val="superscript"/>
        <sz val="14"/>
        <color theme="1"/>
        <rFont val="Calibri"/>
        <family val="2"/>
      </rPr>
      <t>4</t>
    </r>
    <r>
      <rPr>
        <b/>
        <sz val="14"/>
        <color theme="1"/>
        <rFont val="Calibri"/>
        <family val="2"/>
      </rPr>
      <t>)</t>
    </r>
  </si>
  <si>
    <r>
      <t>S</t>
    </r>
    <r>
      <rPr>
        <b/>
        <vertAlign val="subscript"/>
        <sz val="14"/>
        <color theme="1"/>
        <rFont val="Calibri"/>
        <family val="2"/>
      </rPr>
      <t>y</t>
    </r>
    <r>
      <rPr>
        <b/>
        <sz val="14"/>
        <color theme="1"/>
        <rFont val="Calibri"/>
        <family val="2"/>
      </rPr>
      <t>(cm</t>
    </r>
    <r>
      <rPr>
        <b/>
        <vertAlign val="superscript"/>
        <sz val="14"/>
        <color theme="1"/>
        <rFont val="Calibri"/>
        <family val="2"/>
      </rPr>
      <t>3</t>
    </r>
    <r>
      <rPr>
        <b/>
        <sz val="14"/>
        <color theme="1"/>
        <rFont val="Calibri"/>
        <family val="2"/>
      </rPr>
      <t>)</t>
    </r>
  </si>
  <si>
    <r>
      <t>r</t>
    </r>
    <r>
      <rPr>
        <b/>
        <vertAlign val="subscript"/>
        <sz val="14"/>
        <color theme="1"/>
        <rFont val="Calibri"/>
        <family val="2"/>
      </rPr>
      <t>y</t>
    </r>
    <r>
      <rPr>
        <b/>
        <sz val="14"/>
        <color theme="1"/>
        <rFont val="Calibri"/>
        <family val="2"/>
      </rPr>
      <t>(cm)</t>
    </r>
  </si>
  <si>
    <r>
      <t>e</t>
    </r>
    <r>
      <rPr>
        <b/>
        <vertAlign val="subscript"/>
        <sz val="14"/>
        <color theme="1"/>
        <rFont val="Calibri"/>
        <family val="2"/>
      </rPr>
      <t>y</t>
    </r>
    <r>
      <rPr>
        <b/>
        <sz val="14"/>
        <color theme="1"/>
        <rFont val="Calibri"/>
        <family val="2"/>
      </rPr>
      <t>(cm)</t>
    </r>
  </si>
  <si>
    <r>
      <t>X</t>
    </r>
    <r>
      <rPr>
        <b/>
        <vertAlign val="subscript"/>
        <sz val="14"/>
        <color theme="1"/>
        <rFont val="Calibri"/>
        <family val="2"/>
      </rPr>
      <t>m</t>
    </r>
    <r>
      <rPr>
        <b/>
        <sz val="14"/>
        <color theme="1"/>
        <rFont val="Calibri"/>
        <family val="2"/>
      </rPr>
      <t>(cm)</t>
    </r>
  </si>
  <si>
    <r>
      <t>t/cm</t>
    </r>
    <r>
      <rPr>
        <b/>
        <vertAlign val="superscript"/>
        <sz val="14"/>
        <color theme="1"/>
        <rFont val="Calibri"/>
        <family val="2"/>
      </rPr>
      <t>2</t>
    </r>
  </si>
  <si>
    <r>
      <t>C/t</t>
    </r>
    <r>
      <rPr>
        <b/>
        <vertAlign val="subscript"/>
        <sz val="14"/>
        <color theme="1"/>
        <rFont val="Calibri"/>
        <family val="2"/>
      </rPr>
      <t>f</t>
    </r>
    <r>
      <rPr>
        <b/>
        <sz val="14"/>
        <color theme="1"/>
        <rFont val="Calibri"/>
        <family val="2"/>
      </rPr>
      <t xml:space="preserve"> =</t>
    </r>
  </si>
  <si>
    <r>
      <t>cm</t>
    </r>
    <r>
      <rPr>
        <b/>
        <vertAlign val="superscript"/>
        <sz val="14"/>
        <color theme="1"/>
        <rFont val="Calibri"/>
        <family val="2"/>
      </rPr>
      <t>2</t>
    </r>
  </si>
  <si>
    <r>
      <t>cm</t>
    </r>
    <r>
      <rPr>
        <b/>
        <vertAlign val="superscript"/>
        <sz val="14"/>
        <color theme="1"/>
        <rFont val="Calibri"/>
        <family val="2"/>
      </rPr>
      <t>4</t>
    </r>
  </si>
  <si>
    <t>st</t>
  </si>
  <si>
    <t>UPN</t>
  </si>
  <si>
    <t>Section</t>
  </si>
  <si>
    <t>IPE</t>
  </si>
  <si>
    <t>No.</t>
  </si>
  <si>
    <r>
      <t>(cm</t>
    </r>
    <r>
      <rPr>
        <b/>
        <vertAlign val="superscript"/>
        <sz val="14"/>
        <rFont val="Calibri"/>
        <family val="2"/>
      </rPr>
      <t>2</t>
    </r>
    <r>
      <rPr>
        <b/>
        <sz val="14"/>
        <rFont val="Calibri"/>
        <family val="2"/>
      </rPr>
      <t>)</t>
    </r>
  </si>
  <si>
    <t>r</t>
  </si>
  <si>
    <t>t</t>
  </si>
  <si>
    <r>
      <t>I</t>
    </r>
    <r>
      <rPr>
        <b/>
        <vertAlign val="subscript"/>
        <sz val="14"/>
        <rFont val="Calibri"/>
        <family val="2"/>
      </rPr>
      <t>x</t>
    </r>
    <r>
      <rPr>
        <b/>
        <sz val="14"/>
        <rFont val="Calibri"/>
        <family val="2"/>
      </rPr>
      <t xml:space="preserve"> (cm</t>
    </r>
    <r>
      <rPr>
        <b/>
        <vertAlign val="superscript"/>
        <sz val="14"/>
        <rFont val="Calibri"/>
        <family val="2"/>
      </rPr>
      <t>4</t>
    </r>
    <r>
      <rPr>
        <b/>
        <sz val="14"/>
        <rFont val="Calibri"/>
        <family val="2"/>
      </rPr>
      <t>)</t>
    </r>
  </si>
  <si>
    <r>
      <t>S</t>
    </r>
    <r>
      <rPr>
        <b/>
        <vertAlign val="subscript"/>
        <sz val="14"/>
        <rFont val="Calibri"/>
        <family val="2"/>
      </rPr>
      <t>x</t>
    </r>
    <r>
      <rPr>
        <b/>
        <sz val="14"/>
        <rFont val="Calibri"/>
        <family val="2"/>
      </rPr>
      <t xml:space="preserve"> (cm</t>
    </r>
    <r>
      <rPr>
        <b/>
        <vertAlign val="superscript"/>
        <sz val="14"/>
        <rFont val="Calibri"/>
        <family val="2"/>
      </rPr>
      <t>3</t>
    </r>
    <r>
      <rPr>
        <b/>
        <sz val="14"/>
        <rFont val="Calibri"/>
        <family val="2"/>
      </rPr>
      <t>)</t>
    </r>
  </si>
  <si>
    <r>
      <t>r</t>
    </r>
    <r>
      <rPr>
        <b/>
        <vertAlign val="subscript"/>
        <sz val="14"/>
        <rFont val="Calibri"/>
        <family val="2"/>
      </rPr>
      <t>x</t>
    </r>
    <r>
      <rPr>
        <b/>
        <sz val="14"/>
        <rFont val="Calibri"/>
        <family val="2"/>
      </rPr>
      <t xml:space="preserve"> (cm)</t>
    </r>
  </si>
  <si>
    <r>
      <t>I</t>
    </r>
    <r>
      <rPr>
        <b/>
        <vertAlign val="subscript"/>
        <sz val="14"/>
        <rFont val="Calibri"/>
        <family val="2"/>
      </rPr>
      <t>y</t>
    </r>
    <r>
      <rPr>
        <b/>
        <sz val="14"/>
        <rFont val="Calibri"/>
        <family val="2"/>
      </rPr>
      <t xml:space="preserve"> (cm</t>
    </r>
    <r>
      <rPr>
        <b/>
        <vertAlign val="superscript"/>
        <sz val="14"/>
        <rFont val="Calibri"/>
        <family val="2"/>
      </rPr>
      <t>4</t>
    </r>
    <r>
      <rPr>
        <b/>
        <sz val="14"/>
        <rFont val="Calibri"/>
        <family val="2"/>
      </rPr>
      <t>)</t>
    </r>
  </si>
  <si>
    <r>
      <t>S</t>
    </r>
    <r>
      <rPr>
        <b/>
        <vertAlign val="subscript"/>
        <sz val="14"/>
        <rFont val="Calibri"/>
        <family val="2"/>
      </rPr>
      <t>y</t>
    </r>
    <r>
      <rPr>
        <b/>
        <sz val="14"/>
        <rFont val="Calibri"/>
        <family val="2"/>
      </rPr>
      <t xml:space="preserve"> (cm</t>
    </r>
    <r>
      <rPr>
        <b/>
        <vertAlign val="superscript"/>
        <sz val="14"/>
        <rFont val="Calibri"/>
        <family val="2"/>
      </rPr>
      <t>3</t>
    </r>
    <r>
      <rPr>
        <b/>
        <sz val="14"/>
        <rFont val="Calibri"/>
        <family val="2"/>
      </rPr>
      <t>)</t>
    </r>
  </si>
  <si>
    <r>
      <t>r</t>
    </r>
    <r>
      <rPr>
        <b/>
        <vertAlign val="subscript"/>
        <sz val="14"/>
        <rFont val="Calibri"/>
        <family val="2"/>
      </rPr>
      <t>y</t>
    </r>
    <r>
      <rPr>
        <b/>
        <sz val="14"/>
        <rFont val="Calibri"/>
        <family val="2"/>
      </rPr>
      <t xml:space="preserve"> (cm)</t>
    </r>
  </si>
  <si>
    <t>r =</t>
  </si>
  <si>
    <t xml:space="preserve">t = </t>
  </si>
  <si>
    <t>Choice of Section</t>
  </si>
  <si>
    <t>Properties of Section [2I]</t>
  </si>
  <si>
    <t>Straining Actions</t>
  </si>
  <si>
    <t>Mu in =</t>
  </si>
  <si>
    <t>Mu out =</t>
  </si>
  <si>
    <t>Nu =</t>
  </si>
  <si>
    <t>Data</t>
  </si>
  <si>
    <r>
      <t>L</t>
    </r>
    <r>
      <rPr>
        <b/>
        <vertAlign val="subscript"/>
        <sz val="14"/>
        <color theme="1"/>
        <rFont val="Calibri"/>
        <family val="2"/>
      </rPr>
      <t>bin</t>
    </r>
  </si>
  <si>
    <r>
      <t>L</t>
    </r>
    <r>
      <rPr>
        <b/>
        <vertAlign val="subscript"/>
        <sz val="14"/>
        <color theme="1"/>
        <rFont val="Calibri"/>
        <family val="2"/>
      </rPr>
      <t>bout</t>
    </r>
  </si>
  <si>
    <r>
      <t>h</t>
    </r>
    <r>
      <rPr>
        <b/>
        <vertAlign val="subscript"/>
        <sz val="14"/>
        <color theme="1"/>
        <rFont val="Calibri"/>
        <family val="2"/>
      </rPr>
      <t>w</t>
    </r>
    <r>
      <rPr>
        <b/>
        <sz val="14"/>
        <color theme="1"/>
        <rFont val="Calibri"/>
        <family val="2"/>
      </rPr>
      <t>/t</t>
    </r>
    <r>
      <rPr>
        <b/>
        <vertAlign val="subscript"/>
        <sz val="14"/>
        <color theme="1"/>
        <rFont val="Calibri"/>
        <family val="2"/>
      </rPr>
      <t>w</t>
    </r>
    <r>
      <rPr>
        <b/>
        <sz val="14"/>
        <color theme="1"/>
        <rFont val="Calibri"/>
        <family val="2"/>
      </rPr>
      <t xml:space="preserve"> =</t>
    </r>
  </si>
  <si>
    <t>&gt;&gt;&gt;</t>
  </si>
  <si>
    <t>ii- As a Beam :</t>
  </si>
  <si>
    <t>Cm.t</t>
  </si>
  <si>
    <t>iii- As a Comp. Member :</t>
  </si>
  <si>
    <t xml:space="preserve">In Plane : </t>
  </si>
  <si>
    <t>Out of Plane :</t>
  </si>
  <si>
    <r>
      <t>λ</t>
    </r>
    <r>
      <rPr>
        <b/>
        <vertAlign val="subscript"/>
        <sz val="14"/>
        <color theme="1"/>
        <rFont val="Calibri"/>
        <family val="2"/>
      </rPr>
      <t>in</t>
    </r>
    <r>
      <rPr>
        <b/>
        <sz val="14"/>
        <color theme="1"/>
        <rFont val="Calibri"/>
        <family val="2"/>
      </rPr>
      <t xml:space="preserve"> =</t>
    </r>
  </si>
  <si>
    <r>
      <t>λ</t>
    </r>
    <r>
      <rPr>
        <b/>
        <vertAlign val="subscript"/>
        <sz val="14"/>
        <color theme="1"/>
        <rFont val="Calibri"/>
        <family val="2"/>
      </rPr>
      <t>out</t>
    </r>
    <r>
      <rPr>
        <b/>
        <sz val="14"/>
        <color theme="1"/>
        <rFont val="Calibri"/>
        <family val="2"/>
      </rPr>
      <t xml:space="preserve"> =</t>
    </r>
  </si>
  <si>
    <r>
      <t>λ</t>
    </r>
    <r>
      <rPr>
        <b/>
        <vertAlign val="subscript"/>
        <sz val="14"/>
        <color theme="1"/>
        <rFont val="Calibri"/>
        <family val="2"/>
      </rPr>
      <t>c</t>
    </r>
    <r>
      <rPr>
        <b/>
        <sz val="14"/>
        <color theme="1"/>
        <rFont val="Calibri"/>
        <family val="2"/>
      </rPr>
      <t xml:space="preserve"> =</t>
    </r>
  </si>
  <si>
    <r>
      <t>λ</t>
    </r>
    <r>
      <rPr>
        <b/>
        <vertAlign val="subscript"/>
        <sz val="14"/>
        <color theme="1"/>
        <rFont val="Calibri"/>
        <family val="2"/>
      </rPr>
      <t>c =</t>
    </r>
  </si>
  <si>
    <r>
      <t>F</t>
    </r>
    <r>
      <rPr>
        <b/>
        <vertAlign val="subscript"/>
        <sz val="14"/>
        <color theme="1"/>
        <rFont val="Calibri"/>
        <family val="2"/>
      </rPr>
      <t>cr</t>
    </r>
    <r>
      <rPr>
        <b/>
        <sz val="14"/>
        <color theme="1"/>
        <rFont val="Calibri"/>
        <family val="2"/>
      </rPr>
      <t xml:space="preserve"> =</t>
    </r>
  </si>
  <si>
    <r>
      <t>P</t>
    </r>
    <r>
      <rPr>
        <b/>
        <vertAlign val="subscript"/>
        <sz val="14"/>
        <color theme="1"/>
        <rFont val="Calibri"/>
        <family val="2"/>
      </rPr>
      <t>nx</t>
    </r>
    <r>
      <rPr>
        <b/>
        <sz val="14"/>
        <color theme="1"/>
        <rFont val="Calibri"/>
        <family val="2"/>
      </rPr>
      <t xml:space="preserve"> =</t>
    </r>
  </si>
  <si>
    <t>ton</t>
  </si>
  <si>
    <r>
      <t>P</t>
    </r>
    <r>
      <rPr>
        <b/>
        <vertAlign val="subscript"/>
        <sz val="14"/>
        <color theme="1"/>
        <rFont val="Calibri"/>
        <family val="2"/>
      </rPr>
      <t>ny</t>
    </r>
    <r>
      <rPr>
        <b/>
        <sz val="14"/>
        <color theme="1"/>
        <rFont val="Calibri"/>
        <family val="2"/>
      </rPr>
      <t xml:space="preserve"> =</t>
    </r>
  </si>
  <si>
    <t xml:space="preserve">iv- Interaction Equation </t>
  </si>
  <si>
    <t>Inplane Stability</t>
  </si>
  <si>
    <t>Out of Plane Stability</t>
  </si>
  <si>
    <r>
      <t>I</t>
    </r>
    <r>
      <rPr>
        <b/>
        <vertAlign val="subscript"/>
        <sz val="14"/>
        <color theme="1"/>
        <rFont val="Calibri"/>
        <family val="2"/>
      </rPr>
      <t>x</t>
    </r>
  </si>
  <si>
    <r>
      <t>cm</t>
    </r>
    <r>
      <rPr>
        <b/>
        <vertAlign val="superscript"/>
        <sz val="14"/>
        <color theme="1"/>
        <rFont val="Calibri"/>
        <family val="2"/>
      </rPr>
      <t>3</t>
    </r>
  </si>
  <si>
    <r>
      <t>Z</t>
    </r>
    <r>
      <rPr>
        <b/>
        <vertAlign val="subscript"/>
        <sz val="14"/>
        <color theme="1"/>
        <rFont val="Calibri"/>
        <family val="2"/>
      </rPr>
      <t>x</t>
    </r>
  </si>
  <si>
    <r>
      <t>r</t>
    </r>
    <r>
      <rPr>
        <b/>
        <vertAlign val="subscript"/>
        <sz val="14"/>
        <color theme="1"/>
        <rFont val="Calibri"/>
        <family val="2"/>
      </rPr>
      <t>x</t>
    </r>
  </si>
  <si>
    <r>
      <t>I</t>
    </r>
    <r>
      <rPr>
        <b/>
        <vertAlign val="subscript"/>
        <sz val="14"/>
        <color theme="1"/>
        <rFont val="Calibri"/>
        <family val="2"/>
      </rPr>
      <t>y</t>
    </r>
  </si>
  <si>
    <r>
      <t>r</t>
    </r>
    <r>
      <rPr>
        <b/>
        <vertAlign val="subscript"/>
        <sz val="14"/>
        <color theme="1"/>
        <rFont val="Calibri"/>
        <family val="2"/>
      </rPr>
      <t>y</t>
    </r>
  </si>
  <si>
    <t>a</t>
  </si>
  <si>
    <t>d/h =</t>
  </si>
  <si>
    <r>
      <t>L</t>
    </r>
    <r>
      <rPr>
        <b/>
        <vertAlign val="subscript"/>
        <sz val="14"/>
        <color theme="1"/>
        <rFont val="Calibri"/>
        <family val="2"/>
      </rPr>
      <t>z</t>
    </r>
  </si>
  <si>
    <r>
      <t>r</t>
    </r>
    <r>
      <rPr>
        <b/>
        <vertAlign val="subscript"/>
        <sz val="14"/>
        <color theme="1"/>
        <rFont val="Calibri"/>
        <family val="2"/>
      </rPr>
      <t>z</t>
    </r>
  </si>
  <si>
    <r>
      <t>λ</t>
    </r>
    <r>
      <rPr>
        <b/>
        <vertAlign val="subscript"/>
        <sz val="14"/>
        <color theme="1"/>
        <rFont val="Calibri"/>
        <family val="2"/>
      </rPr>
      <t>z</t>
    </r>
    <r>
      <rPr>
        <b/>
        <sz val="14"/>
        <color theme="1"/>
        <rFont val="Calibri"/>
        <family val="2"/>
      </rPr>
      <t xml:space="preserve"> =</t>
    </r>
  </si>
  <si>
    <t>Properties of Section [2C]</t>
  </si>
  <si>
    <t>t = r =</t>
  </si>
  <si>
    <t>L</t>
  </si>
  <si>
    <t xml:space="preserve">Angle </t>
  </si>
  <si>
    <t>Angle (mm)</t>
  </si>
  <si>
    <t>Distances (cm)</t>
  </si>
  <si>
    <t>x-x &amp; y-y</t>
  </si>
  <si>
    <t>u-u</t>
  </si>
  <si>
    <t>v-v</t>
  </si>
  <si>
    <t>e</t>
  </si>
  <si>
    <t>w</t>
  </si>
  <si>
    <t>45x5</t>
  </si>
  <si>
    <t>50x5</t>
  </si>
  <si>
    <t>55x5</t>
  </si>
  <si>
    <t>60x6</t>
  </si>
  <si>
    <t>65x7</t>
  </si>
  <si>
    <t>70x7</t>
  </si>
  <si>
    <t>75x7</t>
  </si>
  <si>
    <t>80x8</t>
  </si>
  <si>
    <t>90x9</t>
  </si>
  <si>
    <t>100x10</t>
  </si>
  <si>
    <t>110x10</t>
  </si>
  <si>
    <t>120x12</t>
  </si>
  <si>
    <t>130x12</t>
  </si>
  <si>
    <t>140x13</t>
  </si>
  <si>
    <t>150x14</t>
  </si>
  <si>
    <t>160x15</t>
  </si>
  <si>
    <t>180x16</t>
  </si>
  <si>
    <t>200x16</t>
  </si>
  <si>
    <r>
      <t>u</t>
    </r>
    <r>
      <rPr>
        <b/>
        <vertAlign val="subscript"/>
        <sz val="14"/>
        <rFont val="Calibri"/>
        <family val="2"/>
      </rPr>
      <t>1</t>
    </r>
  </si>
  <si>
    <r>
      <t>u</t>
    </r>
    <r>
      <rPr>
        <b/>
        <vertAlign val="subscript"/>
        <sz val="14"/>
        <rFont val="Calibri"/>
        <family val="2"/>
      </rPr>
      <t>2</t>
    </r>
  </si>
  <si>
    <r>
      <t>I</t>
    </r>
    <r>
      <rPr>
        <b/>
        <vertAlign val="subscript"/>
        <sz val="14"/>
        <rFont val="Calibri"/>
        <family val="2"/>
      </rPr>
      <t>x</t>
    </r>
    <r>
      <rPr>
        <b/>
        <sz val="14"/>
        <rFont val="Calibri"/>
        <family val="2"/>
      </rPr>
      <t>(cm</t>
    </r>
    <r>
      <rPr>
        <b/>
        <vertAlign val="superscript"/>
        <sz val="14"/>
        <rFont val="Calibri"/>
        <family val="2"/>
      </rPr>
      <t>4</t>
    </r>
    <r>
      <rPr>
        <b/>
        <sz val="14"/>
        <rFont val="Calibri"/>
        <family val="2"/>
      </rPr>
      <t>)</t>
    </r>
  </si>
  <si>
    <r>
      <t>S</t>
    </r>
    <r>
      <rPr>
        <b/>
        <vertAlign val="subscript"/>
        <sz val="14"/>
        <rFont val="Calibri"/>
        <family val="2"/>
      </rPr>
      <t>x</t>
    </r>
    <r>
      <rPr>
        <b/>
        <sz val="14"/>
        <rFont val="Calibri"/>
        <family val="2"/>
      </rPr>
      <t>(cm</t>
    </r>
    <r>
      <rPr>
        <b/>
        <vertAlign val="superscript"/>
        <sz val="14"/>
        <rFont val="Calibri"/>
        <family val="2"/>
      </rPr>
      <t>3</t>
    </r>
    <r>
      <rPr>
        <b/>
        <sz val="14"/>
        <rFont val="Calibri"/>
        <family val="2"/>
      </rPr>
      <t>)</t>
    </r>
  </si>
  <si>
    <r>
      <t>r</t>
    </r>
    <r>
      <rPr>
        <b/>
        <vertAlign val="subscript"/>
        <sz val="14"/>
        <rFont val="Calibri"/>
        <family val="2"/>
      </rPr>
      <t>x</t>
    </r>
    <r>
      <rPr>
        <b/>
        <sz val="14"/>
        <rFont val="Calibri"/>
        <family val="2"/>
      </rPr>
      <t>(cm)</t>
    </r>
  </si>
  <si>
    <r>
      <t>r</t>
    </r>
    <r>
      <rPr>
        <b/>
        <vertAlign val="subscript"/>
        <sz val="14"/>
        <rFont val="Calibri"/>
        <family val="2"/>
      </rPr>
      <t>u</t>
    </r>
    <r>
      <rPr>
        <b/>
        <sz val="14"/>
        <rFont val="Calibri"/>
        <family val="2"/>
      </rPr>
      <t>(cm)</t>
    </r>
  </si>
  <si>
    <r>
      <t>r</t>
    </r>
    <r>
      <rPr>
        <b/>
        <vertAlign val="subscript"/>
        <sz val="14"/>
        <rFont val="Calibri"/>
        <family val="2"/>
      </rPr>
      <t>v</t>
    </r>
    <r>
      <rPr>
        <b/>
        <sz val="14"/>
        <rFont val="Calibri"/>
        <family val="2"/>
      </rPr>
      <t>(cm)</t>
    </r>
  </si>
  <si>
    <t>a =</t>
  </si>
  <si>
    <t>a/t =</t>
  </si>
  <si>
    <t>Properties of Section [4L]</t>
  </si>
  <si>
    <t>Code Requirements</t>
  </si>
  <si>
    <t>d1 =</t>
  </si>
  <si>
    <t>d2 =</t>
  </si>
  <si>
    <t>e =</t>
  </si>
  <si>
    <r>
      <t>M</t>
    </r>
    <r>
      <rPr>
        <b/>
        <vertAlign val="subscript"/>
        <sz val="14"/>
        <color theme="1"/>
        <rFont val="Calibri"/>
        <family val="2"/>
      </rPr>
      <t>r in</t>
    </r>
    <r>
      <rPr>
        <b/>
        <sz val="14"/>
        <color theme="1"/>
        <rFont val="Calibri"/>
        <family val="2"/>
      </rPr>
      <t xml:space="preserve"> =</t>
    </r>
  </si>
  <si>
    <r>
      <t>M</t>
    </r>
    <r>
      <rPr>
        <b/>
        <vertAlign val="subscript"/>
        <sz val="14"/>
        <color theme="1"/>
        <rFont val="Calibri"/>
        <family val="2"/>
      </rPr>
      <t>r out</t>
    </r>
    <r>
      <rPr>
        <b/>
        <sz val="14"/>
        <color theme="1"/>
        <rFont val="Calibri"/>
        <family val="2"/>
      </rPr>
      <t xml:space="preserve"> =</t>
    </r>
  </si>
  <si>
    <r>
      <t>S</t>
    </r>
    <r>
      <rPr>
        <b/>
        <vertAlign val="subscript"/>
        <sz val="14"/>
        <color theme="1"/>
        <rFont val="Calibri"/>
        <family val="2"/>
      </rPr>
      <t>x</t>
    </r>
  </si>
  <si>
    <r>
      <t>S</t>
    </r>
    <r>
      <rPr>
        <b/>
        <vertAlign val="subscript"/>
        <sz val="14"/>
        <color theme="1"/>
        <rFont val="Calibri"/>
        <family val="2"/>
      </rPr>
      <t>y</t>
    </r>
  </si>
  <si>
    <r>
      <t>Z</t>
    </r>
    <r>
      <rPr>
        <b/>
        <vertAlign val="subscript"/>
        <sz val="14"/>
        <color theme="1"/>
        <rFont val="Calibri"/>
        <family val="2"/>
      </rPr>
      <t>y</t>
    </r>
  </si>
  <si>
    <r>
      <t>M</t>
    </r>
    <r>
      <rPr>
        <b/>
        <vertAlign val="subscript"/>
        <sz val="14"/>
        <color theme="1"/>
        <rFont val="Calibri"/>
        <family val="2"/>
      </rPr>
      <t>p in</t>
    </r>
    <r>
      <rPr>
        <b/>
        <sz val="14"/>
        <color theme="1"/>
        <rFont val="Calibri"/>
        <family val="2"/>
      </rPr>
      <t xml:space="preserve"> =</t>
    </r>
  </si>
  <si>
    <r>
      <t>M</t>
    </r>
    <r>
      <rPr>
        <b/>
        <vertAlign val="subscript"/>
        <sz val="14"/>
        <color theme="1"/>
        <rFont val="Calibri"/>
        <family val="2"/>
      </rPr>
      <t>p out</t>
    </r>
    <r>
      <rPr>
        <b/>
        <sz val="14"/>
        <color theme="1"/>
        <rFont val="Calibri"/>
        <family val="2"/>
      </rPr>
      <t xml:space="preserve">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</si>
</sst>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Arial"/>
      <family val="2"/>
      <charset val="178"/>
      <scheme val="minor"/>
    </font>
    <font>
      <b/>
      <sz val="14"/>
      <color theme="0"/>
      <name val="Calibri"/>
      <family val="2"/>
    </font>
    <font>
      <b/>
      <sz val="14"/>
      <color theme="1"/>
      <name val="Calibri"/>
      <family val="2"/>
    </font>
    <font>
      <b/>
      <vertAlign val="superscript"/>
      <sz val="14"/>
      <color theme="1"/>
      <name val="Calibri"/>
      <family val="2"/>
    </font>
    <font>
      <b/>
      <vertAlign val="subscript"/>
      <sz val="14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rgb="FFFF0000"/>
      <name val="Calibri"/>
      <family val="2"/>
    </font>
    <font>
      <b/>
      <u val="double"/>
      <sz val="16"/>
      <color theme="1"/>
      <name val="Calibri"/>
      <family val="2"/>
    </font>
    <font>
      <b/>
      <u val="double"/>
      <sz val="18"/>
      <color theme="1"/>
      <name val="Calibri"/>
      <family val="2"/>
    </font>
    <font>
      <sz val="14"/>
      <color theme="1"/>
      <name val="Calibri"/>
      <family val="2"/>
    </font>
    <font>
      <b/>
      <sz val="14"/>
      <name val="Calibri"/>
      <family val="2"/>
    </font>
    <font>
      <b/>
      <vertAlign val="superscript"/>
      <sz val="14"/>
      <name val="Calibri"/>
      <family val="2"/>
    </font>
    <font>
      <b/>
      <vertAlign val="subscript"/>
      <sz val="14"/>
      <name val="Calibri"/>
      <family val="2"/>
    </font>
    <font>
      <sz val="14"/>
      <color rgb="FF000000"/>
      <name val="Calibri"/>
      <family val="2"/>
    </font>
    <font>
      <b/>
      <u/>
      <sz val="14"/>
      <color theme="1"/>
      <name val="Calibri"/>
      <family val="2"/>
    </font>
    <font>
      <b/>
      <sz val="14"/>
      <color theme="1"/>
      <name val="Symbol"/>
      <family val="1"/>
      <charset val="2"/>
    </font>
    <font>
      <b/>
      <sz val="11"/>
      <color theme="1"/>
      <name val="Calibri"/>
      <family val="2"/>
    </font>
    <font>
      <b/>
      <sz val="14"/>
      <color indexed="0"/>
      <name val="Calibri"/>
      <family val="2"/>
    </font>
    <font>
      <b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shrinkToFit="1"/>
    </xf>
    <xf numFmtId="2" fontId="13" fillId="0" borderId="1" xfId="0" applyNumberFormat="1" applyFont="1" applyBorder="1" applyAlignment="1">
      <alignment horizontal="center" vertical="center" shrinkToFit="1"/>
    </xf>
    <xf numFmtId="164" fontId="13" fillId="0" borderId="1" xfId="0" applyNumberFormat="1" applyFont="1" applyBorder="1" applyAlignment="1">
      <alignment horizontal="center" vertical="center" shrinkToFit="1"/>
    </xf>
    <xf numFmtId="0" fontId="2" fillId="2" borderId="0" xfId="0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4" fillId="2" borderId="0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16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top" shrinkToFit="1"/>
    </xf>
    <xf numFmtId="1" fontId="2" fillId="2" borderId="1" xfId="0" applyNumberFormat="1" applyFont="1" applyFill="1" applyBorder="1" applyAlignment="1">
      <alignment horizontal="center" vertical="top" shrinkToFit="1"/>
    </xf>
    <xf numFmtId="164" fontId="2" fillId="2" borderId="1" xfId="0" applyNumberFormat="1" applyFont="1" applyFill="1" applyBorder="1" applyAlignment="1">
      <alignment horizontal="center" vertical="top" shrinkToFit="1"/>
    </xf>
    <xf numFmtId="2" fontId="2" fillId="2" borderId="1" xfId="0" applyNumberFormat="1" applyFont="1" applyFill="1" applyBorder="1" applyAlignment="1">
      <alignment horizontal="right" vertical="top" indent="1" shrinkToFit="1"/>
    </xf>
    <xf numFmtId="1" fontId="2" fillId="2" borderId="1" xfId="0" applyNumberFormat="1" applyFont="1" applyFill="1" applyBorder="1" applyAlignment="1">
      <alignment horizontal="center" vertical="center" shrinkToFit="1"/>
    </xf>
    <xf numFmtId="0" fontId="10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left" vertical="top" wrapText="1" indent="2"/>
    </xf>
    <xf numFmtId="0" fontId="10" fillId="2" borderId="0" xfId="0" applyFont="1" applyFill="1" applyBorder="1" applyAlignment="1">
      <alignment horizontal="center" vertical="top" wrapText="1"/>
    </xf>
    <xf numFmtId="1" fontId="18" fillId="2" borderId="0" xfId="0" applyNumberFormat="1" applyFont="1" applyFill="1" applyBorder="1" applyAlignment="1">
      <alignment horizontal="center" vertical="center" shrinkToFit="1"/>
    </xf>
    <xf numFmtId="164" fontId="18" fillId="2" borderId="0" xfId="0" applyNumberFormat="1" applyFont="1" applyFill="1" applyBorder="1" applyAlignment="1">
      <alignment horizontal="center" vertical="center" shrinkToFit="1"/>
    </xf>
    <xf numFmtId="2" fontId="18" fillId="2" borderId="0" xfId="0" applyNumberFormat="1" applyFont="1" applyFill="1" applyBorder="1" applyAlignment="1">
      <alignment horizontal="center" vertical="center" shrinkToFit="1"/>
    </xf>
    <xf numFmtId="2" fontId="2" fillId="2" borderId="0" xfId="0" applyNumberFormat="1" applyFont="1" applyFill="1" applyBorder="1" applyAlignment="1">
      <alignment horizontal="right" vertical="top" indent="1" shrinkToFit="1"/>
    </xf>
    <xf numFmtId="2" fontId="2" fillId="2" borderId="0" xfId="0" applyNumberFormat="1" applyFont="1" applyFill="1" applyBorder="1" applyAlignment="1">
      <alignment horizontal="center" vertical="top" shrinkToFit="1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" fontId="18" fillId="0" borderId="0" xfId="0" applyNumberFormat="1" applyFont="1" applyBorder="1" applyAlignment="1">
      <alignment horizontal="center" vertical="center" shrinkToFit="1"/>
    </xf>
    <xf numFmtId="164" fontId="18" fillId="0" borderId="0" xfId="0" applyNumberFormat="1" applyFont="1" applyBorder="1" applyAlignment="1">
      <alignment horizontal="center" vertical="center" shrinkToFit="1"/>
    </xf>
    <xf numFmtId="2" fontId="18" fillId="0" borderId="0" xfId="0" applyNumberFormat="1" applyFont="1" applyBorder="1" applyAlignment="1">
      <alignment horizontal="center" vertical="center" shrinkToFit="1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16" fillId="0" borderId="0" xfId="0" applyFont="1" applyBorder="1"/>
    <xf numFmtId="1" fontId="18" fillId="0" borderId="0" xfId="0" applyNumberFormat="1" applyFont="1" applyBorder="1" applyAlignment="1">
      <alignment vertical="center" shrinkToFit="1"/>
    </xf>
    <xf numFmtId="1" fontId="18" fillId="2" borderId="0" xfId="0" applyNumberFormat="1" applyFont="1" applyFill="1" applyBorder="1" applyAlignment="1">
      <alignment vertical="center" shrinkToFit="1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 inden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top" wrapText="1" indent="9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 indent="2"/>
    </xf>
    <xf numFmtId="0" fontId="2" fillId="0" borderId="0" xfId="0" applyFont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 indent="2"/>
    </xf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0</xdr:colOff>
      <xdr:row>23</xdr:row>
      <xdr:rowOff>485738</xdr:rowOff>
    </xdr:from>
    <xdr:ext cx="410845" cy="112395"/>
    <xdr:sp macro="" textlink="">
      <xdr:nvSpPr>
        <xdr:cNvPr id="2" name="Shape 713">
          <a:extLst>
            <a:ext uri="{FF2B5EF4-FFF2-40B4-BE49-F238E27FC236}">
              <a16:creationId xmlns:a16="http://schemas.microsoft.com/office/drawing/2014/main" id="{42297409-258C-4631-903D-B8CBFB5D834A}"/>
            </a:ext>
          </a:extLst>
        </xdr:cNvPr>
        <xdr:cNvSpPr/>
      </xdr:nvSpPr>
      <xdr:spPr>
        <a:xfrm>
          <a:off x="11725275" y="5276813"/>
          <a:ext cx="410845" cy="112395"/>
        </a:xfrm>
        <a:custGeom>
          <a:avLst/>
          <a:gdLst/>
          <a:ahLst/>
          <a:cxnLst/>
          <a:rect l="0" t="0" r="0" b="0"/>
          <a:pathLst>
            <a:path w="410845" h="112395">
              <a:moveTo>
                <a:pt x="5304366" y="-11455685"/>
              </a:moveTo>
              <a:lnTo>
                <a:pt x="5304366" y="-11530912"/>
              </a:lnTo>
              <a:lnTo>
                <a:pt x="5304459" y="-11530912"/>
              </a:lnTo>
            </a:path>
            <a:path w="410845" h="112395">
              <a:moveTo>
                <a:pt x="5304366" y="-11480733"/>
              </a:moveTo>
              <a:lnTo>
                <a:pt x="5331826" y="-11505865"/>
              </a:lnTo>
              <a:lnTo>
                <a:pt x="5345416" y="-11505865"/>
              </a:lnTo>
              <a:lnTo>
                <a:pt x="5359100" y="-11493256"/>
              </a:lnTo>
              <a:lnTo>
                <a:pt x="5359100" y="-11455685"/>
              </a:lnTo>
              <a:lnTo>
                <a:pt x="5359286" y="-11455685"/>
              </a:lnTo>
            </a:path>
            <a:path w="410845" h="112395">
              <a:moveTo>
                <a:pt x="5386466" y="-11493256"/>
              </a:moveTo>
              <a:lnTo>
                <a:pt x="5441107" y="-11493256"/>
              </a:lnTo>
              <a:lnTo>
                <a:pt x="5441200" y="-11493256"/>
              </a:lnTo>
            </a:path>
            <a:path w="410845" h="112395">
              <a:moveTo>
                <a:pt x="5468380" y="-11518389"/>
              </a:moveTo>
              <a:lnTo>
                <a:pt x="5482064" y="-11530912"/>
              </a:lnTo>
              <a:lnTo>
                <a:pt x="5509523" y="-11530912"/>
              </a:lnTo>
              <a:lnTo>
                <a:pt x="5523207" y="-11518389"/>
              </a:lnTo>
              <a:lnTo>
                <a:pt x="5523207" y="-11505865"/>
              </a:lnTo>
              <a:lnTo>
                <a:pt x="5509523" y="-11493256"/>
              </a:lnTo>
              <a:lnTo>
                <a:pt x="5482064" y="-11493256"/>
              </a:lnTo>
              <a:lnTo>
                <a:pt x="5468380" y="-11480733"/>
              </a:lnTo>
              <a:lnTo>
                <a:pt x="5468380" y="-11455685"/>
              </a:lnTo>
              <a:lnTo>
                <a:pt x="5523207" y="-11455685"/>
              </a:lnTo>
            </a:path>
            <a:path w="410845" h="112395">
              <a:moveTo>
                <a:pt x="5605121" y="-11505865"/>
              </a:moveTo>
              <a:lnTo>
                <a:pt x="5564164" y="-11505865"/>
              </a:lnTo>
              <a:lnTo>
                <a:pt x="5550480" y="-11493256"/>
              </a:lnTo>
              <a:lnTo>
                <a:pt x="5550480" y="-11468209"/>
              </a:lnTo>
              <a:lnTo>
                <a:pt x="5564164" y="-11455685"/>
              </a:lnTo>
              <a:lnTo>
                <a:pt x="5605121" y="-11455685"/>
              </a:lnTo>
              <a:lnTo>
                <a:pt x="5605307" y="-11455685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oneCellAnchor>
  <xdr:oneCellAnchor>
    <xdr:from>
      <xdr:col>19</xdr:col>
      <xdr:colOff>0</xdr:colOff>
      <xdr:row>23</xdr:row>
      <xdr:rowOff>485738</xdr:rowOff>
    </xdr:from>
    <xdr:ext cx="410845" cy="112395"/>
    <xdr:sp macro="" textlink="">
      <xdr:nvSpPr>
        <xdr:cNvPr id="3" name="Shape 713">
          <a:extLst>
            <a:ext uri="{FF2B5EF4-FFF2-40B4-BE49-F238E27FC236}">
              <a16:creationId xmlns:a16="http://schemas.microsoft.com/office/drawing/2014/main" id="{782E2AC5-5FD9-46D2-8B09-6C4794617DD6}"/>
            </a:ext>
          </a:extLst>
        </xdr:cNvPr>
        <xdr:cNvSpPr/>
      </xdr:nvSpPr>
      <xdr:spPr>
        <a:xfrm>
          <a:off x="11725275" y="5276813"/>
          <a:ext cx="410845" cy="112395"/>
        </a:xfrm>
        <a:custGeom>
          <a:avLst/>
          <a:gdLst/>
          <a:ahLst/>
          <a:cxnLst/>
          <a:rect l="0" t="0" r="0" b="0"/>
          <a:pathLst>
            <a:path w="410845" h="112395">
              <a:moveTo>
                <a:pt x="5304366" y="-11455685"/>
              </a:moveTo>
              <a:lnTo>
                <a:pt x="5304366" y="-11530912"/>
              </a:lnTo>
              <a:lnTo>
                <a:pt x="5304459" y="-11530912"/>
              </a:lnTo>
            </a:path>
            <a:path w="410845" h="112395">
              <a:moveTo>
                <a:pt x="5304366" y="-11480733"/>
              </a:moveTo>
              <a:lnTo>
                <a:pt x="5331826" y="-11505865"/>
              </a:lnTo>
              <a:lnTo>
                <a:pt x="5345416" y="-11505865"/>
              </a:lnTo>
              <a:lnTo>
                <a:pt x="5359100" y="-11493256"/>
              </a:lnTo>
              <a:lnTo>
                <a:pt x="5359100" y="-11455685"/>
              </a:lnTo>
              <a:lnTo>
                <a:pt x="5359286" y="-11455685"/>
              </a:lnTo>
            </a:path>
            <a:path w="410845" h="112395">
              <a:moveTo>
                <a:pt x="5386466" y="-11493256"/>
              </a:moveTo>
              <a:lnTo>
                <a:pt x="5441107" y="-11493256"/>
              </a:lnTo>
              <a:lnTo>
                <a:pt x="5441200" y="-11493256"/>
              </a:lnTo>
            </a:path>
            <a:path w="410845" h="112395">
              <a:moveTo>
                <a:pt x="5468380" y="-11518389"/>
              </a:moveTo>
              <a:lnTo>
                <a:pt x="5482064" y="-11530912"/>
              </a:lnTo>
              <a:lnTo>
                <a:pt x="5509523" y="-11530912"/>
              </a:lnTo>
              <a:lnTo>
                <a:pt x="5523207" y="-11518389"/>
              </a:lnTo>
              <a:lnTo>
                <a:pt x="5523207" y="-11505865"/>
              </a:lnTo>
              <a:lnTo>
                <a:pt x="5509523" y="-11493256"/>
              </a:lnTo>
              <a:lnTo>
                <a:pt x="5482064" y="-11493256"/>
              </a:lnTo>
              <a:lnTo>
                <a:pt x="5468380" y="-11480733"/>
              </a:lnTo>
              <a:lnTo>
                <a:pt x="5468380" y="-11455685"/>
              </a:lnTo>
              <a:lnTo>
                <a:pt x="5523207" y="-11455685"/>
              </a:lnTo>
            </a:path>
            <a:path w="410845" h="112395">
              <a:moveTo>
                <a:pt x="5605121" y="-11505865"/>
              </a:moveTo>
              <a:lnTo>
                <a:pt x="5564164" y="-11505865"/>
              </a:lnTo>
              <a:lnTo>
                <a:pt x="5550480" y="-11493256"/>
              </a:lnTo>
              <a:lnTo>
                <a:pt x="5550480" y="-11468209"/>
              </a:lnTo>
              <a:lnTo>
                <a:pt x="5564164" y="-11455685"/>
              </a:lnTo>
              <a:lnTo>
                <a:pt x="5605121" y="-11455685"/>
              </a:lnTo>
              <a:lnTo>
                <a:pt x="5605307" y="-11455685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oneCellAnchor>
  <xdr:twoCellAnchor editAs="oneCell">
    <xdr:from>
      <xdr:col>7</xdr:col>
      <xdr:colOff>250269</xdr:colOff>
      <xdr:row>2</xdr:row>
      <xdr:rowOff>258538</xdr:rowOff>
    </xdr:from>
    <xdr:to>
      <xdr:col>10</xdr:col>
      <xdr:colOff>439638</xdr:colOff>
      <xdr:row>9</xdr:row>
      <xdr:rowOff>173183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4B60EAA-2293-4080-AC84-3F3C722B6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07178" y="743447"/>
          <a:ext cx="2596596" cy="17503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132782</xdr:colOff>
      <xdr:row>4</xdr:row>
      <xdr:rowOff>138158</xdr:rowOff>
    </xdr:from>
    <xdr:to>
      <xdr:col>9</xdr:col>
      <xdr:colOff>898072</xdr:colOff>
      <xdr:row>10</xdr:row>
      <xdr:rowOff>142116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0D17F3-A7A8-470F-9153-83BDD6543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89691" y="1125294"/>
          <a:ext cx="2254654" cy="1562595"/>
        </a:xfrm>
        <a:prstGeom prst="rect">
          <a:avLst/>
        </a:prstGeom>
      </xdr:spPr>
    </xdr:pic>
    <xdr:clientData/>
  </xdr:twoCellAnchor>
  <xdr:oneCellAnchor>
    <xdr:from>
      <xdr:col>19</xdr:col>
      <xdr:colOff>0</xdr:colOff>
      <xdr:row>23</xdr:row>
      <xdr:rowOff>485738</xdr:rowOff>
    </xdr:from>
    <xdr:ext cx="410845" cy="112395"/>
    <xdr:sp macro="" textlink="">
      <xdr:nvSpPr>
        <xdr:cNvPr id="2" name="Shape 713">
          <a:extLst>
            <a:ext uri="{FF2B5EF4-FFF2-40B4-BE49-F238E27FC236}">
              <a16:creationId xmlns:a16="http://schemas.microsoft.com/office/drawing/2014/main" id="{AF2F4C54-2E5E-4285-987E-5A11D34BEF68}"/>
            </a:ext>
          </a:extLst>
        </xdr:cNvPr>
        <xdr:cNvSpPr/>
      </xdr:nvSpPr>
      <xdr:spPr>
        <a:xfrm>
          <a:off x="13315950" y="6115013"/>
          <a:ext cx="410845" cy="112395"/>
        </a:xfrm>
        <a:custGeom>
          <a:avLst/>
          <a:gdLst/>
          <a:ahLst/>
          <a:cxnLst/>
          <a:rect l="0" t="0" r="0" b="0"/>
          <a:pathLst>
            <a:path w="410845" h="112395">
              <a:moveTo>
                <a:pt x="5304366" y="-11455685"/>
              </a:moveTo>
              <a:lnTo>
                <a:pt x="5304366" y="-11530912"/>
              </a:lnTo>
              <a:lnTo>
                <a:pt x="5304459" y="-11530912"/>
              </a:lnTo>
            </a:path>
            <a:path w="410845" h="112395">
              <a:moveTo>
                <a:pt x="5304366" y="-11480733"/>
              </a:moveTo>
              <a:lnTo>
                <a:pt x="5331826" y="-11505865"/>
              </a:lnTo>
              <a:lnTo>
                <a:pt x="5345416" y="-11505865"/>
              </a:lnTo>
              <a:lnTo>
                <a:pt x="5359100" y="-11493256"/>
              </a:lnTo>
              <a:lnTo>
                <a:pt x="5359100" y="-11455685"/>
              </a:lnTo>
              <a:lnTo>
                <a:pt x="5359286" y="-11455685"/>
              </a:lnTo>
            </a:path>
            <a:path w="410845" h="112395">
              <a:moveTo>
                <a:pt x="5386466" y="-11493256"/>
              </a:moveTo>
              <a:lnTo>
                <a:pt x="5441107" y="-11493256"/>
              </a:lnTo>
              <a:lnTo>
                <a:pt x="5441200" y="-11493256"/>
              </a:lnTo>
            </a:path>
            <a:path w="410845" h="112395">
              <a:moveTo>
                <a:pt x="5468380" y="-11518389"/>
              </a:moveTo>
              <a:lnTo>
                <a:pt x="5482064" y="-11530912"/>
              </a:lnTo>
              <a:lnTo>
                <a:pt x="5509523" y="-11530912"/>
              </a:lnTo>
              <a:lnTo>
                <a:pt x="5523207" y="-11518389"/>
              </a:lnTo>
              <a:lnTo>
                <a:pt x="5523207" y="-11505865"/>
              </a:lnTo>
              <a:lnTo>
                <a:pt x="5509523" y="-11493256"/>
              </a:lnTo>
              <a:lnTo>
                <a:pt x="5482064" y="-11493256"/>
              </a:lnTo>
              <a:lnTo>
                <a:pt x="5468380" y="-11480733"/>
              </a:lnTo>
              <a:lnTo>
                <a:pt x="5468380" y="-11455685"/>
              </a:lnTo>
              <a:lnTo>
                <a:pt x="5523207" y="-11455685"/>
              </a:lnTo>
            </a:path>
            <a:path w="410845" h="112395">
              <a:moveTo>
                <a:pt x="5605121" y="-11505865"/>
              </a:moveTo>
              <a:lnTo>
                <a:pt x="5564164" y="-11505865"/>
              </a:lnTo>
              <a:lnTo>
                <a:pt x="5550480" y="-11493256"/>
              </a:lnTo>
              <a:lnTo>
                <a:pt x="5550480" y="-11468209"/>
              </a:lnTo>
              <a:lnTo>
                <a:pt x="5564164" y="-11455685"/>
              </a:lnTo>
              <a:lnTo>
                <a:pt x="5605121" y="-11455685"/>
              </a:lnTo>
              <a:lnTo>
                <a:pt x="5605307" y="-11455685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oneCellAnchor>
  <xdr:oneCellAnchor>
    <xdr:from>
      <xdr:col>19</xdr:col>
      <xdr:colOff>0</xdr:colOff>
      <xdr:row>23</xdr:row>
      <xdr:rowOff>485738</xdr:rowOff>
    </xdr:from>
    <xdr:ext cx="410845" cy="112395"/>
    <xdr:sp macro="" textlink="">
      <xdr:nvSpPr>
        <xdr:cNvPr id="3" name="Shape 713">
          <a:extLst>
            <a:ext uri="{FF2B5EF4-FFF2-40B4-BE49-F238E27FC236}">
              <a16:creationId xmlns:a16="http://schemas.microsoft.com/office/drawing/2014/main" id="{D80454B6-DE47-4513-B0E9-3BB230046851}"/>
            </a:ext>
          </a:extLst>
        </xdr:cNvPr>
        <xdr:cNvSpPr/>
      </xdr:nvSpPr>
      <xdr:spPr>
        <a:xfrm>
          <a:off x="13315950" y="6115013"/>
          <a:ext cx="410845" cy="112395"/>
        </a:xfrm>
        <a:custGeom>
          <a:avLst/>
          <a:gdLst/>
          <a:ahLst/>
          <a:cxnLst/>
          <a:rect l="0" t="0" r="0" b="0"/>
          <a:pathLst>
            <a:path w="410845" h="112395">
              <a:moveTo>
                <a:pt x="5304366" y="-11455685"/>
              </a:moveTo>
              <a:lnTo>
                <a:pt x="5304366" y="-11530912"/>
              </a:lnTo>
              <a:lnTo>
                <a:pt x="5304459" y="-11530912"/>
              </a:lnTo>
            </a:path>
            <a:path w="410845" h="112395">
              <a:moveTo>
                <a:pt x="5304366" y="-11480733"/>
              </a:moveTo>
              <a:lnTo>
                <a:pt x="5331826" y="-11505865"/>
              </a:lnTo>
              <a:lnTo>
                <a:pt x="5345416" y="-11505865"/>
              </a:lnTo>
              <a:lnTo>
                <a:pt x="5359100" y="-11493256"/>
              </a:lnTo>
              <a:lnTo>
                <a:pt x="5359100" y="-11455685"/>
              </a:lnTo>
              <a:lnTo>
                <a:pt x="5359286" y="-11455685"/>
              </a:lnTo>
            </a:path>
            <a:path w="410845" h="112395">
              <a:moveTo>
                <a:pt x="5386466" y="-11493256"/>
              </a:moveTo>
              <a:lnTo>
                <a:pt x="5441107" y="-11493256"/>
              </a:lnTo>
              <a:lnTo>
                <a:pt x="5441200" y="-11493256"/>
              </a:lnTo>
            </a:path>
            <a:path w="410845" h="112395">
              <a:moveTo>
                <a:pt x="5468380" y="-11518389"/>
              </a:moveTo>
              <a:lnTo>
                <a:pt x="5482064" y="-11530912"/>
              </a:lnTo>
              <a:lnTo>
                <a:pt x="5509523" y="-11530912"/>
              </a:lnTo>
              <a:lnTo>
                <a:pt x="5523207" y="-11518389"/>
              </a:lnTo>
              <a:lnTo>
                <a:pt x="5523207" y="-11505865"/>
              </a:lnTo>
              <a:lnTo>
                <a:pt x="5509523" y="-11493256"/>
              </a:lnTo>
              <a:lnTo>
                <a:pt x="5482064" y="-11493256"/>
              </a:lnTo>
              <a:lnTo>
                <a:pt x="5468380" y="-11480733"/>
              </a:lnTo>
              <a:lnTo>
                <a:pt x="5468380" y="-11455685"/>
              </a:lnTo>
              <a:lnTo>
                <a:pt x="5523207" y="-11455685"/>
              </a:lnTo>
            </a:path>
            <a:path w="410845" h="112395">
              <a:moveTo>
                <a:pt x="5605121" y="-11505865"/>
              </a:moveTo>
              <a:lnTo>
                <a:pt x="5564164" y="-11505865"/>
              </a:lnTo>
              <a:lnTo>
                <a:pt x="5550480" y="-11493256"/>
              </a:lnTo>
              <a:lnTo>
                <a:pt x="5550480" y="-11468209"/>
              </a:lnTo>
              <a:lnTo>
                <a:pt x="5564164" y="-11455685"/>
              </a:lnTo>
              <a:lnTo>
                <a:pt x="5605121" y="-11455685"/>
              </a:lnTo>
              <a:lnTo>
                <a:pt x="5605307" y="-11455685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oneCellAnchor>
  <xdr:twoCellAnchor>
    <xdr:from>
      <xdr:col>8</xdr:col>
      <xdr:colOff>504997</xdr:colOff>
      <xdr:row>10</xdr:row>
      <xdr:rowOff>131118</xdr:rowOff>
    </xdr:from>
    <xdr:to>
      <xdr:col>8</xdr:col>
      <xdr:colOff>511123</xdr:colOff>
      <xdr:row>12</xdr:row>
      <xdr:rowOff>34633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13868E53-E5DD-43E3-91FD-3D806E85F87D}"/>
            </a:ext>
          </a:extLst>
        </xdr:cNvPr>
        <xdr:cNvCxnSpPr/>
      </xdr:nvCxnSpPr>
      <xdr:spPr>
        <a:xfrm>
          <a:off x="6306588" y="2676891"/>
          <a:ext cx="6126" cy="42306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898072</xdr:colOff>
      <xdr:row>7</xdr:row>
      <xdr:rowOff>85372</xdr:rowOff>
    </xdr:from>
    <xdr:to>
      <xdr:col>10</xdr:col>
      <xdr:colOff>415637</xdr:colOff>
      <xdr:row>7</xdr:row>
      <xdr:rowOff>85372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7513E76A-6B16-4137-BA07-7A7F1AF1B4BE}"/>
            </a:ext>
          </a:extLst>
        </xdr:cNvPr>
        <xdr:cNvCxnSpPr/>
      </xdr:nvCxnSpPr>
      <xdr:spPr>
        <a:xfrm>
          <a:off x="7444345" y="1834508"/>
          <a:ext cx="539337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843640</xdr:colOff>
      <xdr:row>5</xdr:row>
      <xdr:rowOff>85370</xdr:rowOff>
    </xdr:from>
    <xdr:to>
      <xdr:col>11</xdr:col>
      <xdr:colOff>121228</xdr:colOff>
      <xdr:row>7</xdr:row>
      <xdr:rowOff>7439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FB134AF-5794-4474-86C0-2E208DCA2016}"/>
            </a:ext>
          </a:extLst>
        </xdr:cNvPr>
        <xdr:cNvSpPr txBox="1"/>
      </xdr:nvSpPr>
      <xdr:spPr>
        <a:xfrm>
          <a:off x="7389913" y="1332279"/>
          <a:ext cx="818906" cy="42429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2400"/>
            <a:t>M</a:t>
          </a:r>
          <a:r>
            <a:rPr lang="en-US" sz="2400" baseline="-25000"/>
            <a:t>u in</a:t>
          </a:r>
          <a:endParaRPr lang="ar-EG" sz="2400" baseline="-25000"/>
        </a:p>
      </xdr:txBody>
    </xdr:sp>
    <xdr:clientData/>
  </xdr:twoCellAnchor>
  <xdr:twoCellAnchor>
    <xdr:from>
      <xdr:col>8</xdr:col>
      <xdr:colOff>619741</xdr:colOff>
      <xdr:row>10</xdr:row>
      <xdr:rowOff>204119</xdr:rowOff>
    </xdr:from>
    <xdr:to>
      <xdr:col>9</xdr:col>
      <xdr:colOff>779319</xdr:colOff>
      <xdr:row>12</xdr:row>
      <xdr:rowOff>122476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5D9555D-486B-428F-A2A1-EF263CDFE06C}"/>
            </a:ext>
          </a:extLst>
        </xdr:cNvPr>
        <xdr:cNvSpPr txBox="1"/>
      </xdr:nvSpPr>
      <xdr:spPr>
        <a:xfrm>
          <a:off x="6421332" y="2749892"/>
          <a:ext cx="904260" cy="43790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2400"/>
            <a:t>M</a:t>
          </a:r>
          <a:r>
            <a:rPr lang="en-US" sz="2400" baseline="-25000"/>
            <a:t>u out</a:t>
          </a:r>
          <a:endParaRPr lang="ar-EG" sz="2400" baseline="-25000"/>
        </a:p>
      </xdr:txBody>
    </xdr:sp>
    <xdr:clientData/>
  </xdr:twoCellAnchor>
  <xdr:twoCellAnchor>
    <xdr:from>
      <xdr:col>7</xdr:col>
      <xdr:colOff>734787</xdr:colOff>
      <xdr:row>4</xdr:row>
      <xdr:rowOff>72861</xdr:rowOff>
    </xdr:from>
    <xdr:to>
      <xdr:col>9</xdr:col>
      <xdr:colOff>200907</xdr:colOff>
      <xdr:row>4</xdr:row>
      <xdr:rowOff>72861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A193D31C-8E06-434E-ACC7-59F96D11507F}"/>
            </a:ext>
          </a:extLst>
        </xdr:cNvPr>
        <xdr:cNvCxnSpPr/>
      </xdr:nvCxnSpPr>
      <xdr:spPr>
        <a:xfrm flipH="1">
          <a:off x="5791696" y="1059997"/>
          <a:ext cx="955484" cy="0"/>
        </a:xfrm>
        <a:prstGeom prst="straightConnector1">
          <a:avLst/>
        </a:prstGeom>
        <a:ln w="38100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331942</xdr:colOff>
      <xdr:row>2</xdr:row>
      <xdr:rowOff>226370</xdr:rowOff>
    </xdr:from>
    <xdr:to>
      <xdr:col>8</xdr:col>
      <xdr:colOff>666750</xdr:colOff>
      <xdr:row>4</xdr:row>
      <xdr:rowOff>48241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C88D098-C4C4-4D99-8025-B4B028805F43}"/>
            </a:ext>
          </a:extLst>
        </xdr:cNvPr>
        <xdr:cNvSpPr txBox="1"/>
      </xdr:nvSpPr>
      <xdr:spPr>
        <a:xfrm>
          <a:off x="6133533" y="711279"/>
          <a:ext cx="334808" cy="32409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1800"/>
            <a:t>d</a:t>
          </a:r>
          <a:endParaRPr lang="ar-EG" sz="18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884465</xdr:colOff>
      <xdr:row>5</xdr:row>
      <xdr:rowOff>163286</xdr:rowOff>
    </xdr:from>
    <xdr:to>
      <xdr:col>8</xdr:col>
      <xdr:colOff>911679</xdr:colOff>
      <xdr:row>12</xdr:row>
      <xdr:rowOff>258536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B8C48924-E4AA-49A5-A138-9B64340163A8}"/>
            </a:ext>
          </a:extLst>
        </xdr:cNvPr>
        <xdr:cNvCxnSpPr/>
      </xdr:nvCxnSpPr>
      <xdr:spPr>
        <a:xfrm>
          <a:off x="7089322" y="1673679"/>
          <a:ext cx="27214" cy="1932214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272143</xdr:colOff>
      <xdr:row>4</xdr:row>
      <xdr:rowOff>68036</xdr:rowOff>
    </xdr:from>
    <xdr:to>
      <xdr:col>12</xdr:col>
      <xdr:colOff>367393</xdr:colOff>
      <xdr:row>4</xdr:row>
      <xdr:rowOff>68036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B7790075-8EF3-45BB-B2A9-199F4C7F3290}"/>
            </a:ext>
          </a:extLst>
        </xdr:cNvPr>
        <xdr:cNvCxnSpPr/>
      </xdr:nvCxnSpPr>
      <xdr:spPr>
        <a:xfrm>
          <a:off x="7606393" y="1306286"/>
          <a:ext cx="2272393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898069</xdr:colOff>
      <xdr:row>0</xdr:row>
      <xdr:rowOff>0</xdr:rowOff>
    </xdr:from>
    <xdr:to>
      <xdr:col>9</xdr:col>
      <xdr:colOff>299356</xdr:colOff>
      <xdr:row>0</xdr:row>
      <xdr:rowOff>462643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BD62FCF7-A2BE-4425-A7A7-32DE4CAF49ED}"/>
            </a:ext>
          </a:extLst>
        </xdr:cNvPr>
        <xdr:cNvSpPr txBox="1"/>
      </xdr:nvSpPr>
      <xdr:spPr>
        <a:xfrm>
          <a:off x="7102926" y="0"/>
          <a:ext cx="530680" cy="4626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2400"/>
            <a:t>y</a:t>
          </a:r>
          <a:endParaRPr lang="ar-EG" sz="2400"/>
        </a:p>
      </xdr:txBody>
    </xdr:sp>
    <xdr:clientData/>
  </xdr:twoCellAnchor>
  <xdr:oneCellAnchor>
    <xdr:from>
      <xdr:col>19</xdr:col>
      <xdr:colOff>0</xdr:colOff>
      <xdr:row>20</xdr:row>
      <xdr:rowOff>0</xdr:rowOff>
    </xdr:from>
    <xdr:ext cx="410845" cy="112395"/>
    <xdr:sp macro="" textlink="">
      <xdr:nvSpPr>
        <xdr:cNvPr id="2" name="Shape 713">
          <a:extLst>
            <a:ext uri="{FF2B5EF4-FFF2-40B4-BE49-F238E27FC236}">
              <a16:creationId xmlns:a16="http://schemas.microsoft.com/office/drawing/2014/main" id="{003C6960-1ECB-45FC-B8F7-112825BCF8F9}"/>
            </a:ext>
          </a:extLst>
        </xdr:cNvPr>
        <xdr:cNvSpPr/>
      </xdr:nvSpPr>
      <xdr:spPr>
        <a:xfrm>
          <a:off x="13430250" y="6086438"/>
          <a:ext cx="410845" cy="112395"/>
        </a:xfrm>
        <a:custGeom>
          <a:avLst/>
          <a:gdLst/>
          <a:ahLst/>
          <a:cxnLst/>
          <a:rect l="0" t="0" r="0" b="0"/>
          <a:pathLst>
            <a:path w="410845" h="112395">
              <a:moveTo>
                <a:pt x="5304366" y="-11455685"/>
              </a:moveTo>
              <a:lnTo>
                <a:pt x="5304366" y="-11530912"/>
              </a:lnTo>
              <a:lnTo>
                <a:pt x="5304459" y="-11530912"/>
              </a:lnTo>
            </a:path>
            <a:path w="410845" h="112395">
              <a:moveTo>
                <a:pt x="5304366" y="-11480733"/>
              </a:moveTo>
              <a:lnTo>
                <a:pt x="5331826" y="-11505865"/>
              </a:lnTo>
              <a:lnTo>
                <a:pt x="5345416" y="-11505865"/>
              </a:lnTo>
              <a:lnTo>
                <a:pt x="5359100" y="-11493256"/>
              </a:lnTo>
              <a:lnTo>
                <a:pt x="5359100" y="-11455685"/>
              </a:lnTo>
              <a:lnTo>
                <a:pt x="5359286" y="-11455685"/>
              </a:lnTo>
            </a:path>
            <a:path w="410845" h="112395">
              <a:moveTo>
                <a:pt x="5386466" y="-11493256"/>
              </a:moveTo>
              <a:lnTo>
                <a:pt x="5441107" y="-11493256"/>
              </a:lnTo>
              <a:lnTo>
                <a:pt x="5441200" y="-11493256"/>
              </a:lnTo>
            </a:path>
            <a:path w="410845" h="112395">
              <a:moveTo>
                <a:pt x="5468380" y="-11518389"/>
              </a:moveTo>
              <a:lnTo>
                <a:pt x="5482064" y="-11530912"/>
              </a:lnTo>
              <a:lnTo>
                <a:pt x="5509523" y="-11530912"/>
              </a:lnTo>
              <a:lnTo>
                <a:pt x="5523207" y="-11518389"/>
              </a:lnTo>
              <a:lnTo>
                <a:pt x="5523207" y="-11505865"/>
              </a:lnTo>
              <a:lnTo>
                <a:pt x="5509523" y="-11493256"/>
              </a:lnTo>
              <a:lnTo>
                <a:pt x="5482064" y="-11493256"/>
              </a:lnTo>
              <a:lnTo>
                <a:pt x="5468380" y="-11480733"/>
              </a:lnTo>
              <a:lnTo>
                <a:pt x="5468380" y="-11455685"/>
              </a:lnTo>
              <a:lnTo>
                <a:pt x="5523207" y="-11455685"/>
              </a:lnTo>
            </a:path>
            <a:path w="410845" h="112395">
              <a:moveTo>
                <a:pt x="5605121" y="-11505865"/>
              </a:moveTo>
              <a:lnTo>
                <a:pt x="5564164" y="-11505865"/>
              </a:lnTo>
              <a:lnTo>
                <a:pt x="5550480" y="-11493256"/>
              </a:lnTo>
              <a:lnTo>
                <a:pt x="5550480" y="-11468209"/>
              </a:lnTo>
              <a:lnTo>
                <a:pt x="5564164" y="-11455685"/>
              </a:lnTo>
              <a:lnTo>
                <a:pt x="5605121" y="-11455685"/>
              </a:lnTo>
              <a:lnTo>
                <a:pt x="5605307" y="-11455685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oneCellAnchor>
  <xdr:oneCellAnchor>
    <xdr:from>
      <xdr:col>19</xdr:col>
      <xdr:colOff>0</xdr:colOff>
      <xdr:row>20</xdr:row>
      <xdr:rowOff>0</xdr:rowOff>
    </xdr:from>
    <xdr:ext cx="410845" cy="112395"/>
    <xdr:sp macro="" textlink="">
      <xdr:nvSpPr>
        <xdr:cNvPr id="3" name="Shape 713">
          <a:extLst>
            <a:ext uri="{FF2B5EF4-FFF2-40B4-BE49-F238E27FC236}">
              <a16:creationId xmlns:a16="http://schemas.microsoft.com/office/drawing/2014/main" id="{706CE70F-1F25-4E84-AA23-C57A2075849A}"/>
            </a:ext>
          </a:extLst>
        </xdr:cNvPr>
        <xdr:cNvSpPr/>
      </xdr:nvSpPr>
      <xdr:spPr>
        <a:xfrm>
          <a:off x="13430250" y="6086438"/>
          <a:ext cx="410845" cy="112395"/>
        </a:xfrm>
        <a:custGeom>
          <a:avLst/>
          <a:gdLst/>
          <a:ahLst/>
          <a:cxnLst/>
          <a:rect l="0" t="0" r="0" b="0"/>
          <a:pathLst>
            <a:path w="410845" h="112395">
              <a:moveTo>
                <a:pt x="5304366" y="-11455685"/>
              </a:moveTo>
              <a:lnTo>
                <a:pt x="5304366" y="-11530912"/>
              </a:lnTo>
              <a:lnTo>
                <a:pt x="5304459" y="-11530912"/>
              </a:lnTo>
            </a:path>
            <a:path w="410845" h="112395">
              <a:moveTo>
                <a:pt x="5304366" y="-11480733"/>
              </a:moveTo>
              <a:lnTo>
                <a:pt x="5331826" y="-11505865"/>
              </a:lnTo>
              <a:lnTo>
                <a:pt x="5345416" y="-11505865"/>
              </a:lnTo>
              <a:lnTo>
                <a:pt x="5359100" y="-11493256"/>
              </a:lnTo>
              <a:lnTo>
                <a:pt x="5359100" y="-11455685"/>
              </a:lnTo>
              <a:lnTo>
                <a:pt x="5359286" y="-11455685"/>
              </a:lnTo>
            </a:path>
            <a:path w="410845" h="112395">
              <a:moveTo>
                <a:pt x="5386466" y="-11493256"/>
              </a:moveTo>
              <a:lnTo>
                <a:pt x="5441107" y="-11493256"/>
              </a:lnTo>
              <a:lnTo>
                <a:pt x="5441200" y="-11493256"/>
              </a:lnTo>
            </a:path>
            <a:path w="410845" h="112395">
              <a:moveTo>
                <a:pt x="5468380" y="-11518389"/>
              </a:moveTo>
              <a:lnTo>
                <a:pt x="5482064" y="-11530912"/>
              </a:lnTo>
              <a:lnTo>
                <a:pt x="5509523" y="-11530912"/>
              </a:lnTo>
              <a:lnTo>
                <a:pt x="5523207" y="-11518389"/>
              </a:lnTo>
              <a:lnTo>
                <a:pt x="5523207" y="-11505865"/>
              </a:lnTo>
              <a:lnTo>
                <a:pt x="5509523" y="-11493256"/>
              </a:lnTo>
              <a:lnTo>
                <a:pt x="5482064" y="-11493256"/>
              </a:lnTo>
              <a:lnTo>
                <a:pt x="5468380" y="-11480733"/>
              </a:lnTo>
              <a:lnTo>
                <a:pt x="5468380" y="-11455685"/>
              </a:lnTo>
              <a:lnTo>
                <a:pt x="5523207" y="-11455685"/>
              </a:lnTo>
            </a:path>
            <a:path w="410845" h="112395">
              <a:moveTo>
                <a:pt x="5605121" y="-11505865"/>
              </a:moveTo>
              <a:lnTo>
                <a:pt x="5564164" y="-11505865"/>
              </a:lnTo>
              <a:lnTo>
                <a:pt x="5550480" y="-11493256"/>
              </a:lnTo>
              <a:lnTo>
                <a:pt x="5550480" y="-11468209"/>
              </a:lnTo>
              <a:lnTo>
                <a:pt x="5564164" y="-11455685"/>
              </a:lnTo>
              <a:lnTo>
                <a:pt x="5605121" y="-11455685"/>
              </a:lnTo>
              <a:lnTo>
                <a:pt x="5605307" y="-11455685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oneCellAnchor>
  <xdr:twoCellAnchor>
    <xdr:from>
      <xdr:col>7</xdr:col>
      <xdr:colOff>602965</xdr:colOff>
      <xdr:row>0</xdr:row>
      <xdr:rowOff>358039</xdr:rowOff>
    </xdr:from>
    <xdr:to>
      <xdr:col>9</xdr:col>
      <xdr:colOff>832583</xdr:colOff>
      <xdr:row>7</xdr:row>
      <xdr:rowOff>235574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60C027A8-1376-4E08-93C1-1496FD8C9F7C}"/>
            </a:ext>
          </a:extLst>
        </xdr:cNvPr>
        <xdr:cNvGrpSpPr/>
      </xdr:nvGrpSpPr>
      <xdr:grpSpPr>
        <a:xfrm>
          <a:off x="6059429" y="358039"/>
          <a:ext cx="2107404" cy="1904999"/>
          <a:chOff x="8463893" y="594963"/>
          <a:chExt cx="2110606" cy="1856974"/>
        </a:xfrm>
        <a:solidFill>
          <a:schemeClr val="tx1"/>
        </a:solidFill>
      </xdr:grpSpPr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AD8A8B66-9E38-4CD0-AAB7-1063E2288AD6}"/>
              </a:ext>
            </a:extLst>
          </xdr:cNvPr>
          <xdr:cNvGrpSpPr/>
        </xdr:nvGrpSpPr>
        <xdr:grpSpPr>
          <a:xfrm>
            <a:off x="8463893" y="594963"/>
            <a:ext cx="2110606" cy="878210"/>
            <a:chOff x="8467045" y="589360"/>
            <a:chExt cx="2111657" cy="882763"/>
          </a:xfrm>
          <a:grpFill/>
        </xdr:grpSpPr>
        <xdr:sp macro="" textlink="">
          <xdr:nvSpPr>
            <xdr:cNvPr id="4" name="Half Frame 3">
              <a:extLst>
                <a:ext uri="{FF2B5EF4-FFF2-40B4-BE49-F238E27FC236}">
                  <a16:creationId xmlns:a16="http://schemas.microsoft.com/office/drawing/2014/main" id="{F3DDA57C-A179-4C44-ABE3-A12424775027}"/>
                </a:ext>
              </a:extLst>
            </xdr:cNvPr>
            <xdr:cNvSpPr/>
          </xdr:nvSpPr>
          <xdr:spPr>
            <a:xfrm>
              <a:off x="8467045" y="589360"/>
              <a:ext cx="934640" cy="882763"/>
            </a:xfrm>
            <a:custGeom>
              <a:avLst/>
              <a:gdLst>
                <a:gd name="connsiteX0" fmla="*/ 0 w 938893"/>
                <a:gd name="connsiteY0" fmla="*/ 0 h 898071"/>
                <a:gd name="connsiteX1" fmla="*/ 938893 w 938893"/>
                <a:gd name="connsiteY1" fmla="*/ 0 h 898071"/>
                <a:gd name="connsiteX2" fmla="*/ 625932 w 938893"/>
                <a:gd name="connsiteY2" fmla="*/ 299354 h 898071"/>
                <a:gd name="connsiteX3" fmla="*/ 299354 w 938893"/>
                <a:gd name="connsiteY3" fmla="*/ 299354 h 898071"/>
                <a:gd name="connsiteX4" fmla="*/ 299354 w 938893"/>
                <a:gd name="connsiteY4" fmla="*/ 611733 h 898071"/>
                <a:gd name="connsiteX5" fmla="*/ 0 w 938893"/>
                <a:gd name="connsiteY5" fmla="*/ 898071 h 898071"/>
                <a:gd name="connsiteX6" fmla="*/ 0 w 938893"/>
                <a:gd name="connsiteY6" fmla="*/ 0 h 898071"/>
                <a:gd name="connsiteX0" fmla="*/ 0 w 938893"/>
                <a:gd name="connsiteY0" fmla="*/ 0 h 898071"/>
                <a:gd name="connsiteX1" fmla="*/ 938893 w 938893"/>
                <a:gd name="connsiteY1" fmla="*/ 0 h 898071"/>
                <a:gd name="connsiteX2" fmla="*/ 625932 w 938893"/>
                <a:gd name="connsiteY2" fmla="*/ 299354 h 898071"/>
                <a:gd name="connsiteX3" fmla="*/ 122462 w 938893"/>
                <a:gd name="connsiteY3" fmla="*/ 176890 h 898071"/>
                <a:gd name="connsiteX4" fmla="*/ 299354 w 938893"/>
                <a:gd name="connsiteY4" fmla="*/ 611733 h 898071"/>
                <a:gd name="connsiteX5" fmla="*/ 0 w 938893"/>
                <a:gd name="connsiteY5" fmla="*/ 898071 h 898071"/>
                <a:gd name="connsiteX6" fmla="*/ 0 w 938893"/>
                <a:gd name="connsiteY6" fmla="*/ 0 h 898071"/>
                <a:gd name="connsiteX0" fmla="*/ 0 w 938893"/>
                <a:gd name="connsiteY0" fmla="*/ 0 h 898071"/>
                <a:gd name="connsiteX1" fmla="*/ 938893 w 938893"/>
                <a:gd name="connsiteY1" fmla="*/ 0 h 898071"/>
                <a:gd name="connsiteX2" fmla="*/ 802825 w 938893"/>
                <a:gd name="connsiteY2" fmla="*/ 204104 h 898071"/>
                <a:gd name="connsiteX3" fmla="*/ 122462 w 938893"/>
                <a:gd name="connsiteY3" fmla="*/ 176890 h 898071"/>
                <a:gd name="connsiteX4" fmla="*/ 299354 w 938893"/>
                <a:gd name="connsiteY4" fmla="*/ 611733 h 898071"/>
                <a:gd name="connsiteX5" fmla="*/ 0 w 938893"/>
                <a:gd name="connsiteY5" fmla="*/ 898071 h 898071"/>
                <a:gd name="connsiteX6" fmla="*/ 0 w 938893"/>
                <a:gd name="connsiteY6" fmla="*/ 0 h 898071"/>
                <a:gd name="connsiteX0" fmla="*/ 0 w 938893"/>
                <a:gd name="connsiteY0" fmla="*/ 0 h 898071"/>
                <a:gd name="connsiteX1" fmla="*/ 938893 w 938893"/>
                <a:gd name="connsiteY1" fmla="*/ 0 h 898071"/>
                <a:gd name="connsiteX2" fmla="*/ 802825 w 938893"/>
                <a:gd name="connsiteY2" fmla="*/ 204104 h 898071"/>
                <a:gd name="connsiteX3" fmla="*/ 122462 w 938893"/>
                <a:gd name="connsiteY3" fmla="*/ 176890 h 898071"/>
                <a:gd name="connsiteX4" fmla="*/ 136068 w 938893"/>
                <a:gd name="connsiteY4" fmla="*/ 829447 h 898071"/>
                <a:gd name="connsiteX5" fmla="*/ 0 w 938893"/>
                <a:gd name="connsiteY5" fmla="*/ 898071 h 898071"/>
                <a:gd name="connsiteX6" fmla="*/ 0 w 938893"/>
                <a:gd name="connsiteY6" fmla="*/ 0 h 898071"/>
                <a:gd name="connsiteX0" fmla="*/ 0 w 938893"/>
                <a:gd name="connsiteY0" fmla="*/ 0 h 898071"/>
                <a:gd name="connsiteX1" fmla="*/ 938893 w 938893"/>
                <a:gd name="connsiteY1" fmla="*/ 0 h 898071"/>
                <a:gd name="connsiteX2" fmla="*/ 928410 w 938893"/>
                <a:gd name="connsiteY2" fmla="*/ 173822 h 898071"/>
                <a:gd name="connsiteX3" fmla="*/ 122462 w 938893"/>
                <a:gd name="connsiteY3" fmla="*/ 176890 h 898071"/>
                <a:gd name="connsiteX4" fmla="*/ 136068 w 938893"/>
                <a:gd name="connsiteY4" fmla="*/ 829447 h 898071"/>
                <a:gd name="connsiteX5" fmla="*/ 0 w 938893"/>
                <a:gd name="connsiteY5" fmla="*/ 898071 h 898071"/>
                <a:gd name="connsiteX6" fmla="*/ 0 w 938893"/>
                <a:gd name="connsiteY6" fmla="*/ 0 h 898071"/>
                <a:gd name="connsiteX0" fmla="*/ 0 w 938893"/>
                <a:gd name="connsiteY0" fmla="*/ 0 h 898071"/>
                <a:gd name="connsiteX1" fmla="*/ 938893 w 938893"/>
                <a:gd name="connsiteY1" fmla="*/ 0 h 898071"/>
                <a:gd name="connsiteX2" fmla="*/ 928410 w 938893"/>
                <a:gd name="connsiteY2" fmla="*/ 173822 h 898071"/>
                <a:gd name="connsiteX3" fmla="*/ 122462 w 938893"/>
                <a:gd name="connsiteY3" fmla="*/ 176890 h 898071"/>
                <a:gd name="connsiteX4" fmla="*/ 136068 w 938893"/>
                <a:gd name="connsiteY4" fmla="*/ 896067 h 898071"/>
                <a:gd name="connsiteX5" fmla="*/ 0 w 938893"/>
                <a:gd name="connsiteY5" fmla="*/ 898071 h 898071"/>
                <a:gd name="connsiteX6" fmla="*/ 0 w 938893"/>
                <a:gd name="connsiteY6" fmla="*/ 0 h 898071"/>
                <a:gd name="connsiteX0" fmla="*/ 0 w 938893"/>
                <a:gd name="connsiteY0" fmla="*/ 0 h 898071"/>
                <a:gd name="connsiteX1" fmla="*/ 938893 w 938893"/>
                <a:gd name="connsiteY1" fmla="*/ 0 h 898071"/>
                <a:gd name="connsiteX2" fmla="*/ 928410 w 938893"/>
                <a:gd name="connsiteY2" fmla="*/ 173822 h 898071"/>
                <a:gd name="connsiteX3" fmla="*/ 122462 w 938893"/>
                <a:gd name="connsiteY3" fmla="*/ 176890 h 898071"/>
                <a:gd name="connsiteX4" fmla="*/ 112147 w 938893"/>
                <a:gd name="connsiteY4" fmla="*/ 896067 h 898071"/>
                <a:gd name="connsiteX5" fmla="*/ 0 w 938893"/>
                <a:gd name="connsiteY5" fmla="*/ 898071 h 898071"/>
                <a:gd name="connsiteX6" fmla="*/ 0 w 938893"/>
                <a:gd name="connsiteY6" fmla="*/ 0 h 898071"/>
                <a:gd name="connsiteX0" fmla="*/ 0 w 938893"/>
                <a:gd name="connsiteY0" fmla="*/ 0 h 898071"/>
                <a:gd name="connsiteX1" fmla="*/ 938893 w 938893"/>
                <a:gd name="connsiteY1" fmla="*/ 0 h 898071"/>
                <a:gd name="connsiteX2" fmla="*/ 916450 w 938893"/>
                <a:gd name="connsiteY2" fmla="*/ 137483 h 898071"/>
                <a:gd name="connsiteX3" fmla="*/ 122462 w 938893"/>
                <a:gd name="connsiteY3" fmla="*/ 176890 h 898071"/>
                <a:gd name="connsiteX4" fmla="*/ 112147 w 938893"/>
                <a:gd name="connsiteY4" fmla="*/ 896067 h 898071"/>
                <a:gd name="connsiteX5" fmla="*/ 0 w 938893"/>
                <a:gd name="connsiteY5" fmla="*/ 898071 h 898071"/>
                <a:gd name="connsiteX6" fmla="*/ 0 w 938893"/>
                <a:gd name="connsiteY6" fmla="*/ 0 h 898071"/>
                <a:gd name="connsiteX0" fmla="*/ 0 w 938893"/>
                <a:gd name="connsiteY0" fmla="*/ 0 h 898071"/>
                <a:gd name="connsiteX1" fmla="*/ 938893 w 938893"/>
                <a:gd name="connsiteY1" fmla="*/ 0 h 898071"/>
                <a:gd name="connsiteX2" fmla="*/ 916450 w 938893"/>
                <a:gd name="connsiteY2" fmla="*/ 137483 h 898071"/>
                <a:gd name="connsiteX3" fmla="*/ 128442 w 938893"/>
                <a:gd name="connsiteY3" fmla="*/ 122383 h 898071"/>
                <a:gd name="connsiteX4" fmla="*/ 112147 w 938893"/>
                <a:gd name="connsiteY4" fmla="*/ 896067 h 898071"/>
                <a:gd name="connsiteX5" fmla="*/ 0 w 938893"/>
                <a:gd name="connsiteY5" fmla="*/ 898071 h 898071"/>
                <a:gd name="connsiteX6" fmla="*/ 0 w 938893"/>
                <a:gd name="connsiteY6" fmla="*/ 0 h 898071"/>
                <a:gd name="connsiteX0" fmla="*/ 0 w 938893"/>
                <a:gd name="connsiteY0" fmla="*/ 0 h 898071"/>
                <a:gd name="connsiteX1" fmla="*/ 938893 w 938893"/>
                <a:gd name="connsiteY1" fmla="*/ 0 h 898071"/>
                <a:gd name="connsiteX2" fmla="*/ 916450 w 938893"/>
                <a:gd name="connsiteY2" fmla="*/ 137483 h 898071"/>
                <a:gd name="connsiteX3" fmla="*/ 122462 w 938893"/>
                <a:gd name="connsiteY3" fmla="*/ 128439 h 898071"/>
                <a:gd name="connsiteX4" fmla="*/ 112147 w 938893"/>
                <a:gd name="connsiteY4" fmla="*/ 896067 h 898071"/>
                <a:gd name="connsiteX5" fmla="*/ 0 w 938893"/>
                <a:gd name="connsiteY5" fmla="*/ 898071 h 898071"/>
                <a:gd name="connsiteX6" fmla="*/ 0 w 938893"/>
                <a:gd name="connsiteY6" fmla="*/ 0 h 89807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938893" h="898071">
                  <a:moveTo>
                    <a:pt x="0" y="0"/>
                  </a:moveTo>
                  <a:lnTo>
                    <a:pt x="938893" y="0"/>
                  </a:lnTo>
                  <a:lnTo>
                    <a:pt x="916450" y="137483"/>
                  </a:lnTo>
                  <a:lnTo>
                    <a:pt x="122462" y="128439"/>
                  </a:lnTo>
                  <a:lnTo>
                    <a:pt x="112147" y="896067"/>
                  </a:lnTo>
                  <a:lnTo>
                    <a:pt x="0" y="898071"/>
                  </a:lnTo>
                  <a:lnTo>
                    <a:pt x="0" y="0"/>
                  </a:lnTo>
                  <a:close/>
                </a:path>
              </a:pathLst>
            </a:custGeom>
            <a:grp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1" anchor="t"/>
            <a:lstStyle/>
            <a:p>
              <a:pPr algn="l"/>
              <a:endParaRPr lang="ar-EG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6" name="Half Frame 3">
              <a:extLst>
                <a:ext uri="{FF2B5EF4-FFF2-40B4-BE49-F238E27FC236}">
                  <a16:creationId xmlns:a16="http://schemas.microsoft.com/office/drawing/2014/main" id="{D8EE7062-086B-4301-8D59-E8673AEB84F9}"/>
                </a:ext>
              </a:extLst>
            </xdr:cNvPr>
            <xdr:cNvSpPr/>
          </xdr:nvSpPr>
          <xdr:spPr>
            <a:xfrm flipH="1">
              <a:off x="9752919" y="589360"/>
              <a:ext cx="825783" cy="882763"/>
            </a:xfrm>
            <a:custGeom>
              <a:avLst/>
              <a:gdLst>
                <a:gd name="connsiteX0" fmla="*/ 0 w 938893"/>
                <a:gd name="connsiteY0" fmla="*/ 0 h 898071"/>
                <a:gd name="connsiteX1" fmla="*/ 938893 w 938893"/>
                <a:gd name="connsiteY1" fmla="*/ 0 h 898071"/>
                <a:gd name="connsiteX2" fmla="*/ 625932 w 938893"/>
                <a:gd name="connsiteY2" fmla="*/ 299354 h 898071"/>
                <a:gd name="connsiteX3" fmla="*/ 299354 w 938893"/>
                <a:gd name="connsiteY3" fmla="*/ 299354 h 898071"/>
                <a:gd name="connsiteX4" fmla="*/ 299354 w 938893"/>
                <a:gd name="connsiteY4" fmla="*/ 611733 h 898071"/>
                <a:gd name="connsiteX5" fmla="*/ 0 w 938893"/>
                <a:gd name="connsiteY5" fmla="*/ 898071 h 898071"/>
                <a:gd name="connsiteX6" fmla="*/ 0 w 938893"/>
                <a:gd name="connsiteY6" fmla="*/ 0 h 898071"/>
                <a:gd name="connsiteX0" fmla="*/ 0 w 938893"/>
                <a:gd name="connsiteY0" fmla="*/ 0 h 898071"/>
                <a:gd name="connsiteX1" fmla="*/ 938893 w 938893"/>
                <a:gd name="connsiteY1" fmla="*/ 0 h 898071"/>
                <a:gd name="connsiteX2" fmla="*/ 625932 w 938893"/>
                <a:gd name="connsiteY2" fmla="*/ 299354 h 898071"/>
                <a:gd name="connsiteX3" fmla="*/ 122462 w 938893"/>
                <a:gd name="connsiteY3" fmla="*/ 176890 h 898071"/>
                <a:gd name="connsiteX4" fmla="*/ 299354 w 938893"/>
                <a:gd name="connsiteY4" fmla="*/ 611733 h 898071"/>
                <a:gd name="connsiteX5" fmla="*/ 0 w 938893"/>
                <a:gd name="connsiteY5" fmla="*/ 898071 h 898071"/>
                <a:gd name="connsiteX6" fmla="*/ 0 w 938893"/>
                <a:gd name="connsiteY6" fmla="*/ 0 h 898071"/>
                <a:gd name="connsiteX0" fmla="*/ 0 w 938893"/>
                <a:gd name="connsiteY0" fmla="*/ 0 h 898071"/>
                <a:gd name="connsiteX1" fmla="*/ 938893 w 938893"/>
                <a:gd name="connsiteY1" fmla="*/ 0 h 898071"/>
                <a:gd name="connsiteX2" fmla="*/ 802825 w 938893"/>
                <a:gd name="connsiteY2" fmla="*/ 204104 h 898071"/>
                <a:gd name="connsiteX3" fmla="*/ 122462 w 938893"/>
                <a:gd name="connsiteY3" fmla="*/ 176890 h 898071"/>
                <a:gd name="connsiteX4" fmla="*/ 299354 w 938893"/>
                <a:gd name="connsiteY4" fmla="*/ 611733 h 898071"/>
                <a:gd name="connsiteX5" fmla="*/ 0 w 938893"/>
                <a:gd name="connsiteY5" fmla="*/ 898071 h 898071"/>
                <a:gd name="connsiteX6" fmla="*/ 0 w 938893"/>
                <a:gd name="connsiteY6" fmla="*/ 0 h 898071"/>
                <a:gd name="connsiteX0" fmla="*/ 0 w 938893"/>
                <a:gd name="connsiteY0" fmla="*/ 0 h 898071"/>
                <a:gd name="connsiteX1" fmla="*/ 938893 w 938893"/>
                <a:gd name="connsiteY1" fmla="*/ 0 h 898071"/>
                <a:gd name="connsiteX2" fmla="*/ 802825 w 938893"/>
                <a:gd name="connsiteY2" fmla="*/ 204104 h 898071"/>
                <a:gd name="connsiteX3" fmla="*/ 122462 w 938893"/>
                <a:gd name="connsiteY3" fmla="*/ 176890 h 898071"/>
                <a:gd name="connsiteX4" fmla="*/ 136068 w 938893"/>
                <a:gd name="connsiteY4" fmla="*/ 829447 h 898071"/>
                <a:gd name="connsiteX5" fmla="*/ 0 w 938893"/>
                <a:gd name="connsiteY5" fmla="*/ 898071 h 898071"/>
                <a:gd name="connsiteX6" fmla="*/ 0 w 938893"/>
                <a:gd name="connsiteY6" fmla="*/ 0 h 898071"/>
                <a:gd name="connsiteX0" fmla="*/ 0 w 938893"/>
                <a:gd name="connsiteY0" fmla="*/ 0 h 898071"/>
                <a:gd name="connsiteX1" fmla="*/ 938893 w 938893"/>
                <a:gd name="connsiteY1" fmla="*/ 0 h 898071"/>
                <a:gd name="connsiteX2" fmla="*/ 928410 w 938893"/>
                <a:gd name="connsiteY2" fmla="*/ 173822 h 898071"/>
                <a:gd name="connsiteX3" fmla="*/ 122462 w 938893"/>
                <a:gd name="connsiteY3" fmla="*/ 176890 h 898071"/>
                <a:gd name="connsiteX4" fmla="*/ 136068 w 938893"/>
                <a:gd name="connsiteY4" fmla="*/ 829447 h 898071"/>
                <a:gd name="connsiteX5" fmla="*/ 0 w 938893"/>
                <a:gd name="connsiteY5" fmla="*/ 898071 h 898071"/>
                <a:gd name="connsiteX6" fmla="*/ 0 w 938893"/>
                <a:gd name="connsiteY6" fmla="*/ 0 h 898071"/>
                <a:gd name="connsiteX0" fmla="*/ 0 w 938893"/>
                <a:gd name="connsiteY0" fmla="*/ 0 h 898071"/>
                <a:gd name="connsiteX1" fmla="*/ 938893 w 938893"/>
                <a:gd name="connsiteY1" fmla="*/ 0 h 898071"/>
                <a:gd name="connsiteX2" fmla="*/ 928410 w 938893"/>
                <a:gd name="connsiteY2" fmla="*/ 173822 h 898071"/>
                <a:gd name="connsiteX3" fmla="*/ 122462 w 938893"/>
                <a:gd name="connsiteY3" fmla="*/ 176890 h 898071"/>
                <a:gd name="connsiteX4" fmla="*/ 136068 w 938893"/>
                <a:gd name="connsiteY4" fmla="*/ 896067 h 898071"/>
                <a:gd name="connsiteX5" fmla="*/ 0 w 938893"/>
                <a:gd name="connsiteY5" fmla="*/ 898071 h 898071"/>
                <a:gd name="connsiteX6" fmla="*/ 0 w 938893"/>
                <a:gd name="connsiteY6" fmla="*/ 0 h 898071"/>
                <a:gd name="connsiteX0" fmla="*/ 0 w 938893"/>
                <a:gd name="connsiteY0" fmla="*/ 0 h 898071"/>
                <a:gd name="connsiteX1" fmla="*/ 938893 w 938893"/>
                <a:gd name="connsiteY1" fmla="*/ 0 h 898071"/>
                <a:gd name="connsiteX2" fmla="*/ 928410 w 938893"/>
                <a:gd name="connsiteY2" fmla="*/ 173822 h 898071"/>
                <a:gd name="connsiteX3" fmla="*/ 122462 w 938893"/>
                <a:gd name="connsiteY3" fmla="*/ 176890 h 898071"/>
                <a:gd name="connsiteX4" fmla="*/ 112147 w 938893"/>
                <a:gd name="connsiteY4" fmla="*/ 896067 h 898071"/>
                <a:gd name="connsiteX5" fmla="*/ 0 w 938893"/>
                <a:gd name="connsiteY5" fmla="*/ 898071 h 898071"/>
                <a:gd name="connsiteX6" fmla="*/ 0 w 938893"/>
                <a:gd name="connsiteY6" fmla="*/ 0 h 898071"/>
                <a:gd name="connsiteX0" fmla="*/ 0 w 938893"/>
                <a:gd name="connsiteY0" fmla="*/ 0 h 898071"/>
                <a:gd name="connsiteX1" fmla="*/ 938893 w 938893"/>
                <a:gd name="connsiteY1" fmla="*/ 0 h 898071"/>
                <a:gd name="connsiteX2" fmla="*/ 916450 w 938893"/>
                <a:gd name="connsiteY2" fmla="*/ 137483 h 898071"/>
                <a:gd name="connsiteX3" fmla="*/ 122462 w 938893"/>
                <a:gd name="connsiteY3" fmla="*/ 176890 h 898071"/>
                <a:gd name="connsiteX4" fmla="*/ 112147 w 938893"/>
                <a:gd name="connsiteY4" fmla="*/ 896067 h 898071"/>
                <a:gd name="connsiteX5" fmla="*/ 0 w 938893"/>
                <a:gd name="connsiteY5" fmla="*/ 898071 h 898071"/>
                <a:gd name="connsiteX6" fmla="*/ 0 w 938893"/>
                <a:gd name="connsiteY6" fmla="*/ 0 h 898071"/>
                <a:gd name="connsiteX0" fmla="*/ 0 w 938893"/>
                <a:gd name="connsiteY0" fmla="*/ 0 h 898071"/>
                <a:gd name="connsiteX1" fmla="*/ 938893 w 938893"/>
                <a:gd name="connsiteY1" fmla="*/ 0 h 898071"/>
                <a:gd name="connsiteX2" fmla="*/ 916450 w 938893"/>
                <a:gd name="connsiteY2" fmla="*/ 137483 h 898071"/>
                <a:gd name="connsiteX3" fmla="*/ 128442 w 938893"/>
                <a:gd name="connsiteY3" fmla="*/ 122383 h 898071"/>
                <a:gd name="connsiteX4" fmla="*/ 112147 w 938893"/>
                <a:gd name="connsiteY4" fmla="*/ 896067 h 898071"/>
                <a:gd name="connsiteX5" fmla="*/ 0 w 938893"/>
                <a:gd name="connsiteY5" fmla="*/ 898071 h 898071"/>
                <a:gd name="connsiteX6" fmla="*/ 0 w 938893"/>
                <a:gd name="connsiteY6" fmla="*/ 0 h 898071"/>
                <a:gd name="connsiteX0" fmla="*/ 0 w 938893"/>
                <a:gd name="connsiteY0" fmla="*/ 0 h 898071"/>
                <a:gd name="connsiteX1" fmla="*/ 938893 w 938893"/>
                <a:gd name="connsiteY1" fmla="*/ 0 h 898071"/>
                <a:gd name="connsiteX2" fmla="*/ 916450 w 938893"/>
                <a:gd name="connsiteY2" fmla="*/ 137483 h 898071"/>
                <a:gd name="connsiteX3" fmla="*/ 122462 w 938893"/>
                <a:gd name="connsiteY3" fmla="*/ 128439 h 898071"/>
                <a:gd name="connsiteX4" fmla="*/ 112147 w 938893"/>
                <a:gd name="connsiteY4" fmla="*/ 896067 h 898071"/>
                <a:gd name="connsiteX5" fmla="*/ 0 w 938893"/>
                <a:gd name="connsiteY5" fmla="*/ 898071 h 898071"/>
                <a:gd name="connsiteX6" fmla="*/ 0 w 938893"/>
                <a:gd name="connsiteY6" fmla="*/ 0 h 89807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938893" h="898071">
                  <a:moveTo>
                    <a:pt x="0" y="0"/>
                  </a:moveTo>
                  <a:lnTo>
                    <a:pt x="938893" y="0"/>
                  </a:lnTo>
                  <a:lnTo>
                    <a:pt x="916450" y="137483"/>
                  </a:lnTo>
                  <a:lnTo>
                    <a:pt x="122462" y="128439"/>
                  </a:lnTo>
                  <a:lnTo>
                    <a:pt x="112147" y="896067"/>
                  </a:lnTo>
                  <a:lnTo>
                    <a:pt x="0" y="898071"/>
                  </a:lnTo>
                  <a:lnTo>
                    <a:pt x="0" y="0"/>
                  </a:lnTo>
                  <a:close/>
                </a:path>
              </a:pathLst>
            </a:custGeom>
            <a:grp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1" anchor="t"/>
            <a:lstStyle/>
            <a:p>
              <a:pPr algn="l"/>
              <a:endParaRPr lang="ar-EG" sz="1100">
                <a:solidFill>
                  <a:schemeClr val="tx1"/>
                </a:solidFill>
              </a:endParaRPr>
            </a:p>
          </xdr:txBody>
        </xdr: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C65E24B9-1518-4211-BC5A-D1ACACE060C8}"/>
              </a:ext>
            </a:extLst>
          </xdr:cNvPr>
          <xdr:cNvGrpSpPr/>
        </xdr:nvGrpSpPr>
        <xdr:grpSpPr>
          <a:xfrm rot="10800000">
            <a:off x="8463893" y="1573726"/>
            <a:ext cx="2110606" cy="878211"/>
            <a:chOff x="8467045" y="589360"/>
            <a:chExt cx="2111657" cy="882763"/>
          </a:xfrm>
          <a:grpFill/>
        </xdr:grpSpPr>
        <xdr:sp macro="" textlink="">
          <xdr:nvSpPr>
            <xdr:cNvPr id="9" name="Half Frame 3">
              <a:extLst>
                <a:ext uri="{FF2B5EF4-FFF2-40B4-BE49-F238E27FC236}">
                  <a16:creationId xmlns:a16="http://schemas.microsoft.com/office/drawing/2014/main" id="{5E2BA27A-8CD9-4C45-B561-919F849E5F0C}"/>
                </a:ext>
              </a:extLst>
            </xdr:cNvPr>
            <xdr:cNvSpPr/>
          </xdr:nvSpPr>
          <xdr:spPr>
            <a:xfrm>
              <a:off x="8467045" y="589360"/>
              <a:ext cx="934640" cy="882763"/>
            </a:xfrm>
            <a:custGeom>
              <a:avLst/>
              <a:gdLst>
                <a:gd name="connsiteX0" fmla="*/ 0 w 938893"/>
                <a:gd name="connsiteY0" fmla="*/ 0 h 898071"/>
                <a:gd name="connsiteX1" fmla="*/ 938893 w 938893"/>
                <a:gd name="connsiteY1" fmla="*/ 0 h 898071"/>
                <a:gd name="connsiteX2" fmla="*/ 625932 w 938893"/>
                <a:gd name="connsiteY2" fmla="*/ 299354 h 898071"/>
                <a:gd name="connsiteX3" fmla="*/ 299354 w 938893"/>
                <a:gd name="connsiteY3" fmla="*/ 299354 h 898071"/>
                <a:gd name="connsiteX4" fmla="*/ 299354 w 938893"/>
                <a:gd name="connsiteY4" fmla="*/ 611733 h 898071"/>
                <a:gd name="connsiteX5" fmla="*/ 0 w 938893"/>
                <a:gd name="connsiteY5" fmla="*/ 898071 h 898071"/>
                <a:gd name="connsiteX6" fmla="*/ 0 w 938893"/>
                <a:gd name="connsiteY6" fmla="*/ 0 h 898071"/>
                <a:gd name="connsiteX0" fmla="*/ 0 w 938893"/>
                <a:gd name="connsiteY0" fmla="*/ 0 h 898071"/>
                <a:gd name="connsiteX1" fmla="*/ 938893 w 938893"/>
                <a:gd name="connsiteY1" fmla="*/ 0 h 898071"/>
                <a:gd name="connsiteX2" fmla="*/ 625932 w 938893"/>
                <a:gd name="connsiteY2" fmla="*/ 299354 h 898071"/>
                <a:gd name="connsiteX3" fmla="*/ 122462 w 938893"/>
                <a:gd name="connsiteY3" fmla="*/ 176890 h 898071"/>
                <a:gd name="connsiteX4" fmla="*/ 299354 w 938893"/>
                <a:gd name="connsiteY4" fmla="*/ 611733 h 898071"/>
                <a:gd name="connsiteX5" fmla="*/ 0 w 938893"/>
                <a:gd name="connsiteY5" fmla="*/ 898071 h 898071"/>
                <a:gd name="connsiteX6" fmla="*/ 0 w 938893"/>
                <a:gd name="connsiteY6" fmla="*/ 0 h 898071"/>
                <a:gd name="connsiteX0" fmla="*/ 0 w 938893"/>
                <a:gd name="connsiteY0" fmla="*/ 0 h 898071"/>
                <a:gd name="connsiteX1" fmla="*/ 938893 w 938893"/>
                <a:gd name="connsiteY1" fmla="*/ 0 h 898071"/>
                <a:gd name="connsiteX2" fmla="*/ 802825 w 938893"/>
                <a:gd name="connsiteY2" fmla="*/ 204104 h 898071"/>
                <a:gd name="connsiteX3" fmla="*/ 122462 w 938893"/>
                <a:gd name="connsiteY3" fmla="*/ 176890 h 898071"/>
                <a:gd name="connsiteX4" fmla="*/ 299354 w 938893"/>
                <a:gd name="connsiteY4" fmla="*/ 611733 h 898071"/>
                <a:gd name="connsiteX5" fmla="*/ 0 w 938893"/>
                <a:gd name="connsiteY5" fmla="*/ 898071 h 898071"/>
                <a:gd name="connsiteX6" fmla="*/ 0 w 938893"/>
                <a:gd name="connsiteY6" fmla="*/ 0 h 898071"/>
                <a:gd name="connsiteX0" fmla="*/ 0 w 938893"/>
                <a:gd name="connsiteY0" fmla="*/ 0 h 898071"/>
                <a:gd name="connsiteX1" fmla="*/ 938893 w 938893"/>
                <a:gd name="connsiteY1" fmla="*/ 0 h 898071"/>
                <a:gd name="connsiteX2" fmla="*/ 802825 w 938893"/>
                <a:gd name="connsiteY2" fmla="*/ 204104 h 898071"/>
                <a:gd name="connsiteX3" fmla="*/ 122462 w 938893"/>
                <a:gd name="connsiteY3" fmla="*/ 176890 h 898071"/>
                <a:gd name="connsiteX4" fmla="*/ 136068 w 938893"/>
                <a:gd name="connsiteY4" fmla="*/ 829447 h 898071"/>
                <a:gd name="connsiteX5" fmla="*/ 0 w 938893"/>
                <a:gd name="connsiteY5" fmla="*/ 898071 h 898071"/>
                <a:gd name="connsiteX6" fmla="*/ 0 w 938893"/>
                <a:gd name="connsiteY6" fmla="*/ 0 h 898071"/>
                <a:gd name="connsiteX0" fmla="*/ 0 w 938893"/>
                <a:gd name="connsiteY0" fmla="*/ 0 h 898071"/>
                <a:gd name="connsiteX1" fmla="*/ 938893 w 938893"/>
                <a:gd name="connsiteY1" fmla="*/ 0 h 898071"/>
                <a:gd name="connsiteX2" fmla="*/ 928410 w 938893"/>
                <a:gd name="connsiteY2" fmla="*/ 173822 h 898071"/>
                <a:gd name="connsiteX3" fmla="*/ 122462 w 938893"/>
                <a:gd name="connsiteY3" fmla="*/ 176890 h 898071"/>
                <a:gd name="connsiteX4" fmla="*/ 136068 w 938893"/>
                <a:gd name="connsiteY4" fmla="*/ 829447 h 898071"/>
                <a:gd name="connsiteX5" fmla="*/ 0 w 938893"/>
                <a:gd name="connsiteY5" fmla="*/ 898071 h 898071"/>
                <a:gd name="connsiteX6" fmla="*/ 0 w 938893"/>
                <a:gd name="connsiteY6" fmla="*/ 0 h 898071"/>
                <a:gd name="connsiteX0" fmla="*/ 0 w 938893"/>
                <a:gd name="connsiteY0" fmla="*/ 0 h 898071"/>
                <a:gd name="connsiteX1" fmla="*/ 938893 w 938893"/>
                <a:gd name="connsiteY1" fmla="*/ 0 h 898071"/>
                <a:gd name="connsiteX2" fmla="*/ 928410 w 938893"/>
                <a:gd name="connsiteY2" fmla="*/ 173822 h 898071"/>
                <a:gd name="connsiteX3" fmla="*/ 122462 w 938893"/>
                <a:gd name="connsiteY3" fmla="*/ 176890 h 898071"/>
                <a:gd name="connsiteX4" fmla="*/ 136068 w 938893"/>
                <a:gd name="connsiteY4" fmla="*/ 896067 h 898071"/>
                <a:gd name="connsiteX5" fmla="*/ 0 w 938893"/>
                <a:gd name="connsiteY5" fmla="*/ 898071 h 898071"/>
                <a:gd name="connsiteX6" fmla="*/ 0 w 938893"/>
                <a:gd name="connsiteY6" fmla="*/ 0 h 898071"/>
                <a:gd name="connsiteX0" fmla="*/ 0 w 938893"/>
                <a:gd name="connsiteY0" fmla="*/ 0 h 898071"/>
                <a:gd name="connsiteX1" fmla="*/ 938893 w 938893"/>
                <a:gd name="connsiteY1" fmla="*/ 0 h 898071"/>
                <a:gd name="connsiteX2" fmla="*/ 928410 w 938893"/>
                <a:gd name="connsiteY2" fmla="*/ 173822 h 898071"/>
                <a:gd name="connsiteX3" fmla="*/ 122462 w 938893"/>
                <a:gd name="connsiteY3" fmla="*/ 176890 h 898071"/>
                <a:gd name="connsiteX4" fmla="*/ 112147 w 938893"/>
                <a:gd name="connsiteY4" fmla="*/ 896067 h 898071"/>
                <a:gd name="connsiteX5" fmla="*/ 0 w 938893"/>
                <a:gd name="connsiteY5" fmla="*/ 898071 h 898071"/>
                <a:gd name="connsiteX6" fmla="*/ 0 w 938893"/>
                <a:gd name="connsiteY6" fmla="*/ 0 h 898071"/>
                <a:gd name="connsiteX0" fmla="*/ 0 w 938893"/>
                <a:gd name="connsiteY0" fmla="*/ 0 h 898071"/>
                <a:gd name="connsiteX1" fmla="*/ 938893 w 938893"/>
                <a:gd name="connsiteY1" fmla="*/ 0 h 898071"/>
                <a:gd name="connsiteX2" fmla="*/ 916450 w 938893"/>
                <a:gd name="connsiteY2" fmla="*/ 137483 h 898071"/>
                <a:gd name="connsiteX3" fmla="*/ 122462 w 938893"/>
                <a:gd name="connsiteY3" fmla="*/ 176890 h 898071"/>
                <a:gd name="connsiteX4" fmla="*/ 112147 w 938893"/>
                <a:gd name="connsiteY4" fmla="*/ 896067 h 898071"/>
                <a:gd name="connsiteX5" fmla="*/ 0 w 938893"/>
                <a:gd name="connsiteY5" fmla="*/ 898071 h 898071"/>
                <a:gd name="connsiteX6" fmla="*/ 0 w 938893"/>
                <a:gd name="connsiteY6" fmla="*/ 0 h 898071"/>
                <a:gd name="connsiteX0" fmla="*/ 0 w 938893"/>
                <a:gd name="connsiteY0" fmla="*/ 0 h 898071"/>
                <a:gd name="connsiteX1" fmla="*/ 938893 w 938893"/>
                <a:gd name="connsiteY1" fmla="*/ 0 h 898071"/>
                <a:gd name="connsiteX2" fmla="*/ 916450 w 938893"/>
                <a:gd name="connsiteY2" fmla="*/ 137483 h 898071"/>
                <a:gd name="connsiteX3" fmla="*/ 128442 w 938893"/>
                <a:gd name="connsiteY3" fmla="*/ 122383 h 898071"/>
                <a:gd name="connsiteX4" fmla="*/ 112147 w 938893"/>
                <a:gd name="connsiteY4" fmla="*/ 896067 h 898071"/>
                <a:gd name="connsiteX5" fmla="*/ 0 w 938893"/>
                <a:gd name="connsiteY5" fmla="*/ 898071 h 898071"/>
                <a:gd name="connsiteX6" fmla="*/ 0 w 938893"/>
                <a:gd name="connsiteY6" fmla="*/ 0 h 898071"/>
                <a:gd name="connsiteX0" fmla="*/ 0 w 938893"/>
                <a:gd name="connsiteY0" fmla="*/ 0 h 898071"/>
                <a:gd name="connsiteX1" fmla="*/ 938893 w 938893"/>
                <a:gd name="connsiteY1" fmla="*/ 0 h 898071"/>
                <a:gd name="connsiteX2" fmla="*/ 916450 w 938893"/>
                <a:gd name="connsiteY2" fmla="*/ 137483 h 898071"/>
                <a:gd name="connsiteX3" fmla="*/ 122462 w 938893"/>
                <a:gd name="connsiteY3" fmla="*/ 128439 h 898071"/>
                <a:gd name="connsiteX4" fmla="*/ 112147 w 938893"/>
                <a:gd name="connsiteY4" fmla="*/ 896067 h 898071"/>
                <a:gd name="connsiteX5" fmla="*/ 0 w 938893"/>
                <a:gd name="connsiteY5" fmla="*/ 898071 h 898071"/>
                <a:gd name="connsiteX6" fmla="*/ 0 w 938893"/>
                <a:gd name="connsiteY6" fmla="*/ 0 h 89807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938893" h="898071">
                  <a:moveTo>
                    <a:pt x="0" y="0"/>
                  </a:moveTo>
                  <a:lnTo>
                    <a:pt x="938893" y="0"/>
                  </a:lnTo>
                  <a:lnTo>
                    <a:pt x="916450" y="137483"/>
                  </a:lnTo>
                  <a:lnTo>
                    <a:pt x="122462" y="128439"/>
                  </a:lnTo>
                  <a:lnTo>
                    <a:pt x="112147" y="896067"/>
                  </a:lnTo>
                  <a:lnTo>
                    <a:pt x="0" y="898071"/>
                  </a:lnTo>
                  <a:lnTo>
                    <a:pt x="0" y="0"/>
                  </a:lnTo>
                  <a:close/>
                </a:path>
              </a:pathLst>
            </a:custGeom>
            <a:grp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1" anchor="t"/>
            <a:lstStyle/>
            <a:p>
              <a:pPr algn="l"/>
              <a:endParaRPr lang="ar-EG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0" name="Half Frame 3">
              <a:extLst>
                <a:ext uri="{FF2B5EF4-FFF2-40B4-BE49-F238E27FC236}">
                  <a16:creationId xmlns:a16="http://schemas.microsoft.com/office/drawing/2014/main" id="{77E8604D-937C-402F-9FF7-B5A786F5703E}"/>
                </a:ext>
              </a:extLst>
            </xdr:cNvPr>
            <xdr:cNvSpPr/>
          </xdr:nvSpPr>
          <xdr:spPr>
            <a:xfrm flipH="1">
              <a:off x="9752919" y="589360"/>
              <a:ext cx="825783" cy="882763"/>
            </a:xfrm>
            <a:custGeom>
              <a:avLst/>
              <a:gdLst>
                <a:gd name="connsiteX0" fmla="*/ 0 w 938893"/>
                <a:gd name="connsiteY0" fmla="*/ 0 h 898071"/>
                <a:gd name="connsiteX1" fmla="*/ 938893 w 938893"/>
                <a:gd name="connsiteY1" fmla="*/ 0 h 898071"/>
                <a:gd name="connsiteX2" fmla="*/ 625932 w 938893"/>
                <a:gd name="connsiteY2" fmla="*/ 299354 h 898071"/>
                <a:gd name="connsiteX3" fmla="*/ 299354 w 938893"/>
                <a:gd name="connsiteY3" fmla="*/ 299354 h 898071"/>
                <a:gd name="connsiteX4" fmla="*/ 299354 w 938893"/>
                <a:gd name="connsiteY4" fmla="*/ 611733 h 898071"/>
                <a:gd name="connsiteX5" fmla="*/ 0 w 938893"/>
                <a:gd name="connsiteY5" fmla="*/ 898071 h 898071"/>
                <a:gd name="connsiteX6" fmla="*/ 0 w 938893"/>
                <a:gd name="connsiteY6" fmla="*/ 0 h 898071"/>
                <a:gd name="connsiteX0" fmla="*/ 0 w 938893"/>
                <a:gd name="connsiteY0" fmla="*/ 0 h 898071"/>
                <a:gd name="connsiteX1" fmla="*/ 938893 w 938893"/>
                <a:gd name="connsiteY1" fmla="*/ 0 h 898071"/>
                <a:gd name="connsiteX2" fmla="*/ 625932 w 938893"/>
                <a:gd name="connsiteY2" fmla="*/ 299354 h 898071"/>
                <a:gd name="connsiteX3" fmla="*/ 122462 w 938893"/>
                <a:gd name="connsiteY3" fmla="*/ 176890 h 898071"/>
                <a:gd name="connsiteX4" fmla="*/ 299354 w 938893"/>
                <a:gd name="connsiteY4" fmla="*/ 611733 h 898071"/>
                <a:gd name="connsiteX5" fmla="*/ 0 w 938893"/>
                <a:gd name="connsiteY5" fmla="*/ 898071 h 898071"/>
                <a:gd name="connsiteX6" fmla="*/ 0 w 938893"/>
                <a:gd name="connsiteY6" fmla="*/ 0 h 898071"/>
                <a:gd name="connsiteX0" fmla="*/ 0 w 938893"/>
                <a:gd name="connsiteY0" fmla="*/ 0 h 898071"/>
                <a:gd name="connsiteX1" fmla="*/ 938893 w 938893"/>
                <a:gd name="connsiteY1" fmla="*/ 0 h 898071"/>
                <a:gd name="connsiteX2" fmla="*/ 802825 w 938893"/>
                <a:gd name="connsiteY2" fmla="*/ 204104 h 898071"/>
                <a:gd name="connsiteX3" fmla="*/ 122462 w 938893"/>
                <a:gd name="connsiteY3" fmla="*/ 176890 h 898071"/>
                <a:gd name="connsiteX4" fmla="*/ 299354 w 938893"/>
                <a:gd name="connsiteY4" fmla="*/ 611733 h 898071"/>
                <a:gd name="connsiteX5" fmla="*/ 0 w 938893"/>
                <a:gd name="connsiteY5" fmla="*/ 898071 h 898071"/>
                <a:gd name="connsiteX6" fmla="*/ 0 w 938893"/>
                <a:gd name="connsiteY6" fmla="*/ 0 h 898071"/>
                <a:gd name="connsiteX0" fmla="*/ 0 w 938893"/>
                <a:gd name="connsiteY0" fmla="*/ 0 h 898071"/>
                <a:gd name="connsiteX1" fmla="*/ 938893 w 938893"/>
                <a:gd name="connsiteY1" fmla="*/ 0 h 898071"/>
                <a:gd name="connsiteX2" fmla="*/ 802825 w 938893"/>
                <a:gd name="connsiteY2" fmla="*/ 204104 h 898071"/>
                <a:gd name="connsiteX3" fmla="*/ 122462 w 938893"/>
                <a:gd name="connsiteY3" fmla="*/ 176890 h 898071"/>
                <a:gd name="connsiteX4" fmla="*/ 136068 w 938893"/>
                <a:gd name="connsiteY4" fmla="*/ 829447 h 898071"/>
                <a:gd name="connsiteX5" fmla="*/ 0 w 938893"/>
                <a:gd name="connsiteY5" fmla="*/ 898071 h 898071"/>
                <a:gd name="connsiteX6" fmla="*/ 0 w 938893"/>
                <a:gd name="connsiteY6" fmla="*/ 0 h 898071"/>
                <a:gd name="connsiteX0" fmla="*/ 0 w 938893"/>
                <a:gd name="connsiteY0" fmla="*/ 0 h 898071"/>
                <a:gd name="connsiteX1" fmla="*/ 938893 w 938893"/>
                <a:gd name="connsiteY1" fmla="*/ 0 h 898071"/>
                <a:gd name="connsiteX2" fmla="*/ 928410 w 938893"/>
                <a:gd name="connsiteY2" fmla="*/ 173822 h 898071"/>
                <a:gd name="connsiteX3" fmla="*/ 122462 w 938893"/>
                <a:gd name="connsiteY3" fmla="*/ 176890 h 898071"/>
                <a:gd name="connsiteX4" fmla="*/ 136068 w 938893"/>
                <a:gd name="connsiteY4" fmla="*/ 829447 h 898071"/>
                <a:gd name="connsiteX5" fmla="*/ 0 w 938893"/>
                <a:gd name="connsiteY5" fmla="*/ 898071 h 898071"/>
                <a:gd name="connsiteX6" fmla="*/ 0 w 938893"/>
                <a:gd name="connsiteY6" fmla="*/ 0 h 898071"/>
                <a:gd name="connsiteX0" fmla="*/ 0 w 938893"/>
                <a:gd name="connsiteY0" fmla="*/ 0 h 898071"/>
                <a:gd name="connsiteX1" fmla="*/ 938893 w 938893"/>
                <a:gd name="connsiteY1" fmla="*/ 0 h 898071"/>
                <a:gd name="connsiteX2" fmla="*/ 928410 w 938893"/>
                <a:gd name="connsiteY2" fmla="*/ 173822 h 898071"/>
                <a:gd name="connsiteX3" fmla="*/ 122462 w 938893"/>
                <a:gd name="connsiteY3" fmla="*/ 176890 h 898071"/>
                <a:gd name="connsiteX4" fmla="*/ 136068 w 938893"/>
                <a:gd name="connsiteY4" fmla="*/ 896067 h 898071"/>
                <a:gd name="connsiteX5" fmla="*/ 0 w 938893"/>
                <a:gd name="connsiteY5" fmla="*/ 898071 h 898071"/>
                <a:gd name="connsiteX6" fmla="*/ 0 w 938893"/>
                <a:gd name="connsiteY6" fmla="*/ 0 h 898071"/>
                <a:gd name="connsiteX0" fmla="*/ 0 w 938893"/>
                <a:gd name="connsiteY0" fmla="*/ 0 h 898071"/>
                <a:gd name="connsiteX1" fmla="*/ 938893 w 938893"/>
                <a:gd name="connsiteY1" fmla="*/ 0 h 898071"/>
                <a:gd name="connsiteX2" fmla="*/ 928410 w 938893"/>
                <a:gd name="connsiteY2" fmla="*/ 173822 h 898071"/>
                <a:gd name="connsiteX3" fmla="*/ 122462 w 938893"/>
                <a:gd name="connsiteY3" fmla="*/ 176890 h 898071"/>
                <a:gd name="connsiteX4" fmla="*/ 112147 w 938893"/>
                <a:gd name="connsiteY4" fmla="*/ 896067 h 898071"/>
                <a:gd name="connsiteX5" fmla="*/ 0 w 938893"/>
                <a:gd name="connsiteY5" fmla="*/ 898071 h 898071"/>
                <a:gd name="connsiteX6" fmla="*/ 0 w 938893"/>
                <a:gd name="connsiteY6" fmla="*/ 0 h 898071"/>
                <a:gd name="connsiteX0" fmla="*/ 0 w 938893"/>
                <a:gd name="connsiteY0" fmla="*/ 0 h 898071"/>
                <a:gd name="connsiteX1" fmla="*/ 938893 w 938893"/>
                <a:gd name="connsiteY1" fmla="*/ 0 h 898071"/>
                <a:gd name="connsiteX2" fmla="*/ 916450 w 938893"/>
                <a:gd name="connsiteY2" fmla="*/ 137483 h 898071"/>
                <a:gd name="connsiteX3" fmla="*/ 122462 w 938893"/>
                <a:gd name="connsiteY3" fmla="*/ 176890 h 898071"/>
                <a:gd name="connsiteX4" fmla="*/ 112147 w 938893"/>
                <a:gd name="connsiteY4" fmla="*/ 896067 h 898071"/>
                <a:gd name="connsiteX5" fmla="*/ 0 w 938893"/>
                <a:gd name="connsiteY5" fmla="*/ 898071 h 898071"/>
                <a:gd name="connsiteX6" fmla="*/ 0 w 938893"/>
                <a:gd name="connsiteY6" fmla="*/ 0 h 898071"/>
                <a:gd name="connsiteX0" fmla="*/ 0 w 938893"/>
                <a:gd name="connsiteY0" fmla="*/ 0 h 898071"/>
                <a:gd name="connsiteX1" fmla="*/ 938893 w 938893"/>
                <a:gd name="connsiteY1" fmla="*/ 0 h 898071"/>
                <a:gd name="connsiteX2" fmla="*/ 916450 w 938893"/>
                <a:gd name="connsiteY2" fmla="*/ 137483 h 898071"/>
                <a:gd name="connsiteX3" fmla="*/ 128442 w 938893"/>
                <a:gd name="connsiteY3" fmla="*/ 122383 h 898071"/>
                <a:gd name="connsiteX4" fmla="*/ 112147 w 938893"/>
                <a:gd name="connsiteY4" fmla="*/ 896067 h 898071"/>
                <a:gd name="connsiteX5" fmla="*/ 0 w 938893"/>
                <a:gd name="connsiteY5" fmla="*/ 898071 h 898071"/>
                <a:gd name="connsiteX6" fmla="*/ 0 w 938893"/>
                <a:gd name="connsiteY6" fmla="*/ 0 h 898071"/>
                <a:gd name="connsiteX0" fmla="*/ 0 w 938893"/>
                <a:gd name="connsiteY0" fmla="*/ 0 h 898071"/>
                <a:gd name="connsiteX1" fmla="*/ 938893 w 938893"/>
                <a:gd name="connsiteY1" fmla="*/ 0 h 898071"/>
                <a:gd name="connsiteX2" fmla="*/ 916450 w 938893"/>
                <a:gd name="connsiteY2" fmla="*/ 137483 h 898071"/>
                <a:gd name="connsiteX3" fmla="*/ 122462 w 938893"/>
                <a:gd name="connsiteY3" fmla="*/ 128439 h 898071"/>
                <a:gd name="connsiteX4" fmla="*/ 112147 w 938893"/>
                <a:gd name="connsiteY4" fmla="*/ 896067 h 898071"/>
                <a:gd name="connsiteX5" fmla="*/ 0 w 938893"/>
                <a:gd name="connsiteY5" fmla="*/ 898071 h 898071"/>
                <a:gd name="connsiteX6" fmla="*/ 0 w 938893"/>
                <a:gd name="connsiteY6" fmla="*/ 0 h 89807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938893" h="898071">
                  <a:moveTo>
                    <a:pt x="0" y="0"/>
                  </a:moveTo>
                  <a:lnTo>
                    <a:pt x="938893" y="0"/>
                  </a:lnTo>
                  <a:lnTo>
                    <a:pt x="916450" y="137483"/>
                  </a:lnTo>
                  <a:lnTo>
                    <a:pt x="122462" y="128439"/>
                  </a:lnTo>
                  <a:lnTo>
                    <a:pt x="112147" y="896067"/>
                  </a:lnTo>
                  <a:lnTo>
                    <a:pt x="0" y="898071"/>
                  </a:lnTo>
                  <a:lnTo>
                    <a:pt x="0" y="0"/>
                  </a:lnTo>
                  <a:close/>
                </a:path>
              </a:pathLst>
            </a:custGeom>
            <a:grp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1" anchor="t"/>
            <a:lstStyle/>
            <a:p>
              <a:pPr algn="l"/>
              <a:endParaRPr lang="ar-EG" sz="11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9</xdr:col>
      <xdr:colOff>942893</xdr:colOff>
      <xdr:row>1</xdr:row>
      <xdr:rowOff>164088</xdr:rowOff>
    </xdr:from>
    <xdr:to>
      <xdr:col>10</xdr:col>
      <xdr:colOff>331371</xdr:colOff>
      <xdr:row>7</xdr:row>
      <xdr:rowOff>52028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3D24306C-0641-4805-A484-E8F19A7FE4C1}"/>
            </a:ext>
          </a:extLst>
        </xdr:cNvPr>
        <xdr:cNvGrpSpPr/>
      </xdr:nvGrpSpPr>
      <xdr:grpSpPr>
        <a:xfrm>
          <a:off x="8277143" y="640338"/>
          <a:ext cx="422621" cy="1439154"/>
          <a:chOff x="10778514" y="839282"/>
          <a:chExt cx="425436" cy="1405371"/>
        </a:xfrm>
      </xdr:grpSpPr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902E2F5F-FEA8-48A5-AA84-AEFB89DF5F0E}"/>
              </a:ext>
            </a:extLst>
          </xdr:cNvPr>
          <xdr:cNvCxnSpPr/>
        </xdr:nvCxnSpPr>
        <xdr:spPr>
          <a:xfrm>
            <a:off x="10957421" y="839282"/>
            <a:ext cx="0" cy="1405371"/>
          </a:xfrm>
          <a:prstGeom prst="straightConnector1">
            <a:avLst/>
          </a:prstGeom>
          <a:ln w="3810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2E4F5FDC-4702-4E1F-ABF1-30F6B0F0A99B}"/>
              </a:ext>
            </a:extLst>
          </xdr:cNvPr>
          <xdr:cNvSpPr txBox="1"/>
        </xdr:nvSpPr>
        <xdr:spPr>
          <a:xfrm>
            <a:off x="10778514" y="1591314"/>
            <a:ext cx="425436" cy="35897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1" anchor="t"/>
          <a:lstStyle/>
          <a:p>
            <a:r>
              <a:rPr lang="en-US" sz="1800"/>
              <a:t>d1</a:t>
            </a:r>
            <a:endParaRPr lang="ar-EG" sz="1800"/>
          </a:p>
        </xdr:txBody>
      </xdr:sp>
    </xdr:grpSp>
    <xdr:clientData/>
  </xdr:twoCellAnchor>
  <xdr:twoCellAnchor>
    <xdr:from>
      <xdr:col>8</xdr:col>
      <xdr:colOff>159281</xdr:colOff>
      <xdr:row>8</xdr:row>
      <xdr:rowOff>135776</xdr:rowOff>
    </xdr:from>
    <xdr:to>
      <xdr:col>9</xdr:col>
      <xdr:colOff>645936</xdr:colOff>
      <xdr:row>9</xdr:row>
      <xdr:rowOff>253226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A837EF03-9D63-4E5D-9612-AAB124B2237A}"/>
            </a:ext>
          </a:extLst>
        </xdr:cNvPr>
        <xdr:cNvGrpSpPr/>
      </xdr:nvGrpSpPr>
      <xdr:grpSpPr>
        <a:xfrm>
          <a:off x="6364138" y="2408169"/>
          <a:ext cx="1616048" cy="416807"/>
          <a:chOff x="8768602" y="2589064"/>
          <a:chExt cx="1619250" cy="413605"/>
        </a:xfrm>
      </xdr:grpSpPr>
      <xdr:cxnSp macro="">
        <xdr:nvCxnSpPr>
          <xdr:cNvPr id="18" name="Straight Arrow Connector 17">
            <a:extLst>
              <a:ext uri="{FF2B5EF4-FFF2-40B4-BE49-F238E27FC236}">
                <a16:creationId xmlns:a16="http://schemas.microsoft.com/office/drawing/2014/main" id="{C25503F8-3AD4-4152-B3ED-C6734914FCD2}"/>
              </a:ext>
            </a:extLst>
          </xdr:cNvPr>
          <xdr:cNvCxnSpPr/>
        </xdr:nvCxnSpPr>
        <xdr:spPr>
          <a:xfrm rot="5400000">
            <a:off x="9578227" y="1952400"/>
            <a:ext cx="0" cy="1619250"/>
          </a:xfrm>
          <a:prstGeom prst="straightConnector1">
            <a:avLst/>
          </a:prstGeom>
          <a:ln w="3810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9D0FE4A1-DFCD-4C15-AD63-13461EE34D88}"/>
              </a:ext>
            </a:extLst>
          </xdr:cNvPr>
          <xdr:cNvSpPr txBox="1"/>
        </xdr:nvSpPr>
        <xdr:spPr>
          <a:xfrm>
            <a:off x="9523857" y="2589064"/>
            <a:ext cx="425823" cy="41360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1" anchor="t"/>
          <a:lstStyle/>
          <a:p>
            <a:r>
              <a:rPr lang="en-US" sz="1800"/>
              <a:t>d2</a:t>
            </a:r>
            <a:endParaRPr lang="ar-EG" sz="1800"/>
          </a:p>
        </xdr:txBody>
      </xdr:sp>
    </xdr:grpSp>
    <xdr:clientData/>
  </xdr:twoCellAnchor>
  <xdr:twoCellAnchor>
    <xdr:from>
      <xdr:col>7</xdr:col>
      <xdr:colOff>72115</xdr:colOff>
      <xdr:row>4</xdr:row>
      <xdr:rowOff>68036</xdr:rowOff>
    </xdr:from>
    <xdr:to>
      <xdr:col>11</xdr:col>
      <xdr:colOff>244926</xdr:colOff>
      <xdr:row>4</xdr:row>
      <xdr:rowOff>68036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52E4F9C4-488F-45D1-A9A9-5081CEE85B98}"/>
            </a:ext>
          </a:extLst>
        </xdr:cNvPr>
        <xdr:cNvCxnSpPr/>
      </xdr:nvCxnSpPr>
      <xdr:spPr>
        <a:xfrm>
          <a:off x="5528579" y="1306286"/>
          <a:ext cx="3601811" cy="0"/>
        </a:xfrm>
        <a:prstGeom prst="line">
          <a:avLst/>
        </a:prstGeom>
        <a:ln w="38100">
          <a:solidFill>
            <a:schemeClr val="tx1"/>
          </a:solidFill>
          <a:prstDash val="lg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95248</xdr:colOff>
      <xdr:row>3</xdr:row>
      <xdr:rowOff>81642</xdr:rowOff>
    </xdr:from>
    <xdr:to>
      <xdr:col>11</xdr:col>
      <xdr:colOff>544283</xdr:colOff>
      <xdr:row>4</xdr:row>
      <xdr:rowOff>258535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C98F2CD-9C84-4781-B66A-11E311E23344}"/>
            </a:ext>
          </a:extLst>
        </xdr:cNvPr>
        <xdr:cNvSpPr txBox="1"/>
      </xdr:nvSpPr>
      <xdr:spPr>
        <a:xfrm>
          <a:off x="8980712" y="1047749"/>
          <a:ext cx="449035" cy="4490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2400"/>
            <a:t>X</a:t>
          </a:r>
          <a:endParaRPr lang="ar-EG" sz="2400"/>
        </a:p>
      </xdr:txBody>
    </xdr:sp>
    <xdr:clientData/>
  </xdr:twoCellAnchor>
  <xdr:twoCellAnchor>
    <xdr:from>
      <xdr:col>6</xdr:col>
      <xdr:colOff>1006927</xdr:colOff>
      <xdr:row>3</xdr:row>
      <xdr:rowOff>108857</xdr:rowOff>
    </xdr:from>
    <xdr:to>
      <xdr:col>7</xdr:col>
      <xdr:colOff>326569</xdr:colOff>
      <xdr:row>5</xdr:row>
      <xdr:rowOff>13607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CE59AD04-7FA1-4FE3-BFB7-3252C2158666}"/>
            </a:ext>
          </a:extLst>
        </xdr:cNvPr>
        <xdr:cNvSpPr txBox="1"/>
      </xdr:nvSpPr>
      <xdr:spPr>
        <a:xfrm>
          <a:off x="5333998" y="1074964"/>
          <a:ext cx="449035" cy="4490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2400"/>
            <a:t>X</a:t>
          </a:r>
          <a:endParaRPr lang="ar-EG" sz="2400"/>
        </a:p>
      </xdr:txBody>
    </xdr:sp>
    <xdr:clientData/>
  </xdr:twoCellAnchor>
  <xdr:twoCellAnchor>
    <xdr:from>
      <xdr:col>8</xdr:col>
      <xdr:colOff>885740</xdr:colOff>
      <xdr:row>0</xdr:row>
      <xdr:rowOff>136071</xdr:rowOff>
    </xdr:from>
    <xdr:to>
      <xdr:col>8</xdr:col>
      <xdr:colOff>898072</xdr:colOff>
      <xdr:row>10</xdr:row>
      <xdr:rowOff>54428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C2A0A0BB-A1EC-4264-B0E6-D469C27CE06B}"/>
            </a:ext>
          </a:extLst>
        </xdr:cNvPr>
        <xdr:cNvCxnSpPr/>
      </xdr:nvCxnSpPr>
      <xdr:spPr>
        <a:xfrm flipH="1">
          <a:off x="7090597" y="136071"/>
          <a:ext cx="12332" cy="2762250"/>
        </a:xfrm>
        <a:prstGeom prst="line">
          <a:avLst/>
        </a:prstGeom>
        <a:ln w="38100">
          <a:solidFill>
            <a:schemeClr val="tx1"/>
          </a:solidFill>
          <a:prstDash val="lg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721176</xdr:colOff>
      <xdr:row>9</xdr:row>
      <xdr:rowOff>190500</xdr:rowOff>
    </xdr:from>
    <xdr:to>
      <xdr:col>9</xdr:col>
      <xdr:colOff>40818</xdr:colOff>
      <xdr:row>11</xdr:row>
      <xdr:rowOff>108857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2BBCFEA9-7591-45C5-9627-1C8496CC8F8D}"/>
            </a:ext>
          </a:extLst>
        </xdr:cNvPr>
        <xdr:cNvSpPr txBox="1"/>
      </xdr:nvSpPr>
      <xdr:spPr>
        <a:xfrm>
          <a:off x="6926033" y="2762250"/>
          <a:ext cx="449035" cy="4490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2400"/>
            <a:t>y</a:t>
          </a:r>
          <a:endParaRPr lang="ar-EG" sz="2400"/>
        </a:p>
      </xdr:txBody>
    </xdr:sp>
    <xdr:clientData/>
  </xdr:twoCellAnchor>
  <xdr:twoCellAnchor>
    <xdr:from>
      <xdr:col>12</xdr:col>
      <xdr:colOff>435426</xdr:colOff>
      <xdr:row>3</xdr:row>
      <xdr:rowOff>81642</xdr:rowOff>
    </xdr:from>
    <xdr:to>
      <xdr:col>14</xdr:col>
      <xdr:colOff>68036</xdr:colOff>
      <xdr:row>4</xdr:row>
      <xdr:rowOff>258535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8E5C709B-48AF-485E-9645-3AFC551CEC43}"/>
            </a:ext>
          </a:extLst>
        </xdr:cNvPr>
        <xdr:cNvSpPr txBox="1"/>
      </xdr:nvSpPr>
      <xdr:spPr>
        <a:xfrm>
          <a:off x="9946819" y="1047749"/>
          <a:ext cx="993324" cy="4490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2400"/>
            <a:t>M</a:t>
          </a:r>
          <a:r>
            <a:rPr lang="en-US" sz="2400" baseline="-25000"/>
            <a:t>u in</a:t>
          </a:r>
          <a:endParaRPr lang="ar-EG" sz="2400" baseline="-25000"/>
        </a:p>
      </xdr:txBody>
    </xdr:sp>
    <xdr:clientData/>
  </xdr:twoCellAnchor>
  <xdr:twoCellAnchor>
    <xdr:from>
      <xdr:col>8</xdr:col>
      <xdr:colOff>1034140</xdr:colOff>
      <xdr:row>11</xdr:row>
      <xdr:rowOff>95248</xdr:rowOff>
    </xdr:from>
    <xdr:to>
      <xdr:col>9</xdr:col>
      <xdr:colOff>898071</xdr:colOff>
      <xdr:row>13</xdr:row>
      <xdr:rowOff>27213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26A99D7D-290C-4059-ADEB-251AF7DC2393}"/>
            </a:ext>
          </a:extLst>
        </xdr:cNvPr>
        <xdr:cNvSpPr txBox="1"/>
      </xdr:nvSpPr>
      <xdr:spPr>
        <a:xfrm>
          <a:off x="7238997" y="3197677"/>
          <a:ext cx="993324" cy="4490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2400"/>
            <a:t>M</a:t>
          </a:r>
          <a:r>
            <a:rPr lang="en-US" sz="2400" baseline="-25000"/>
            <a:t>u out</a:t>
          </a:r>
          <a:endParaRPr lang="ar-EG" sz="2400" baseline="-25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851DD-333C-4E84-B1AF-FA9B98CB84F7}">
  <dimension ref="A1:AH39"/>
  <sheetViews>
    <sheetView showGridLines="0" topLeftCell="D1" zoomScale="55" zoomScaleNormal="55" zoomScaleSheetLayoutView="40" workbookViewId="0">
      <selection activeCell="P41" sqref="P41"/>
    </sheetView>
  </sheetViews>
  <sheetFormatPr defaultRowHeight="18.75" x14ac:dyDescent="0.2"/>
  <cols>
    <col min="1" max="1" width="10.375" style="1" bestFit="1" customWidth="1"/>
    <col min="2" max="2" width="9.375" style="1" customWidth="1"/>
    <col min="3" max="3" width="10.125" style="1" customWidth="1"/>
    <col min="4" max="4" width="3.5" style="1" bestFit="1" customWidth="1"/>
    <col min="5" max="5" width="12.375" style="1" bestFit="1" customWidth="1"/>
    <col min="6" max="6" width="10.875" style="1" customWidth="1"/>
    <col min="7" max="8" width="9.75" style="1" bestFit="1" customWidth="1"/>
    <col min="9" max="9" width="8.5" style="1" bestFit="1" customWidth="1"/>
    <col min="10" max="10" width="13.5" style="1" bestFit="1" customWidth="1"/>
    <col min="11" max="11" width="6.75" style="1" bestFit="1" customWidth="1"/>
    <col min="12" max="12" width="8.25" style="1" bestFit="1" customWidth="1"/>
    <col min="13" max="18" width="9" style="1"/>
    <col min="19" max="19" width="7.625" style="1" bestFit="1" customWidth="1"/>
    <col min="20" max="20" width="8.25" style="1" bestFit="1" customWidth="1"/>
    <col min="21" max="21" width="10.375" style="1" bestFit="1" customWidth="1"/>
    <col min="22" max="23" width="5.625" style="1" bestFit="1" customWidth="1"/>
    <col min="24" max="24" width="5.75" style="1" bestFit="1" customWidth="1"/>
    <col min="25" max="25" width="4.25" style="1" bestFit="1" customWidth="1"/>
    <col min="26" max="26" width="5.75" style="1" bestFit="1" customWidth="1"/>
    <col min="27" max="27" width="6.25" style="1" bestFit="1" customWidth="1"/>
    <col min="28" max="28" width="7.875" style="1" bestFit="1" customWidth="1"/>
    <col min="29" max="29" width="8.25" style="1" bestFit="1" customWidth="1"/>
    <col min="30" max="30" width="8.75" style="1" bestFit="1" customWidth="1"/>
    <col min="31" max="31" width="7.625" style="1" bestFit="1" customWidth="1"/>
    <col min="32" max="32" width="8.25" style="1" bestFit="1" customWidth="1"/>
    <col min="33" max="33" width="8.75" style="1" bestFit="1" customWidth="1"/>
    <col min="34" max="34" width="7.625" style="1" bestFit="1" customWidth="1"/>
    <col min="35" max="16384" width="9" style="1"/>
  </cols>
  <sheetData>
    <row r="1" spans="1:34" x14ac:dyDescent="0.2">
      <c r="A1" s="10">
        <v>37</v>
      </c>
      <c r="B1" s="6" t="s">
        <v>32</v>
      </c>
      <c r="D1" s="10"/>
      <c r="E1" s="4"/>
      <c r="F1" s="4"/>
      <c r="G1" s="4"/>
      <c r="H1" s="4"/>
      <c r="I1" s="4"/>
      <c r="J1" s="4"/>
      <c r="K1" s="4"/>
      <c r="L1" s="4"/>
      <c r="S1" s="13"/>
      <c r="T1" s="13"/>
      <c r="U1" s="13"/>
      <c r="V1" s="13"/>
      <c r="W1" s="13"/>
      <c r="X1" s="65" t="s">
        <v>52</v>
      </c>
      <c r="Y1" s="66"/>
      <c r="Z1" s="13"/>
      <c r="AA1" s="13"/>
      <c r="AB1" s="13"/>
      <c r="AC1" s="13"/>
      <c r="AD1" s="13"/>
      <c r="AE1" s="13"/>
      <c r="AF1" s="13"/>
      <c r="AG1" s="13"/>
      <c r="AH1" s="13"/>
    </row>
    <row r="2" spans="1:34" x14ac:dyDescent="0.2">
      <c r="A2" s="10">
        <v>44</v>
      </c>
      <c r="B2" s="6" t="s">
        <v>33</v>
      </c>
      <c r="D2" s="10"/>
      <c r="E2" s="4"/>
      <c r="F2" s="4"/>
      <c r="G2" s="4"/>
      <c r="H2" s="4"/>
      <c r="I2" s="4"/>
      <c r="J2" s="4"/>
      <c r="K2" s="4"/>
      <c r="L2" s="4"/>
      <c r="S2" s="14" t="s">
        <v>4</v>
      </c>
      <c r="T2" s="14" t="s">
        <v>5</v>
      </c>
      <c r="U2" s="14" t="s">
        <v>6</v>
      </c>
      <c r="V2" s="61" t="s">
        <v>7</v>
      </c>
      <c r="W2" s="62"/>
      <c r="X2" s="62"/>
      <c r="Y2" s="62"/>
      <c r="Z2" s="62"/>
      <c r="AA2" s="62"/>
      <c r="AB2" s="63"/>
      <c r="AC2" s="61" t="s">
        <v>8</v>
      </c>
      <c r="AD2" s="62"/>
      <c r="AE2" s="63"/>
      <c r="AF2" s="61" t="s">
        <v>9</v>
      </c>
      <c r="AG2" s="62"/>
      <c r="AH2" s="63"/>
    </row>
    <row r="3" spans="1:34" ht="21.75" x14ac:dyDescent="0.2">
      <c r="A3" s="10">
        <v>52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S3" s="14" t="s">
        <v>53</v>
      </c>
      <c r="T3" s="14" t="s">
        <v>54</v>
      </c>
      <c r="U3" s="14" t="s">
        <v>16</v>
      </c>
      <c r="V3" s="14" t="s">
        <v>11</v>
      </c>
      <c r="W3" s="14" t="s">
        <v>12</v>
      </c>
      <c r="X3" s="14" t="s">
        <v>13</v>
      </c>
      <c r="Y3" s="14" t="s">
        <v>55</v>
      </c>
      <c r="Z3" s="14" t="s">
        <v>56</v>
      </c>
      <c r="AA3" s="14" t="s">
        <v>14</v>
      </c>
      <c r="AB3" s="14" t="s">
        <v>15</v>
      </c>
      <c r="AC3" s="14" t="s">
        <v>57</v>
      </c>
      <c r="AD3" s="14" t="s">
        <v>58</v>
      </c>
      <c r="AE3" s="14" t="s">
        <v>59</v>
      </c>
      <c r="AF3" s="14" t="s">
        <v>60</v>
      </c>
      <c r="AG3" s="14" t="s">
        <v>61</v>
      </c>
      <c r="AH3" s="14" t="s">
        <v>62</v>
      </c>
    </row>
    <row r="4" spans="1:34" ht="21" x14ac:dyDescent="0.2">
      <c r="A4" s="7" t="s">
        <v>49</v>
      </c>
      <c r="B4" s="67">
        <v>37</v>
      </c>
      <c r="C4" s="67"/>
      <c r="D4" s="4"/>
      <c r="E4" s="22" t="s">
        <v>67</v>
      </c>
      <c r="F4" s="22"/>
      <c r="G4" s="22"/>
      <c r="H4" s="4"/>
      <c r="I4" s="4"/>
      <c r="J4" s="4"/>
      <c r="K4" s="4"/>
      <c r="L4" s="4"/>
      <c r="S4" s="15">
        <v>80</v>
      </c>
      <c r="T4" s="16">
        <v>7.64</v>
      </c>
      <c r="U4" s="15">
        <v>6</v>
      </c>
      <c r="V4" s="15">
        <v>80</v>
      </c>
      <c r="W4" s="15">
        <v>46</v>
      </c>
      <c r="X4" s="17">
        <v>3.8</v>
      </c>
      <c r="Y4" s="15">
        <v>5</v>
      </c>
      <c r="Z4" s="17">
        <v>5.2</v>
      </c>
      <c r="AA4" s="17">
        <v>10.199999999999999</v>
      </c>
      <c r="AB4" s="15">
        <v>59</v>
      </c>
      <c r="AC4" s="17">
        <v>80.099999999999994</v>
      </c>
      <c r="AD4" s="15">
        <v>20</v>
      </c>
      <c r="AE4" s="16">
        <v>3.24</v>
      </c>
      <c r="AF4" s="16">
        <v>8.49</v>
      </c>
      <c r="AG4" s="16">
        <v>3.69</v>
      </c>
      <c r="AH4" s="16">
        <v>1.05</v>
      </c>
    </row>
    <row r="5" spans="1:34" ht="21" x14ac:dyDescent="0.2">
      <c r="A5" s="9" t="s">
        <v>1</v>
      </c>
      <c r="B5" s="4">
        <f>IF(B4=A1,2.4,IF(B4=A2,2.8,3.6))</f>
        <v>2.4</v>
      </c>
      <c r="C5" s="4" t="s">
        <v>45</v>
      </c>
      <c r="D5" s="4"/>
      <c r="E5" s="4" t="s">
        <v>68</v>
      </c>
      <c r="F5" s="5">
        <v>3900</v>
      </c>
      <c r="G5" s="4" t="s">
        <v>2</v>
      </c>
      <c r="H5" s="4"/>
      <c r="I5" s="4"/>
      <c r="J5" s="4"/>
      <c r="K5" s="4"/>
      <c r="L5" s="4"/>
      <c r="S5" s="15">
        <v>100</v>
      </c>
      <c r="T5" s="17">
        <v>10.3</v>
      </c>
      <c r="U5" s="17">
        <v>8.1</v>
      </c>
      <c r="V5" s="15">
        <v>100</v>
      </c>
      <c r="W5" s="15">
        <v>55</v>
      </c>
      <c r="X5" s="17">
        <v>4.0999999999999996</v>
      </c>
      <c r="Y5" s="15">
        <v>7</v>
      </c>
      <c r="Z5" s="17">
        <v>5.7</v>
      </c>
      <c r="AA5" s="17">
        <v>12.7</v>
      </c>
      <c r="AB5" s="15">
        <v>74</v>
      </c>
      <c r="AC5" s="15">
        <v>171</v>
      </c>
      <c r="AD5" s="17">
        <v>34.200000000000003</v>
      </c>
      <c r="AE5" s="16">
        <v>4.07</v>
      </c>
      <c r="AF5" s="17">
        <v>15.9</v>
      </c>
      <c r="AG5" s="16">
        <v>5.79</v>
      </c>
      <c r="AH5" s="16">
        <v>1.24</v>
      </c>
    </row>
    <row r="6" spans="1:34" ht="21" x14ac:dyDescent="0.2">
      <c r="A6" s="9" t="s">
        <v>0</v>
      </c>
      <c r="B6" s="4">
        <f>IF(B4=A1,3.6,IF(B4=A2,4.4,5.2))</f>
        <v>3.6</v>
      </c>
      <c r="C6" s="4" t="s">
        <v>45</v>
      </c>
      <c r="D6" s="4"/>
      <c r="E6" s="4" t="s">
        <v>69</v>
      </c>
      <c r="F6" s="5">
        <v>0</v>
      </c>
      <c r="G6" s="4" t="s">
        <v>2</v>
      </c>
      <c r="H6" s="4"/>
      <c r="I6" s="4"/>
      <c r="J6" s="4"/>
      <c r="K6" s="4"/>
      <c r="L6" s="4"/>
      <c r="S6" s="15">
        <v>120</v>
      </c>
      <c r="T6" s="17">
        <v>13.2</v>
      </c>
      <c r="U6" s="17">
        <v>10.4</v>
      </c>
      <c r="V6" s="15">
        <v>120</v>
      </c>
      <c r="W6" s="15">
        <v>64</v>
      </c>
      <c r="X6" s="17">
        <v>4.4000000000000004</v>
      </c>
      <c r="Y6" s="15">
        <v>7</v>
      </c>
      <c r="Z6" s="17">
        <v>6.3</v>
      </c>
      <c r="AA6" s="17">
        <v>13.3</v>
      </c>
      <c r="AB6" s="15">
        <v>93</v>
      </c>
      <c r="AC6" s="15">
        <v>318</v>
      </c>
      <c r="AD6" s="15">
        <v>53</v>
      </c>
      <c r="AE6" s="17">
        <v>4.9000000000000004</v>
      </c>
      <c r="AF6" s="17">
        <v>27.7</v>
      </c>
      <c r="AG6" s="16">
        <v>8.65</v>
      </c>
      <c r="AH6" s="16">
        <v>1.45</v>
      </c>
    </row>
    <row r="7" spans="1:34" x14ac:dyDescent="0.2">
      <c r="A7" s="9"/>
      <c r="B7" s="4"/>
      <c r="C7" s="4"/>
      <c r="D7" s="4"/>
      <c r="E7" s="4" t="s">
        <v>70</v>
      </c>
      <c r="F7" s="5">
        <v>29</v>
      </c>
      <c r="G7" s="4" t="s">
        <v>3</v>
      </c>
      <c r="H7" s="4"/>
      <c r="I7" s="4"/>
      <c r="J7" s="4"/>
      <c r="K7" s="4"/>
      <c r="L7" s="4"/>
      <c r="S7" s="15">
        <v>140</v>
      </c>
      <c r="T7" s="17">
        <v>16.399999999999999</v>
      </c>
      <c r="U7" s="17">
        <v>12.9</v>
      </c>
      <c r="V7" s="15">
        <v>140</v>
      </c>
      <c r="W7" s="15">
        <v>73</v>
      </c>
      <c r="X7" s="17">
        <v>4.7</v>
      </c>
      <c r="Y7" s="15">
        <v>7</v>
      </c>
      <c r="Z7" s="17">
        <v>6.9</v>
      </c>
      <c r="AA7" s="17">
        <v>13.9</v>
      </c>
      <c r="AB7" s="15">
        <v>112</v>
      </c>
      <c r="AC7" s="15">
        <v>541</v>
      </c>
      <c r="AD7" s="17">
        <v>77.3</v>
      </c>
      <c r="AE7" s="16">
        <v>5.74</v>
      </c>
      <c r="AF7" s="17">
        <v>44.9</v>
      </c>
      <c r="AG7" s="17">
        <v>12.3</v>
      </c>
      <c r="AH7" s="16">
        <v>1.65</v>
      </c>
    </row>
    <row r="8" spans="1:34" x14ac:dyDescent="0.2">
      <c r="A8" s="59" t="s">
        <v>71</v>
      </c>
      <c r="B8" s="59"/>
      <c r="C8" s="59"/>
      <c r="D8" s="4"/>
      <c r="E8" s="4"/>
      <c r="F8" s="4"/>
      <c r="G8" s="4"/>
      <c r="H8" s="4"/>
      <c r="I8" s="4"/>
      <c r="J8" s="4"/>
      <c r="K8" s="4"/>
      <c r="L8" s="4"/>
      <c r="S8" s="15">
        <v>160</v>
      </c>
      <c r="T8" s="17">
        <v>20.100000000000001</v>
      </c>
      <c r="U8" s="17">
        <v>15.8</v>
      </c>
      <c r="V8" s="15">
        <v>160</v>
      </c>
      <c r="W8" s="15">
        <v>82</v>
      </c>
      <c r="X8" s="15">
        <v>5</v>
      </c>
      <c r="Y8" s="15">
        <v>9</v>
      </c>
      <c r="Z8" s="17">
        <v>7.4</v>
      </c>
      <c r="AA8" s="17">
        <v>16.399999999999999</v>
      </c>
      <c r="AB8" s="15">
        <v>127</v>
      </c>
      <c r="AC8" s="15">
        <v>869</v>
      </c>
      <c r="AD8" s="15">
        <v>109</v>
      </c>
      <c r="AE8" s="16">
        <v>6.58</v>
      </c>
      <c r="AF8" s="17">
        <v>68.3</v>
      </c>
      <c r="AG8" s="17">
        <v>16.7</v>
      </c>
      <c r="AH8" s="16">
        <v>1.84</v>
      </c>
    </row>
    <row r="9" spans="1:34" ht="23.25" x14ac:dyDescent="0.2">
      <c r="A9" s="20" t="s">
        <v>72</v>
      </c>
      <c r="B9" s="21">
        <f>1.5*650</f>
        <v>975</v>
      </c>
      <c r="C9" s="20" t="s">
        <v>27</v>
      </c>
      <c r="D9" s="4"/>
      <c r="E9" s="8" t="s">
        <v>30</v>
      </c>
      <c r="F9" s="4"/>
      <c r="G9" s="4"/>
      <c r="H9" s="4"/>
      <c r="I9" s="4"/>
      <c r="J9" s="4"/>
      <c r="K9" s="4"/>
      <c r="L9" s="4"/>
      <c r="Q9" s="4"/>
      <c r="S9" s="15">
        <v>180</v>
      </c>
      <c r="T9" s="17">
        <v>23.9</v>
      </c>
      <c r="U9" s="17">
        <v>18.8</v>
      </c>
      <c r="V9" s="15">
        <v>180</v>
      </c>
      <c r="W9" s="15">
        <v>91</v>
      </c>
      <c r="X9" s="17">
        <v>5.3</v>
      </c>
      <c r="Y9" s="15">
        <v>9</v>
      </c>
      <c r="Z9" s="15">
        <v>8</v>
      </c>
      <c r="AA9" s="15">
        <v>17</v>
      </c>
      <c r="AB9" s="15">
        <v>146</v>
      </c>
      <c r="AC9" s="15">
        <v>1320</v>
      </c>
      <c r="AD9" s="15">
        <v>146</v>
      </c>
      <c r="AE9" s="16">
        <v>7.42</v>
      </c>
      <c r="AF9" s="15">
        <v>101</v>
      </c>
      <c r="AG9" s="17">
        <v>22.2</v>
      </c>
      <c r="AH9" s="16">
        <v>2.0499999999999998</v>
      </c>
    </row>
    <row r="10" spans="1:34" ht="21" x14ac:dyDescent="0.2">
      <c r="A10" s="20" t="s">
        <v>73</v>
      </c>
      <c r="B10" s="21">
        <v>650</v>
      </c>
      <c r="C10" s="20" t="s">
        <v>27</v>
      </c>
      <c r="D10" s="4"/>
      <c r="E10" s="19" t="s">
        <v>142</v>
      </c>
      <c r="F10" s="4"/>
      <c r="G10" s="4"/>
      <c r="H10" s="4"/>
      <c r="I10" s="4"/>
      <c r="J10" s="4"/>
      <c r="K10" s="4"/>
      <c r="L10" s="4"/>
      <c r="Q10" s="4"/>
      <c r="S10" s="15">
        <v>200</v>
      </c>
      <c r="T10" s="17">
        <v>28.5</v>
      </c>
      <c r="U10" s="17">
        <v>22.4</v>
      </c>
      <c r="V10" s="15">
        <v>200</v>
      </c>
      <c r="W10" s="15">
        <v>100</v>
      </c>
      <c r="X10" s="17">
        <v>5.6</v>
      </c>
      <c r="Y10" s="15">
        <v>12</v>
      </c>
      <c r="Z10" s="17">
        <v>8.5</v>
      </c>
      <c r="AA10" s="17">
        <v>20.5</v>
      </c>
      <c r="AB10" s="15">
        <v>159</v>
      </c>
      <c r="AC10" s="15">
        <v>1940</v>
      </c>
      <c r="AD10" s="15">
        <v>194</v>
      </c>
      <c r="AE10" s="16">
        <v>8.26</v>
      </c>
      <c r="AF10" s="15">
        <v>142</v>
      </c>
      <c r="AG10" s="17">
        <v>28.5</v>
      </c>
      <c r="AH10" s="16">
        <v>2.2400000000000002</v>
      </c>
    </row>
    <row r="11" spans="1:34" ht="21" x14ac:dyDescent="0.2">
      <c r="A11" s="4" t="s">
        <v>29</v>
      </c>
      <c r="B11" s="5">
        <v>50</v>
      </c>
      <c r="C11" s="4" t="s">
        <v>27</v>
      </c>
      <c r="D11" s="4"/>
      <c r="E11" s="23" t="s">
        <v>99</v>
      </c>
      <c r="F11" s="4">
        <f>B11/(0.1*B17)</f>
        <v>1.6666666666666667</v>
      </c>
      <c r="G11" s="4" t="str">
        <f>IF(AND(F11&gt;=1.5,F11&lt;=2),"Ok","Check again")</f>
        <v>Ok</v>
      </c>
      <c r="H11" s="4"/>
      <c r="I11" s="4"/>
      <c r="J11" s="4"/>
      <c r="K11" s="4"/>
      <c r="L11" s="4"/>
      <c r="Q11" s="4"/>
      <c r="S11" s="15">
        <v>220</v>
      </c>
      <c r="T11" s="17">
        <v>33.4</v>
      </c>
      <c r="U11" s="17">
        <v>26.2</v>
      </c>
      <c r="V11" s="15">
        <v>220</v>
      </c>
      <c r="W11" s="15">
        <v>110</v>
      </c>
      <c r="X11" s="17">
        <v>5.9</v>
      </c>
      <c r="Y11" s="15">
        <v>12</v>
      </c>
      <c r="Z11" s="17">
        <v>9.1999999999999993</v>
      </c>
      <c r="AA11" s="17">
        <v>21.2</v>
      </c>
      <c r="AB11" s="15">
        <v>177</v>
      </c>
      <c r="AC11" s="15">
        <v>2770</v>
      </c>
      <c r="AD11" s="15">
        <v>252</v>
      </c>
      <c r="AE11" s="16">
        <v>9.11</v>
      </c>
      <c r="AF11" s="15">
        <v>205</v>
      </c>
      <c r="AG11" s="17">
        <v>37.299999999999997</v>
      </c>
      <c r="AH11" s="16">
        <v>2.48</v>
      </c>
    </row>
    <row r="12" spans="1:34" ht="20.25" x14ac:dyDescent="0.2">
      <c r="A12" s="20" t="s">
        <v>100</v>
      </c>
      <c r="B12" s="5">
        <v>100</v>
      </c>
      <c r="C12" s="4" t="s">
        <v>27</v>
      </c>
      <c r="D12" s="4"/>
      <c r="E12" s="20" t="s">
        <v>102</v>
      </c>
      <c r="F12" s="4">
        <f>B12/B33</f>
        <v>29.850746268656717</v>
      </c>
      <c r="G12" s="4" t="str">
        <f>IF(AND(F12&lt;=60,F12&lt;=(2/3)*MAX(F24,J24)),"Ok","Check again")</f>
        <v>Ok</v>
      </c>
      <c r="H12" s="4"/>
      <c r="I12" s="4"/>
      <c r="J12" s="4"/>
      <c r="K12" s="4"/>
      <c r="L12" s="4"/>
      <c r="P12" s="4"/>
      <c r="Q12" s="4"/>
      <c r="S12" s="15">
        <v>240</v>
      </c>
      <c r="T12" s="17">
        <v>39.1</v>
      </c>
      <c r="U12" s="17">
        <v>30.7</v>
      </c>
      <c r="V12" s="15">
        <v>240</v>
      </c>
      <c r="W12" s="15">
        <v>120</v>
      </c>
      <c r="X12" s="17">
        <v>6.2</v>
      </c>
      <c r="Y12" s="15">
        <v>15</v>
      </c>
      <c r="Z12" s="17">
        <v>9.8000000000000007</v>
      </c>
      <c r="AA12" s="17">
        <v>24.8</v>
      </c>
      <c r="AB12" s="15">
        <v>190</v>
      </c>
      <c r="AC12" s="15">
        <v>3890</v>
      </c>
      <c r="AD12" s="15">
        <v>324</v>
      </c>
      <c r="AE12" s="16">
        <v>9.9700000000000006</v>
      </c>
      <c r="AF12" s="15">
        <v>284</v>
      </c>
      <c r="AG12" s="17">
        <v>47.3</v>
      </c>
      <c r="AH12" s="16">
        <v>2.69</v>
      </c>
    </row>
    <row r="13" spans="1:34" x14ac:dyDescent="0.2">
      <c r="A13" s="9" t="s">
        <v>34</v>
      </c>
      <c r="B13" s="67" t="s">
        <v>32</v>
      </c>
      <c r="C13" s="67"/>
      <c r="D13" s="4"/>
      <c r="F13" s="4"/>
      <c r="G13" s="4"/>
      <c r="H13" s="4"/>
      <c r="I13" s="4"/>
      <c r="J13" s="4"/>
      <c r="K13" s="4"/>
      <c r="L13" s="4"/>
      <c r="P13" s="4"/>
      <c r="Q13" s="4"/>
      <c r="S13" s="15">
        <v>270</v>
      </c>
      <c r="T13" s="17">
        <v>45.9</v>
      </c>
      <c r="U13" s="17">
        <v>36.1</v>
      </c>
      <c r="V13" s="15">
        <v>270</v>
      </c>
      <c r="W13" s="15">
        <v>135</v>
      </c>
      <c r="X13" s="17">
        <v>6.6</v>
      </c>
      <c r="Y13" s="15">
        <v>15</v>
      </c>
      <c r="Z13" s="17">
        <v>10.199999999999999</v>
      </c>
      <c r="AA13" s="17">
        <v>25.2</v>
      </c>
      <c r="AB13" s="15">
        <v>219</v>
      </c>
      <c r="AC13" s="15">
        <v>5790</v>
      </c>
      <c r="AD13" s="15">
        <v>429</v>
      </c>
      <c r="AE13" s="17">
        <v>11.2</v>
      </c>
      <c r="AF13" s="15">
        <v>420</v>
      </c>
      <c r="AG13" s="17">
        <v>62.2</v>
      </c>
      <c r="AH13" s="16">
        <v>3.02</v>
      </c>
    </row>
    <row r="14" spans="1:34" ht="21" x14ac:dyDescent="0.2">
      <c r="A14" s="9"/>
      <c r="B14" s="5"/>
      <c r="C14" s="5"/>
      <c r="D14" s="4"/>
      <c r="E14" s="19" t="s">
        <v>31</v>
      </c>
      <c r="F14" s="19"/>
      <c r="G14" s="4"/>
      <c r="H14" s="4"/>
      <c r="I14" s="4"/>
      <c r="J14" s="4"/>
      <c r="K14" s="4"/>
      <c r="L14" s="4"/>
      <c r="P14" s="4"/>
      <c r="Q14" s="4"/>
      <c r="S14" s="15"/>
      <c r="T14" s="17"/>
      <c r="U14" s="17"/>
      <c r="V14" s="15"/>
      <c r="W14" s="15"/>
      <c r="X14" s="17"/>
      <c r="Y14" s="15"/>
      <c r="Z14" s="17"/>
      <c r="AA14" s="17"/>
      <c r="AB14" s="15"/>
      <c r="AC14" s="15"/>
      <c r="AD14" s="15"/>
      <c r="AE14" s="17"/>
      <c r="AF14" s="15"/>
      <c r="AG14" s="17"/>
      <c r="AH14" s="16"/>
    </row>
    <row r="15" spans="1:34" ht="21" x14ac:dyDescent="0.2">
      <c r="A15" s="64" t="s">
        <v>65</v>
      </c>
      <c r="B15" s="64"/>
      <c r="C15" s="64"/>
      <c r="D15" s="4"/>
      <c r="E15" s="20" t="s">
        <v>74</v>
      </c>
      <c r="F15" s="20">
        <f>B22/B19</f>
        <v>34.929577464788736</v>
      </c>
      <c r="G15" s="25" t="str">
        <f>IF(F15&lt;=(58/SQRT(B5)),"Compact","Non-Compact")</f>
        <v>Compact</v>
      </c>
      <c r="H15" s="60" t="s">
        <v>75</v>
      </c>
      <c r="I15" s="60" t="str">
        <f>IF(AND(G15="Compact",G16="Compact"),"Compact","Non-Compact")</f>
        <v>Compact</v>
      </c>
      <c r="J15" s="60" t="s">
        <v>51</v>
      </c>
      <c r="K15" s="4"/>
      <c r="L15" s="20"/>
      <c r="P15" s="4"/>
      <c r="Q15" s="4"/>
      <c r="S15" s="15"/>
      <c r="T15" s="17"/>
      <c r="U15" s="17"/>
      <c r="V15" s="15"/>
      <c r="W15" s="15"/>
      <c r="X15" s="17"/>
      <c r="Y15" s="15"/>
      <c r="Z15" s="17"/>
      <c r="AA15" s="17"/>
      <c r="AB15" s="15"/>
      <c r="AC15" s="15"/>
      <c r="AD15" s="15"/>
      <c r="AE15" s="17"/>
      <c r="AF15" s="15"/>
      <c r="AG15" s="17"/>
      <c r="AH15" s="16"/>
    </row>
    <row r="16" spans="1:34" ht="21" x14ac:dyDescent="0.2">
      <c r="A16" s="11" t="s">
        <v>52</v>
      </c>
      <c r="B16" s="67">
        <v>300</v>
      </c>
      <c r="C16" s="67"/>
      <c r="D16" s="4"/>
      <c r="E16" s="20" t="s">
        <v>46</v>
      </c>
      <c r="F16" s="20">
        <f>(B18-B19-2*B20)/(2*B21)</f>
        <v>5.2757009345794401</v>
      </c>
      <c r="G16" s="25" t="str">
        <f>IF(F16&lt;=16.9/SQRT(B6),"Compact","Non-Compact")</f>
        <v>Compact</v>
      </c>
      <c r="H16" s="60"/>
      <c r="I16" s="60"/>
      <c r="J16" s="60"/>
      <c r="K16" s="4"/>
      <c r="L16" s="20"/>
      <c r="P16" s="4"/>
      <c r="Q16" s="4"/>
      <c r="S16" s="15"/>
      <c r="T16" s="17"/>
      <c r="U16" s="17"/>
      <c r="V16" s="15"/>
      <c r="W16" s="15"/>
      <c r="X16" s="17"/>
      <c r="Y16" s="15"/>
      <c r="Z16" s="17"/>
      <c r="AA16" s="17"/>
      <c r="AB16" s="15"/>
      <c r="AC16" s="15"/>
      <c r="AD16" s="15"/>
      <c r="AE16" s="17"/>
      <c r="AF16" s="15"/>
      <c r="AG16" s="17"/>
      <c r="AH16" s="16"/>
    </row>
    <row r="17" spans="1:34" x14ac:dyDescent="0.2">
      <c r="A17" s="9" t="s">
        <v>20</v>
      </c>
      <c r="B17" s="18">
        <f>VLOOKUP(B16,table,4,FALSE)</f>
        <v>300</v>
      </c>
      <c r="C17" s="4" t="s">
        <v>26</v>
      </c>
      <c r="D17" s="4"/>
      <c r="E17" s="9"/>
      <c r="F17" s="4"/>
      <c r="G17" s="4"/>
      <c r="H17" s="4"/>
      <c r="I17" s="4"/>
      <c r="J17" s="4"/>
      <c r="K17" s="4"/>
      <c r="L17" s="20"/>
      <c r="P17" s="4"/>
      <c r="S17" s="15">
        <v>300</v>
      </c>
      <c r="T17" s="17">
        <v>53.8</v>
      </c>
      <c r="U17" s="17">
        <v>42.2</v>
      </c>
      <c r="V17" s="15">
        <v>300</v>
      </c>
      <c r="W17" s="15">
        <v>150</v>
      </c>
      <c r="X17" s="17">
        <v>7.1</v>
      </c>
      <c r="Y17" s="15">
        <v>15</v>
      </c>
      <c r="Z17" s="17">
        <v>10.7</v>
      </c>
      <c r="AA17" s="17">
        <v>25.7</v>
      </c>
      <c r="AB17" s="15">
        <v>248</v>
      </c>
      <c r="AC17" s="15">
        <v>8360</v>
      </c>
      <c r="AD17" s="15">
        <v>557</v>
      </c>
      <c r="AE17" s="17">
        <v>12.5</v>
      </c>
      <c r="AF17" s="15">
        <v>604</v>
      </c>
      <c r="AG17" s="17">
        <v>80.5</v>
      </c>
      <c r="AH17" s="16">
        <v>3.35</v>
      </c>
    </row>
    <row r="18" spans="1:34" x14ac:dyDescent="0.2">
      <c r="A18" s="9" t="s">
        <v>21</v>
      </c>
      <c r="B18" s="18">
        <f>VLOOKUP(B16,table,5,FALSE)</f>
        <v>150</v>
      </c>
      <c r="C18" s="4" t="s">
        <v>26</v>
      </c>
      <c r="D18" s="4"/>
      <c r="E18" s="27" t="s">
        <v>76</v>
      </c>
      <c r="F18" s="20"/>
      <c r="G18" s="20"/>
      <c r="H18" s="20"/>
      <c r="I18" s="20"/>
      <c r="J18" s="20"/>
      <c r="K18" s="20"/>
      <c r="L18" s="20"/>
      <c r="M18" s="4"/>
      <c r="N18" s="4"/>
      <c r="O18" s="4"/>
      <c r="P18" s="4"/>
      <c r="S18" s="15">
        <v>330</v>
      </c>
      <c r="T18" s="17">
        <v>62.6</v>
      </c>
      <c r="U18" s="17">
        <v>49.1</v>
      </c>
      <c r="V18" s="15">
        <v>330</v>
      </c>
      <c r="W18" s="15">
        <v>160</v>
      </c>
      <c r="X18" s="17">
        <v>7.5</v>
      </c>
      <c r="Y18" s="15">
        <v>18</v>
      </c>
      <c r="Z18" s="17">
        <v>11.5</v>
      </c>
      <c r="AA18" s="17">
        <v>29.5</v>
      </c>
      <c r="AB18" s="15">
        <v>271</v>
      </c>
      <c r="AC18" s="15">
        <v>11770</v>
      </c>
      <c r="AD18" s="15">
        <v>713</v>
      </c>
      <c r="AE18" s="17">
        <v>13.7</v>
      </c>
      <c r="AF18" s="15">
        <v>788</v>
      </c>
      <c r="AG18" s="17">
        <v>98.5</v>
      </c>
      <c r="AH18" s="16">
        <v>3.55</v>
      </c>
    </row>
    <row r="19" spans="1:34" ht="20.25" x14ac:dyDescent="0.2">
      <c r="A19" s="9" t="s">
        <v>22</v>
      </c>
      <c r="B19" s="18">
        <f>VLOOKUP(B16,table,6,FALSE)</f>
        <v>7.1</v>
      </c>
      <c r="C19" s="4" t="s">
        <v>26</v>
      </c>
      <c r="D19" s="4"/>
      <c r="E19" s="20" t="s">
        <v>151</v>
      </c>
      <c r="F19" s="20">
        <f>B31*B5</f>
        <v>6456</v>
      </c>
      <c r="G19" s="20" t="s">
        <v>77</v>
      </c>
      <c r="H19" s="20"/>
      <c r="I19" s="20"/>
      <c r="J19" s="20"/>
      <c r="K19" s="20"/>
      <c r="L19" s="20"/>
      <c r="M19" s="4"/>
      <c r="N19" s="4"/>
      <c r="O19" s="4"/>
      <c r="P19" s="4"/>
      <c r="Q19" s="4"/>
      <c r="S19" s="15">
        <v>360</v>
      </c>
      <c r="T19" s="17">
        <v>72.7</v>
      </c>
      <c r="U19" s="17">
        <v>57.1</v>
      </c>
      <c r="V19" s="15">
        <v>360</v>
      </c>
      <c r="W19" s="15">
        <v>170</v>
      </c>
      <c r="X19" s="15">
        <v>8</v>
      </c>
      <c r="Y19" s="15">
        <v>18</v>
      </c>
      <c r="Z19" s="17">
        <v>12.7</v>
      </c>
      <c r="AA19" s="17">
        <v>30.7</v>
      </c>
      <c r="AB19" s="15">
        <v>298</v>
      </c>
      <c r="AC19" s="15">
        <v>16270</v>
      </c>
      <c r="AD19" s="15">
        <v>904</v>
      </c>
      <c r="AE19" s="15">
        <v>15</v>
      </c>
      <c r="AF19" s="15">
        <v>1040</v>
      </c>
      <c r="AG19" s="15">
        <v>123</v>
      </c>
      <c r="AH19" s="16">
        <v>3.79</v>
      </c>
    </row>
    <row r="20" spans="1:34" ht="20.25" x14ac:dyDescent="0.2">
      <c r="A20" s="9" t="s">
        <v>63</v>
      </c>
      <c r="B20" s="18">
        <f>VLOOKUP(B16,table,7,FALSE)</f>
        <v>15</v>
      </c>
      <c r="C20" s="4" t="s">
        <v>26</v>
      </c>
      <c r="D20" s="4"/>
      <c r="E20" s="26" t="s">
        <v>152</v>
      </c>
      <c r="F20" s="20">
        <f>B28*B5</f>
        <v>1936.8</v>
      </c>
      <c r="G20" s="26" t="s">
        <v>77</v>
      </c>
      <c r="H20" s="20"/>
      <c r="I20" s="20"/>
      <c r="J20" s="20"/>
      <c r="K20" s="20"/>
      <c r="L20" s="20"/>
      <c r="M20" s="4"/>
      <c r="N20" s="4"/>
      <c r="O20" s="4"/>
      <c r="Q20" s="4"/>
      <c r="S20" s="15">
        <v>400</v>
      </c>
      <c r="T20" s="17">
        <v>84.5</v>
      </c>
      <c r="U20" s="17">
        <v>66.3</v>
      </c>
      <c r="V20" s="15">
        <v>400</v>
      </c>
      <c r="W20" s="15">
        <v>180</v>
      </c>
      <c r="X20" s="17">
        <v>8.6</v>
      </c>
      <c r="Y20" s="15">
        <v>21</v>
      </c>
      <c r="Z20" s="17">
        <v>13.5</v>
      </c>
      <c r="AA20" s="17">
        <v>34.5</v>
      </c>
      <c r="AB20" s="15">
        <v>331</v>
      </c>
      <c r="AC20" s="15">
        <v>23130</v>
      </c>
      <c r="AD20" s="15">
        <v>1160</v>
      </c>
      <c r="AE20" s="17">
        <v>16.5</v>
      </c>
      <c r="AF20" s="15">
        <v>1320</v>
      </c>
      <c r="AG20" s="15">
        <v>146</v>
      </c>
      <c r="AH20" s="16">
        <v>3.95</v>
      </c>
    </row>
    <row r="21" spans="1:34" x14ac:dyDescent="0.2">
      <c r="A21" s="9" t="s">
        <v>64</v>
      </c>
      <c r="B21" s="18">
        <f>VLOOKUP(B16,table,8,FALSE)</f>
        <v>10.7</v>
      </c>
      <c r="C21" s="4" t="s">
        <v>26</v>
      </c>
      <c r="D21" s="4"/>
      <c r="E21" s="26"/>
      <c r="F21" s="26"/>
      <c r="G21" s="26"/>
      <c r="H21" s="26"/>
      <c r="I21" s="26"/>
      <c r="J21" s="26"/>
      <c r="K21" s="26"/>
      <c r="L21" s="26"/>
      <c r="M21" s="4"/>
      <c r="N21" s="4"/>
      <c r="O21" s="4"/>
      <c r="S21" s="15">
        <v>450</v>
      </c>
      <c r="T21" s="17">
        <v>98.8</v>
      </c>
      <c r="U21" s="17">
        <v>77.599999999999994</v>
      </c>
      <c r="V21" s="15">
        <v>450</v>
      </c>
      <c r="W21" s="15">
        <v>190</v>
      </c>
      <c r="X21" s="17">
        <v>9.4</v>
      </c>
      <c r="Y21" s="15">
        <v>21</v>
      </c>
      <c r="Z21" s="17">
        <v>14.6</v>
      </c>
      <c r="AA21" s="17">
        <v>35.6</v>
      </c>
      <c r="AB21" s="15">
        <v>378</v>
      </c>
      <c r="AC21" s="15">
        <v>33740</v>
      </c>
      <c r="AD21" s="15">
        <v>1500</v>
      </c>
      <c r="AE21" s="17">
        <v>18.5</v>
      </c>
      <c r="AF21" s="15">
        <v>1680</v>
      </c>
      <c r="AG21" s="15">
        <v>176</v>
      </c>
      <c r="AH21" s="16">
        <v>4.12</v>
      </c>
    </row>
    <row r="22" spans="1:34" x14ac:dyDescent="0.2">
      <c r="A22" s="9" t="s">
        <v>23</v>
      </c>
      <c r="B22" s="18">
        <f>VLOOKUP(B16,table,10,FALSE)</f>
        <v>248</v>
      </c>
      <c r="C22" s="4" t="s">
        <v>26</v>
      </c>
      <c r="D22" s="4"/>
      <c r="E22" s="59" t="s">
        <v>78</v>
      </c>
      <c r="F22" s="59"/>
      <c r="G22" s="20"/>
      <c r="H22" s="20"/>
      <c r="I22" s="20"/>
      <c r="J22" s="20"/>
      <c r="K22" s="20"/>
      <c r="L22" s="20"/>
      <c r="M22" s="4"/>
      <c r="N22" s="4"/>
      <c r="O22" s="4"/>
      <c r="P22" s="4"/>
      <c r="S22" s="15">
        <v>500</v>
      </c>
      <c r="T22" s="15">
        <v>116</v>
      </c>
      <c r="U22" s="17">
        <v>90.7</v>
      </c>
      <c r="V22" s="15">
        <v>500</v>
      </c>
      <c r="W22" s="15">
        <v>200</v>
      </c>
      <c r="X22" s="17">
        <v>10.199999999999999</v>
      </c>
      <c r="Y22" s="15">
        <v>21</v>
      </c>
      <c r="Z22" s="15">
        <v>16</v>
      </c>
      <c r="AA22" s="15">
        <v>37</v>
      </c>
      <c r="AB22" s="15">
        <v>426</v>
      </c>
      <c r="AC22" s="15">
        <v>48200</v>
      </c>
      <c r="AD22" s="15">
        <v>1930</v>
      </c>
      <c r="AE22" s="17">
        <v>20.399999999999999</v>
      </c>
      <c r="AF22" s="15">
        <v>2140</v>
      </c>
      <c r="AG22" s="15">
        <v>214</v>
      </c>
      <c r="AH22" s="16">
        <v>4.3099999999999996</v>
      </c>
    </row>
    <row r="23" spans="1:34" x14ac:dyDescent="0.2">
      <c r="A23" s="9" t="s">
        <v>25</v>
      </c>
      <c r="B23" s="18">
        <f>VLOOKUP(B16,table,3,FALSE)</f>
        <v>42.2</v>
      </c>
      <c r="C23" s="4" t="s">
        <v>28</v>
      </c>
      <c r="D23" s="4"/>
      <c r="E23" s="59" t="s">
        <v>79</v>
      </c>
      <c r="F23" s="59"/>
      <c r="G23" s="60"/>
      <c r="H23" s="60"/>
      <c r="I23" s="59" t="s">
        <v>80</v>
      </c>
      <c r="J23" s="59"/>
      <c r="K23" s="20"/>
      <c r="L23" s="20"/>
      <c r="M23" s="4"/>
      <c r="N23" s="4"/>
      <c r="O23" s="4"/>
      <c r="P23" s="4"/>
      <c r="S23" s="15">
        <v>550</v>
      </c>
      <c r="T23" s="15">
        <v>134</v>
      </c>
      <c r="U23" s="15">
        <v>106</v>
      </c>
      <c r="V23" s="15">
        <v>550</v>
      </c>
      <c r="W23" s="15">
        <v>210</v>
      </c>
      <c r="X23" s="17">
        <v>11.1</v>
      </c>
      <c r="Y23" s="15">
        <v>24</v>
      </c>
      <c r="Z23" s="17">
        <v>17.2</v>
      </c>
      <c r="AA23" s="17">
        <v>41.2</v>
      </c>
      <c r="AB23" s="15">
        <v>467</v>
      </c>
      <c r="AC23" s="15">
        <v>67120</v>
      </c>
      <c r="AD23" s="15">
        <v>2440</v>
      </c>
      <c r="AE23" s="17">
        <v>22.3</v>
      </c>
      <c r="AF23" s="15">
        <v>2670</v>
      </c>
      <c r="AG23" s="15">
        <v>254</v>
      </c>
      <c r="AH23" s="16">
        <v>4.45</v>
      </c>
    </row>
    <row r="24" spans="1:34" ht="20.25" x14ac:dyDescent="0.2">
      <c r="A24" s="4"/>
      <c r="B24" s="4"/>
      <c r="C24" s="4"/>
      <c r="D24" s="4"/>
      <c r="E24" s="20" t="s">
        <v>81</v>
      </c>
      <c r="F24" s="20">
        <f>SQRT((B9/B32)^2+(IF(B13=B1,(B12/B33)^2,((1.25*B12)/B33)^2)))</f>
        <v>48.838793044494551</v>
      </c>
      <c r="G24" s="28" t="str">
        <f>IF(F24&lt;180,"Safe","Unsafe")</f>
        <v>Safe</v>
      </c>
      <c r="H24" s="20"/>
      <c r="I24" s="20" t="s">
        <v>82</v>
      </c>
      <c r="J24" s="20">
        <f>B10/B29</f>
        <v>52</v>
      </c>
      <c r="K24" s="28" t="str">
        <f>IF(J24&lt;=180,"Safe","Unsafe")</f>
        <v>Safe</v>
      </c>
      <c r="L24" s="20"/>
      <c r="S24" s="15">
        <v>600</v>
      </c>
      <c r="T24" s="15">
        <v>156</v>
      </c>
      <c r="U24" s="15">
        <v>122</v>
      </c>
      <c r="V24" s="15">
        <v>600</v>
      </c>
      <c r="W24" s="15">
        <v>220</v>
      </c>
      <c r="X24" s="15">
        <v>12</v>
      </c>
      <c r="Y24" s="15">
        <v>24</v>
      </c>
      <c r="Z24" s="15">
        <v>19</v>
      </c>
      <c r="AA24" s="15">
        <v>43</v>
      </c>
      <c r="AB24" s="15">
        <v>514</v>
      </c>
      <c r="AC24" s="15">
        <v>92080</v>
      </c>
      <c r="AD24" s="15">
        <v>3070</v>
      </c>
      <c r="AE24" s="17">
        <v>24.3</v>
      </c>
      <c r="AF24" s="15">
        <v>3390</v>
      </c>
      <c r="AG24" s="15">
        <v>308</v>
      </c>
      <c r="AH24" s="16">
        <v>4.66</v>
      </c>
    </row>
    <row r="25" spans="1:34" ht="21" x14ac:dyDescent="0.2">
      <c r="A25" s="64" t="s">
        <v>66</v>
      </c>
      <c r="B25" s="64"/>
      <c r="C25" s="64"/>
      <c r="D25" s="4"/>
      <c r="E25" s="20" t="s">
        <v>83</v>
      </c>
      <c r="F25" s="20">
        <f>F24*SQRT((B5)/(PI()^2*2100))</f>
        <v>0.52554634911302056</v>
      </c>
      <c r="G25" s="20"/>
      <c r="H25" s="20"/>
      <c r="I25" s="20" t="s">
        <v>84</v>
      </c>
      <c r="J25" s="20">
        <f>J24*SQRT((B5)/(PI()^2*2100))</f>
        <v>0.55956358563119157</v>
      </c>
      <c r="K25" s="20"/>
      <c r="L25" s="20"/>
      <c r="S25" s="1">
        <v>1</v>
      </c>
      <c r="T25" s="1">
        <v>2</v>
      </c>
      <c r="U25" s="1">
        <v>3</v>
      </c>
      <c r="V25" s="1">
        <v>4</v>
      </c>
      <c r="W25" s="1">
        <v>5</v>
      </c>
      <c r="X25" s="1">
        <v>6</v>
      </c>
      <c r="Y25" s="1">
        <v>7</v>
      </c>
      <c r="Z25" s="1">
        <v>8</v>
      </c>
      <c r="AA25" s="1">
        <v>9</v>
      </c>
      <c r="AB25" s="1">
        <v>10</v>
      </c>
      <c r="AC25" s="1">
        <v>11</v>
      </c>
      <c r="AD25" s="1">
        <v>12</v>
      </c>
      <c r="AE25" s="1">
        <v>13</v>
      </c>
      <c r="AF25" s="1">
        <v>14</v>
      </c>
      <c r="AG25" s="1">
        <v>15</v>
      </c>
      <c r="AH25" s="1">
        <v>16</v>
      </c>
    </row>
    <row r="26" spans="1:34" ht="21" x14ac:dyDescent="0.2">
      <c r="A26" s="9" t="s">
        <v>24</v>
      </c>
      <c r="B26" s="4">
        <f>2*VLOOKUP(B16,table,2,FALSE)</f>
        <v>107.6</v>
      </c>
      <c r="C26" s="4" t="s">
        <v>47</v>
      </c>
      <c r="D26" s="4"/>
      <c r="E26" s="20" t="s">
        <v>85</v>
      </c>
      <c r="F26" s="20">
        <f>IF(F25&lt;1.1,B5*(1-0.384*(F25)^2),IF(F25&gt;1.1,(0.648*B5)/(F25)^2))</f>
        <v>2.1454550337951512</v>
      </c>
      <c r="G26" s="20" t="s">
        <v>45</v>
      </c>
      <c r="H26" s="20"/>
      <c r="I26" s="20" t="s">
        <v>85</v>
      </c>
      <c r="J26" s="20">
        <f>IF(J25&lt;1.1,B5*(1-0.384*(J25)^2),IF(J25&gt;1.1,(0.648*B5)/(J25)^2))</f>
        <v>2.111436527894536</v>
      </c>
      <c r="K26" s="20" t="s">
        <v>45</v>
      </c>
      <c r="L26" s="20"/>
      <c r="M26" s="4"/>
      <c r="N26" s="4"/>
      <c r="O26" s="4"/>
    </row>
    <row r="27" spans="1:34" ht="21" x14ac:dyDescent="0.2">
      <c r="A27" s="20" t="s">
        <v>92</v>
      </c>
      <c r="B27" s="4">
        <f>2*VLOOKUP(B16,table,11,FALSE)</f>
        <v>16720</v>
      </c>
      <c r="C27" s="4" t="s">
        <v>48</v>
      </c>
      <c r="D27" s="4"/>
      <c r="E27" s="20" t="s">
        <v>86</v>
      </c>
      <c r="F27" s="20">
        <f>F26*B26</f>
        <v>230.85096163635825</v>
      </c>
      <c r="G27" s="20" t="s">
        <v>87</v>
      </c>
      <c r="H27" s="20"/>
      <c r="I27" s="20" t="s">
        <v>88</v>
      </c>
      <c r="J27" s="20">
        <f>J26*B26</f>
        <v>227.19057040145205</v>
      </c>
      <c r="K27" s="20" t="s">
        <v>87</v>
      </c>
      <c r="L27" s="20"/>
      <c r="M27" s="4"/>
      <c r="N27" s="4"/>
      <c r="O27" s="4"/>
    </row>
    <row r="28" spans="1:34" ht="21" x14ac:dyDescent="0.2">
      <c r="A28" s="20" t="s">
        <v>94</v>
      </c>
      <c r="B28" s="20">
        <f>0.5*VLOOKUP(B16,table,2,FALSE)*0.25*B17*0.1*4</f>
        <v>807</v>
      </c>
      <c r="C28" s="20" t="s">
        <v>93</v>
      </c>
      <c r="D28" s="4"/>
      <c r="E28" s="20"/>
      <c r="F28" s="20"/>
      <c r="G28" s="20"/>
      <c r="H28" s="20"/>
      <c r="I28" s="20"/>
      <c r="J28" s="20"/>
      <c r="K28" s="20"/>
      <c r="L28" s="20"/>
    </row>
    <row r="29" spans="1:34" ht="20.25" x14ac:dyDescent="0.2">
      <c r="A29" s="20" t="s">
        <v>95</v>
      </c>
      <c r="B29" s="4">
        <f>VLOOKUP(B16,table,13,FALSE)</f>
        <v>12.5</v>
      </c>
      <c r="C29" s="4" t="s">
        <v>27</v>
      </c>
      <c r="D29" s="4"/>
      <c r="E29" s="59" t="s">
        <v>89</v>
      </c>
      <c r="F29" s="59"/>
      <c r="G29" s="20"/>
      <c r="H29" s="20"/>
      <c r="I29" s="20"/>
      <c r="J29" s="20"/>
      <c r="K29" s="20"/>
      <c r="L29" s="20"/>
    </row>
    <row r="30" spans="1:34" ht="21" x14ac:dyDescent="0.2">
      <c r="A30" s="20" t="s">
        <v>96</v>
      </c>
      <c r="B30" s="4">
        <f>2*(VLOOKUP(B16,table,14,FALSE)+VLOOKUP(B16,table,2,FALSE)*(0.5*B11)^2)</f>
        <v>68458</v>
      </c>
      <c r="C30" s="4" t="s">
        <v>48</v>
      </c>
      <c r="D30" s="4"/>
      <c r="E30" s="29" t="s">
        <v>90</v>
      </c>
      <c r="F30" s="29"/>
      <c r="G30" s="20"/>
      <c r="H30" s="20"/>
      <c r="I30" s="20"/>
      <c r="J30" s="20"/>
      <c r="K30" s="20"/>
      <c r="L30" s="20"/>
    </row>
    <row r="31" spans="1:34" ht="21" x14ac:dyDescent="0.2">
      <c r="A31" s="26" t="s">
        <v>150</v>
      </c>
      <c r="B31" s="4">
        <f>VLOOKUP(B16,table,2,FALSE)*0.5*B11*2</f>
        <v>2690</v>
      </c>
      <c r="C31" s="26" t="s">
        <v>93</v>
      </c>
      <c r="E31" s="60" t="str">
        <f>IF(F7/(0.8*F27)&lt;=0.2,"Pu / ᶲPnx &lt;= 0.2","")</f>
        <v>Pu / ᶲPnx &lt;= 0.2</v>
      </c>
      <c r="F31" s="60"/>
      <c r="G31" s="20" t="str">
        <f>IF(F7/(0.8*F27)&lt;=0.2,"&gt;&gt;&gt;&gt;","")</f>
        <v>&gt;&gt;&gt;&gt;</v>
      </c>
      <c r="H31" s="20">
        <f>IF(F7/(0.8*F27)&lt;=0.2,F7/(2*0.8*F27)+F5/(0.85*F19)+F6/(0.85*F20),"")</f>
        <v>0.78920705885417386</v>
      </c>
      <c r="I31" s="28" t="str">
        <f>IF((F7/(0.8*F27))&lt;=0.2,IF(H31&lt;=1,"Safe","Unsafe"),0)</f>
        <v>Safe</v>
      </c>
      <c r="J31" s="20"/>
      <c r="K31" s="20"/>
      <c r="L31" s="20"/>
    </row>
    <row r="32" spans="1:34" ht="20.25" x14ac:dyDescent="0.2">
      <c r="A32" s="20" t="s">
        <v>97</v>
      </c>
      <c r="B32" s="4">
        <f>SQRT(B30/B26)</f>
        <v>25.223535949570127</v>
      </c>
      <c r="C32" s="4" t="s">
        <v>27</v>
      </c>
      <c r="E32" s="60" t="str">
        <f>IF(F7/(0.8*F27)&gt;0.2,"Pu / ᶲPnx &gt; 0.2","")</f>
        <v/>
      </c>
      <c r="F32" s="60"/>
      <c r="G32" s="20" t="str">
        <f>IF(F7/(0.8*F27)&gt;0.2,"&gt;&gt;&gt;&gt;","")</f>
        <v/>
      </c>
      <c r="H32" s="20" t="str">
        <f>IF(F7/(0.8*F27)&gt;0.2,F7/(0.8*F27)+(8/9)*((F5/(0.85*F19))+(F6/(0.85*F20))),"")</f>
        <v/>
      </c>
      <c r="I32" s="28" t="str">
        <f>IF((F7/(0.8*F27))&gt;0.2,IF(H32&lt;=1,"Safe","Unsafe"),"")</f>
        <v/>
      </c>
      <c r="J32" s="20"/>
      <c r="K32" s="20"/>
      <c r="L32" s="20"/>
    </row>
    <row r="33" spans="1:12" ht="20.25" x14ac:dyDescent="0.2">
      <c r="A33" s="20" t="s">
        <v>101</v>
      </c>
      <c r="B33" s="4">
        <f>VLOOKUP(B16,table,16,FALSE)</f>
        <v>3.35</v>
      </c>
      <c r="C33" s="4" t="s">
        <v>27</v>
      </c>
      <c r="E33" s="20"/>
      <c r="F33" s="20"/>
      <c r="G33" s="20"/>
      <c r="H33" s="20"/>
      <c r="I33" s="20"/>
      <c r="J33" s="20"/>
      <c r="K33" s="20"/>
      <c r="L33" s="20"/>
    </row>
    <row r="34" spans="1:12" x14ac:dyDescent="0.2">
      <c r="A34" s="30"/>
      <c r="B34" s="21"/>
      <c r="C34" s="20"/>
      <c r="E34" s="29" t="s">
        <v>91</v>
      </c>
      <c r="F34" s="29"/>
      <c r="G34" s="29"/>
      <c r="H34" s="20"/>
      <c r="I34" s="20"/>
      <c r="J34" s="20"/>
      <c r="K34" s="20"/>
      <c r="L34" s="20"/>
    </row>
    <row r="35" spans="1:12" x14ac:dyDescent="0.2">
      <c r="A35" s="20"/>
      <c r="B35" s="20"/>
      <c r="C35" s="20"/>
      <c r="E35" s="25">
        <f>(F7/(0.8*J27))+(F5/(0.85*F19))^2</f>
        <v>0.6646425019497737</v>
      </c>
      <c r="F35" s="28" t="str">
        <f>IF(E35&lt;=1,"Safe","Unsafe")</f>
        <v>Safe</v>
      </c>
      <c r="J35" s="20"/>
      <c r="K35" s="20"/>
      <c r="L35" s="20"/>
    </row>
    <row r="36" spans="1:12" x14ac:dyDescent="0.25">
      <c r="E36" s="20"/>
      <c r="F36" s="20"/>
      <c r="G36" s="24"/>
      <c r="H36" s="20"/>
      <c r="I36" s="20"/>
      <c r="J36" s="20"/>
      <c r="K36" s="20"/>
    </row>
    <row r="37" spans="1:12" x14ac:dyDescent="0.2">
      <c r="H37" s="20"/>
      <c r="I37" s="20"/>
      <c r="J37" s="20"/>
      <c r="K37" s="20"/>
    </row>
    <row r="38" spans="1:12" x14ac:dyDescent="0.2">
      <c r="H38" s="20"/>
      <c r="I38" s="20"/>
      <c r="J38" s="20"/>
      <c r="K38" s="20"/>
    </row>
    <row r="39" spans="1:12" x14ac:dyDescent="0.2">
      <c r="J39" s="4"/>
    </row>
  </sheetData>
  <mergeCells count="20">
    <mergeCell ref="A25:C25"/>
    <mergeCell ref="X1:Y1"/>
    <mergeCell ref="V2:AB2"/>
    <mergeCell ref="AC2:AE2"/>
    <mergeCell ref="E22:F22"/>
    <mergeCell ref="E23:F23"/>
    <mergeCell ref="G23:H23"/>
    <mergeCell ref="B13:C13"/>
    <mergeCell ref="B4:C4"/>
    <mergeCell ref="B16:C16"/>
    <mergeCell ref="A15:C15"/>
    <mergeCell ref="A8:C8"/>
    <mergeCell ref="H15:H16"/>
    <mergeCell ref="I15:I16"/>
    <mergeCell ref="J15:J16"/>
    <mergeCell ref="I23:J23"/>
    <mergeCell ref="E29:F29"/>
    <mergeCell ref="E31:F31"/>
    <mergeCell ref="E32:F32"/>
    <mergeCell ref="AF2:AH2"/>
  </mergeCells>
  <conditionalFormatting sqref="Q19:Q20 P22:P23 M26:O27">
    <cfRule type="cellIs" dxfId="11" priority="7" operator="equal">
      <formula>"safe"</formula>
    </cfRule>
  </conditionalFormatting>
  <conditionalFormatting sqref="Q19:Q20 P22:P23 M26:O27">
    <cfRule type="cellIs" dxfId="10" priority="6" operator="equal">
      <formula>"unsafe"</formula>
    </cfRule>
  </conditionalFormatting>
  <conditionalFormatting sqref="K24 G24 I31:I32 F35">
    <cfRule type="cellIs" dxfId="9" priority="4" operator="equal">
      <formula>"Safe"</formula>
    </cfRule>
  </conditionalFormatting>
  <conditionalFormatting sqref="K24 G24 I31:I32 F35">
    <cfRule type="cellIs" dxfId="8" priority="3" operator="equal">
      <formula>"Unsafe"</formula>
    </cfRule>
  </conditionalFormatting>
  <dataValidations disablePrompts="1" count="3">
    <dataValidation type="list" allowBlank="1" showInputMessage="1" showErrorMessage="1" sqref="B4:C4" xr:uid="{34605886-277D-4211-AD9A-E7704A4E2715}">
      <formula1>$A$1:$A$3</formula1>
    </dataValidation>
    <dataValidation type="list" allowBlank="1" showInputMessage="1" showErrorMessage="1" sqref="B16:C16" xr:uid="{3299279B-C379-4AD0-A1B3-E7005050D006}">
      <formula1>$S$4:$S$24</formula1>
    </dataValidation>
    <dataValidation type="list" allowBlank="1" showInputMessage="1" showErrorMessage="1" sqref="B13:B14" xr:uid="{E81F51BF-5B12-48F5-846E-2C0824C8E938}">
      <formula1>$B$1:$B$2</formula1>
    </dataValidation>
  </dataValidations>
  <pageMargins left="0.7" right="0.7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E5E7D-6319-4C88-B798-18DADF1A81AF}">
  <dimension ref="A1:AI39"/>
  <sheetViews>
    <sheetView showGridLines="0" topLeftCell="A8" zoomScale="55" zoomScaleNormal="55" zoomScaleSheetLayoutView="40" workbookViewId="0">
      <selection activeCell="L36" sqref="L36"/>
    </sheetView>
  </sheetViews>
  <sheetFormatPr defaultRowHeight="18.75" x14ac:dyDescent="0.2"/>
  <cols>
    <col min="1" max="1" width="10.375" style="1" bestFit="1" customWidth="1"/>
    <col min="2" max="2" width="9.375" style="1" customWidth="1"/>
    <col min="3" max="3" width="10.125" style="1" customWidth="1"/>
    <col min="4" max="4" width="3.5" style="1" bestFit="1" customWidth="1"/>
    <col min="5" max="5" width="12.375" style="1" bestFit="1" customWidth="1"/>
    <col min="6" max="6" width="10.875" style="1" customWidth="1"/>
    <col min="7" max="7" width="9.875" style="1" bestFit="1" customWidth="1"/>
    <col min="8" max="8" width="9.75" style="1" bestFit="1" customWidth="1"/>
    <col min="9" max="9" width="9.875" style="1" bestFit="1" customWidth="1"/>
    <col min="10" max="10" width="13.5" style="1" bestFit="1" customWidth="1"/>
    <col min="11" max="11" width="6.75" style="1" bestFit="1" customWidth="1"/>
    <col min="12" max="12" width="8.25" style="1" bestFit="1" customWidth="1"/>
    <col min="13" max="18" width="9" style="1"/>
    <col min="19" max="19" width="7.625" style="1" bestFit="1" customWidth="1"/>
    <col min="20" max="20" width="8.25" style="1" bestFit="1" customWidth="1"/>
    <col min="21" max="21" width="10.375" style="1" bestFit="1" customWidth="1"/>
    <col min="22" max="23" width="5.625" style="1" bestFit="1" customWidth="1"/>
    <col min="24" max="24" width="5.75" style="1" bestFit="1" customWidth="1"/>
    <col min="25" max="25" width="4.25" style="1" bestFit="1" customWidth="1"/>
    <col min="26" max="26" width="5.75" style="1" bestFit="1" customWidth="1"/>
    <col min="27" max="27" width="6.25" style="1" bestFit="1" customWidth="1"/>
    <col min="28" max="28" width="7.875" style="1" bestFit="1" customWidth="1"/>
    <col min="29" max="29" width="8.25" style="1" bestFit="1" customWidth="1"/>
    <col min="30" max="30" width="8.75" style="1" bestFit="1" customWidth="1"/>
    <col min="31" max="31" width="7.625" style="1" bestFit="1" customWidth="1"/>
    <col min="32" max="32" width="8.25" style="1" bestFit="1" customWidth="1"/>
    <col min="33" max="33" width="8.75" style="1" bestFit="1" customWidth="1"/>
    <col min="34" max="34" width="7.625" style="1" bestFit="1" customWidth="1"/>
    <col min="35" max="16384" width="9" style="1"/>
  </cols>
  <sheetData>
    <row r="1" spans="1:35" x14ac:dyDescent="0.2">
      <c r="A1" s="10">
        <v>37</v>
      </c>
      <c r="B1" s="6" t="s">
        <v>32</v>
      </c>
      <c r="D1" s="10"/>
      <c r="E1" s="4"/>
      <c r="F1" s="4"/>
      <c r="G1" s="4"/>
      <c r="H1" s="4"/>
      <c r="I1" s="4"/>
      <c r="J1" s="4"/>
      <c r="K1" s="4"/>
      <c r="L1" s="4"/>
    </row>
    <row r="2" spans="1:35" ht="18.75" customHeight="1" x14ac:dyDescent="0.2">
      <c r="A2" s="10">
        <v>44</v>
      </c>
      <c r="B2" s="6" t="s">
        <v>33</v>
      </c>
      <c r="D2" s="10"/>
      <c r="E2" s="4"/>
      <c r="F2" s="4"/>
      <c r="G2" s="4"/>
      <c r="H2" s="4"/>
      <c r="I2" s="4"/>
      <c r="J2" s="4"/>
      <c r="K2" s="4"/>
      <c r="L2" s="4"/>
      <c r="S2" s="70" t="s">
        <v>4</v>
      </c>
      <c r="T2" s="3" t="s">
        <v>5</v>
      </c>
      <c r="U2" s="69" t="s">
        <v>6</v>
      </c>
      <c r="V2" s="71" t="s">
        <v>7</v>
      </c>
      <c r="W2" s="71"/>
      <c r="X2" s="71"/>
      <c r="Y2" s="71"/>
      <c r="Z2" s="71"/>
      <c r="AA2" s="71"/>
      <c r="AB2" s="72" t="s">
        <v>8</v>
      </c>
      <c r="AC2" s="72"/>
      <c r="AD2" s="72"/>
      <c r="AE2" s="72" t="s">
        <v>9</v>
      </c>
      <c r="AF2" s="72"/>
      <c r="AG2" s="72"/>
      <c r="AH2" s="73" t="s">
        <v>10</v>
      </c>
      <c r="AI2" s="73"/>
    </row>
    <row r="3" spans="1:35" x14ac:dyDescent="0.2">
      <c r="A3" s="10">
        <v>52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S3" s="70"/>
      <c r="T3" s="69" t="s">
        <v>35</v>
      </c>
      <c r="U3" s="69"/>
      <c r="V3" s="72" t="s">
        <v>11</v>
      </c>
      <c r="W3" s="72" t="s">
        <v>12</v>
      </c>
      <c r="X3" s="72" t="s">
        <v>13</v>
      </c>
      <c r="Y3" s="69" t="s">
        <v>36</v>
      </c>
      <c r="Z3" s="72" t="s">
        <v>14</v>
      </c>
      <c r="AA3" s="69" t="s">
        <v>15</v>
      </c>
      <c r="AB3" s="68" t="s">
        <v>37</v>
      </c>
      <c r="AC3" s="68" t="s">
        <v>38</v>
      </c>
      <c r="AD3" s="68" t="s">
        <v>39</v>
      </c>
      <c r="AE3" s="68" t="s">
        <v>40</v>
      </c>
      <c r="AF3" s="68" t="s">
        <v>41</v>
      </c>
      <c r="AG3" s="68" t="s">
        <v>42</v>
      </c>
      <c r="AH3" s="68" t="s">
        <v>43</v>
      </c>
      <c r="AI3" s="68" t="s">
        <v>44</v>
      </c>
    </row>
    <row r="4" spans="1:35" ht="21" x14ac:dyDescent="0.2">
      <c r="A4" s="7" t="s">
        <v>49</v>
      </c>
      <c r="B4" s="67">
        <v>37</v>
      </c>
      <c r="C4" s="67"/>
      <c r="D4" s="4"/>
      <c r="E4" s="22" t="s">
        <v>67</v>
      </c>
      <c r="F4" s="22"/>
      <c r="G4" s="22"/>
      <c r="H4" s="4"/>
      <c r="I4" s="4"/>
      <c r="J4" s="4"/>
      <c r="K4" s="4"/>
      <c r="L4" s="4"/>
      <c r="S4" s="70"/>
      <c r="T4" s="69"/>
      <c r="U4" s="3" t="s">
        <v>16</v>
      </c>
      <c r="V4" s="72"/>
      <c r="W4" s="72"/>
      <c r="X4" s="72"/>
      <c r="Y4" s="69"/>
      <c r="Z4" s="72"/>
      <c r="AA4" s="69"/>
      <c r="AB4" s="68"/>
      <c r="AC4" s="68"/>
      <c r="AD4" s="68"/>
      <c r="AE4" s="68"/>
      <c r="AF4" s="68"/>
      <c r="AG4" s="68"/>
      <c r="AH4" s="68"/>
      <c r="AI4" s="68"/>
    </row>
    <row r="5" spans="1:35" ht="21" x14ac:dyDescent="0.2">
      <c r="A5" s="9" t="s">
        <v>1</v>
      </c>
      <c r="B5" s="4">
        <f>IF(B4=A1,2.4,IF(B4=A2,2.8,3.6))</f>
        <v>2.4</v>
      </c>
      <c r="C5" s="4" t="s">
        <v>45</v>
      </c>
      <c r="D5" s="4"/>
      <c r="E5" s="4" t="s">
        <v>68</v>
      </c>
      <c r="F5" s="5">
        <v>3600</v>
      </c>
      <c r="G5" s="4" t="s">
        <v>2</v>
      </c>
      <c r="H5" s="4"/>
      <c r="I5" s="4"/>
      <c r="J5" s="4"/>
      <c r="K5" s="4"/>
      <c r="L5" s="4"/>
      <c r="S5" s="2" t="s">
        <v>17</v>
      </c>
      <c r="T5" s="31">
        <v>2.21</v>
      </c>
      <c r="U5" s="31">
        <v>1.74</v>
      </c>
      <c r="V5" s="32">
        <v>30</v>
      </c>
      <c r="W5" s="32">
        <v>15</v>
      </c>
      <c r="X5" s="32">
        <v>4</v>
      </c>
      <c r="Y5" s="33">
        <v>4.5</v>
      </c>
      <c r="Z5" s="33">
        <v>9</v>
      </c>
      <c r="AA5" s="32">
        <v>12</v>
      </c>
      <c r="AB5" s="31">
        <v>2.5299999999999998</v>
      </c>
      <c r="AC5" s="31">
        <v>1.69</v>
      </c>
      <c r="AD5" s="31">
        <v>1.07</v>
      </c>
      <c r="AE5" s="31">
        <v>0.38</v>
      </c>
      <c r="AF5" s="31">
        <v>0.39</v>
      </c>
      <c r="AG5" s="31">
        <v>0.42</v>
      </c>
      <c r="AH5" s="34">
        <v>0.52</v>
      </c>
      <c r="AI5" s="31">
        <v>0.74</v>
      </c>
    </row>
    <row r="6" spans="1:35" ht="21" x14ac:dyDescent="0.2">
      <c r="A6" s="9" t="s">
        <v>0</v>
      </c>
      <c r="B6" s="4">
        <f>IF(B4=A1,3.6,IF(B4=A2,4.4,5.2))</f>
        <v>3.6</v>
      </c>
      <c r="C6" s="4" t="s">
        <v>45</v>
      </c>
      <c r="D6" s="4"/>
      <c r="E6" s="4" t="s">
        <v>69</v>
      </c>
      <c r="F6" s="5">
        <v>0</v>
      </c>
      <c r="G6" s="4" t="s">
        <v>2</v>
      </c>
      <c r="H6" s="4"/>
      <c r="I6" s="4"/>
      <c r="J6" s="4"/>
      <c r="K6" s="4"/>
      <c r="L6" s="4"/>
      <c r="S6" s="35">
        <v>30</v>
      </c>
      <c r="T6" s="31">
        <v>5.44</v>
      </c>
      <c r="U6" s="31">
        <v>4.2699999999999996</v>
      </c>
      <c r="V6" s="32">
        <v>30</v>
      </c>
      <c r="W6" s="32">
        <v>33</v>
      </c>
      <c r="X6" s="32">
        <v>5</v>
      </c>
      <c r="Y6" s="33">
        <v>7</v>
      </c>
      <c r="Z6" s="33">
        <v>14.5</v>
      </c>
      <c r="AA6" s="32">
        <v>1</v>
      </c>
      <c r="AB6" s="31">
        <v>6.39</v>
      </c>
      <c r="AC6" s="31">
        <v>4.26</v>
      </c>
      <c r="AD6" s="31">
        <v>1.08</v>
      </c>
      <c r="AE6" s="31">
        <v>5.33</v>
      </c>
      <c r="AF6" s="31">
        <v>2.68</v>
      </c>
      <c r="AG6" s="31">
        <v>0.99</v>
      </c>
      <c r="AH6" s="34">
        <v>1.31</v>
      </c>
      <c r="AI6" s="31">
        <v>2.2200000000000002</v>
      </c>
    </row>
    <row r="7" spans="1:35" x14ac:dyDescent="0.2">
      <c r="A7" s="9"/>
      <c r="B7" s="4"/>
      <c r="C7" s="4"/>
      <c r="D7" s="4"/>
      <c r="E7" s="4" t="s">
        <v>70</v>
      </c>
      <c r="F7" s="5">
        <v>26</v>
      </c>
      <c r="G7" s="4" t="s">
        <v>3</v>
      </c>
      <c r="H7" s="4"/>
      <c r="I7" s="4"/>
      <c r="J7" s="4"/>
      <c r="K7" s="4"/>
      <c r="L7" s="4"/>
      <c r="S7" s="2" t="s">
        <v>18</v>
      </c>
      <c r="T7" s="31">
        <v>3.66</v>
      </c>
      <c r="U7" s="31">
        <v>2.87</v>
      </c>
      <c r="V7" s="32">
        <v>40</v>
      </c>
      <c r="W7" s="32">
        <v>20</v>
      </c>
      <c r="X7" s="32">
        <v>5</v>
      </c>
      <c r="Y7" s="33">
        <v>5.5</v>
      </c>
      <c r="Z7" s="33">
        <v>11</v>
      </c>
      <c r="AA7" s="32">
        <v>18</v>
      </c>
      <c r="AB7" s="31">
        <v>7.58</v>
      </c>
      <c r="AC7" s="31">
        <v>3.79</v>
      </c>
      <c r="AD7" s="31">
        <v>1.44</v>
      </c>
      <c r="AE7" s="31">
        <v>1.1399999999999999</v>
      </c>
      <c r="AF7" s="31">
        <v>0.86</v>
      </c>
      <c r="AG7" s="31">
        <v>0.56000000000000005</v>
      </c>
      <c r="AH7" s="34">
        <v>0.67</v>
      </c>
      <c r="AI7" s="31">
        <v>1.01</v>
      </c>
    </row>
    <row r="8" spans="1:35" x14ac:dyDescent="0.2">
      <c r="A8" s="59" t="s">
        <v>71</v>
      </c>
      <c r="B8" s="59"/>
      <c r="C8" s="59"/>
      <c r="D8" s="4"/>
      <c r="E8" s="4"/>
      <c r="F8" s="4"/>
      <c r="G8" s="4"/>
      <c r="H8" s="4"/>
      <c r="I8" s="4"/>
      <c r="J8" s="4"/>
      <c r="K8" s="4"/>
      <c r="L8" s="4"/>
      <c r="S8" s="35">
        <v>40</v>
      </c>
      <c r="T8" s="31">
        <v>6.21</v>
      </c>
      <c r="U8" s="31">
        <v>4.87</v>
      </c>
      <c r="V8" s="32">
        <v>40</v>
      </c>
      <c r="W8" s="32">
        <v>35</v>
      </c>
      <c r="X8" s="32">
        <v>5</v>
      </c>
      <c r="Y8" s="33">
        <v>7</v>
      </c>
      <c r="Z8" s="33">
        <v>14.5</v>
      </c>
      <c r="AA8" s="32">
        <v>11</v>
      </c>
      <c r="AB8" s="31">
        <v>14.1</v>
      </c>
      <c r="AC8" s="31">
        <v>7.05</v>
      </c>
      <c r="AD8" s="31">
        <v>1.5</v>
      </c>
      <c r="AE8" s="31">
        <v>6.68</v>
      </c>
      <c r="AF8" s="31">
        <v>3.08</v>
      </c>
      <c r="AG8" s="31">
        <v>1.04</v>
      </c>
      <c r="AH8" s="34">
        <v>1.33</v>
      </c>
      <c r="AI8" s="31">
        <v>2.3199999999999998</v>
      </c>
    </row>
    <row r="9" spans="1:35" ht="23.25" x14ac:dyDescent="0.2">
      <c r="A9" s="20" t="s">
        <v>72</v>
      </c>
      <c r="B9" s="21">
        <f>1.2*1050</f>
        <v>1260</v>
      </c>
      <c r="C9" s="20" t="s">
        <v>27</v>
      </c>
      <c r="D9" s="4"/>
      <c r="E9" s="8" t="s">
        <v>30</v>
      </c>
      <c r="F9" s="4"/>
      <c r="G9" s="4"/>
      <c r="H9" s="4"/>
      <c r="I9" s="4"/>
      <c r="J9" s="4"/>
      <c r="K9" s="4"/>
      <c r="L9" s="4"/>
      <c r="Q9" s="4"/>
      <c r="S9" s="2" t="s">
        <v>19</v>
      </c>
      <c r="T9" s="31">
        <v>4.92</v>
      </c>
      <c r="U9" s="31">
        <v>3.86</v>
      </c>
      <c r="V9" s="32">
        <v>50</v>
      </c>
      <c r="W9" s="32">
        <v>25</v>
      </c>
      <c r="X9" s="32">
        <v>5</v>
      </c>
      <c r="Y9" s="33">
        <v>6</v>
      </c>
      <c r="Z9" s="33">
        <v>12.5</v>
      </c>
      <c r="AA9" s="32">
        <v>25</v>
      </c>
      <c r="AB9" s="31">
        <v>16.600000000000001</v>
      </c>
      <c r="AC9" s="31">
        <v>6.73</v>
      </c>
      <c r="AD9" s="31">
        <v>1.85</v>
      </c>
      <c r="AE9" s="31">
        <v>2.4900000000000002</v>
      </c>
      <c r="AF9" s="31">
        <v>1.48</v>
      </c>
      <c r="AG9" s="31">
        <v>0.71</v>
      </c>
      <c r="AH9" s="34">
        <v>0.81</v>
      </c>
      <c r="AI9" s="31">
        <v>1.34</v>
      </c>
    </row>
    <row r="10" spans="1:35" ht="21" x14ac:dyDescent="0.2">
      <c r="A10" s="20" t="s">
        <v>73</v>
      </c>
      <c r="B10" s="21">
        <v>350</v>
      </c>
      <c r="C10" s="20" t="s">
        <v>27</v>
      </c>
      <c r="D10" s="4"/>
      <c r="E10" s="19" t="s">
        <v>142</v>
      </c>
      <c r="F10" s="4"/>
      <c r="G10" s="4"/>
      <c r="H10" s="4"/>
      <c r="I10" s="4"/>
      <c r="J10" s="4"/>
      <c r="K10" s="4"/>
      <c r="L10" s="4"/>
      <c r="Q10" s="4"/>
      <c r="S10" s="35">
        <v>50</v>
      </c>
      <c r="T10" s="31">
        <v>7.12</v>
      </c>
      <c r="U10" s="31">
        <v>5.59</v>
      </c>
      <c r="V10" s="32">
        <v>50</v>
      </c>
      <c r="W10" s="32">
        <v>38</v>
      </c>
      <c r="X10" s="32">
        <v>5</v>
      </c>
      <c r="Y10" s="33">
        <v>7</v>
      </c>
      <c r="Z10" s="33">
        <v>15</v>
      </c>
      <c r="AA10" s="32">
        <v>20</v>
      </c>
      <c r="AB10" s="31">
        <v>26.4</v>
      </c>
      <c r="AC10" s="31">
        <v>10.6</v>
      </c>
      <c r="AD10" s="31">
        <v>1.92</v>
      </c>
      <c r="AE10" s="31">
        <v>9.1199999999999992</v>
      </c>
      <c r="AF10" s="31">
        <v>3.75</v>
      </c>
      <c r="AG10" s="31">
        <v>1.1299999999999999</v>
      </c>
      <c r="AH10" s="34">
        <v>1.37</v>
      </c>
      <c r="AI10" s="31">
        <v>2.4700000000000002</v>
      </c>
    </row>
    <row r="11" spans="1:35" ht="21" x14ac:dyDescent="0.2">
      <c r="A11" s="4" t="s">
        <v>29</v>
      </c>
      <c r="B11" s="5">
        <v>50</v>
      </c>
      <c r="C11" s="4" t="s">
        <v>27</v>
      </c>
      <c r="D11" s="4"/>
      <c r="E11" s="23" t="s">
        <v>99</v>
      </c>
      <c r="F11" s="4">
        <f>B11/(0.1*B17)</f>
        <v>1.7857142857142858</v>
      </c>
      <c r="G11" s="4" t="str">
        <f>IF(AND(F11&gt;=1.5,F11&lt;=2),"Ok","Check again")</f>
        <v>Ok</v>
      </c>
      <c r="H11" s="4"/>
      <c r="I11" s="4"/>
      <c r="J11" s="4"/>
      <c r="K11" s="4"/>
      <c r="L11" s="4"/>
      <c r="Q11" s="4"/>
      <c r="S11" s="35">
        <v>60</v>
      </c>
      <c r="T11" s="31">
        <v>6.46</v>
      </c>
      <c r="U11" s="31">
        <v>5.07</v>
      </c>
      <c r="V11" s="32">
        <v>60</v>
      </c>
      <c r="W11" s="32">
        <v>30</v>
      </c>
      <c r="X11" s="32">
        <v>6</v>
      </c>
      <c r="Y11" s="33">
        <v>6</v>
      </c>
      <c r="Z11" s="33">
        <v>12.5</v>
      </c>
      <c r="AA11" s="32">
        <v>35</v>
      </c>
      <c r="AB11" s="31">
        <v>31.6</v>
      </c>
      <c r="AC11" s="31">
        <v>10.5</v>
      </c>
      <c r="AD11" s="31">
        <v>2.21</v>
      </c>
      <c r="AE11" s="31">
        <v>4.51</v>
      </c>
      <c r="AF11" s="31">
        <v>2.16</v>
      </c>
      <c r="AG11" s="31">
        <v>0.84</v>
      </c>
      <c r="AH11" s="34">
        <v>0.91</v>
      </c>
      <c r="AI11" s="31">
        <v>1.5</v>
      </c>
    </row>
    <row r="12" spans="1:35" ht="20.25" x14ac:dyDescent="0.2">
      <c r="A12" s="20" t="s">
        <v>100</v>
      </c>
      <c r="B12" s="5">
        <v>100</v>
      </c>
      <c r="C12" s="4" t="s">
        <v>27</v>
      </c>
      <c r="D12" s="4"/>
      <c r="E12" s="20" t="s">
        <v>102</v>
      </c>
      <c r="F12" s="4">
        <f>B12/B32</f>
        <v>36.496350364963497</v>
      </c>
      <c r="G12" s="4" t="str">
        <f>IF(AND(F12&lt;=60,F12&lt;=(2/3)*MAX(F24,J24)),"Ok","Check again")</f>
        <v>Ok</v>
      </c>
      <c r="H12" s="4"/>
      <c r="I12" s="4"/>
      <c r="J12" s="4"/>
      <c r="K12" s="4"/>
      <c r="L12" s="4"/>
      <c r="P12" s="4"/>
      <c r="Q12" s="4"/>
      <c r="S12" s="35">
        <v>65</v>
      </c>
      <c r="T12" s="31">
        <v>9.0299999999999994</v>
      </c>
      <c r="U12" s="31">
        <v>7.09</v>
      </c>
      <c r="V12" s="32">
        <v>65</v>
      </c>
      <c r="W12" s="32">
        <v>42</v>
      </c>
      <c r="X12" s="33">
        <v>5.5</v>
      </c>
      <c r="Y12" s="33">
        <v>7.5</v>
      </c>
      <c r="Z12" s="33">
        <v>16</v>
      </c>
      <c r="AA12" s="32">
        <v>33</v>
      </c>
      <c r="AB12" s="31">
        <v>57.5</v>
      </c>
      <c r="AC12" s="31">
        <v>17.7</v>
      </c>
      <c r="AD12" s="31">
        <v>2.52</v>
      </c>
      <c r="AE12" s="31">
        <v>14.1</v>
      </c>
      <c r="AF12" s="31">
        <v>5.07</v>
      </c>
      <c r="AG12" s="31">
        <v>1.25</v>
      </c>
      <c r="AH12" s="34">
        <v>1.42</v>
      </c>
      <c r="AI12" s="31">
        <v>2.6</v>
      </c>
    </row>
    <row r="13" spans="1:35" x14ac:dyDescent="0.2">
      <c r="A13" s="9" t="s">
        <v>34</v>
      </c>
      <c r="B13" s="67" t="s">
        <v>33</v>
      </c>
      <c r="C13" s="67"/>
      <c r="D13" s="4"/>
      <c r="F13" s="4"/>
      <c r="G13" s="4"/>
      <c r="H13" s="4"/>
      <c r="I13" s="4"/>
      <c r="J13" s="4"/>
      <c r="K13" s="4"/>
      <c r="L13" s="4"/>
      <c r="P13" s="4"/>
      <c r="Q13" s="4"/>
      <c r="S13" s="35">
        <v>70</v>
      </c>
      <c r="T13" s="31">
        <v>8.57</v>
      </c>
      <c r="U13" s="31">
        <v>6.73</v>
      </c>
      <c r="V13" s="32">
        <v>70</v>
      </c>
      <c r="W13" s="32">
        <v>40</v>
      </c>
      <c r="X13" s="32">
        <v>6</v>
      </c>
      <c r="Y13" s="33">
        <v>6.5</v>
      </c>
      <c r="Z13" s="33">
        <v>16</v>
      </c>
      <c r="AA13" s="32">
        <v>38</v>
      </c>
      <c r="AB13" s="31">
        <v>61.1</v>
      </c>
      <c r="AC13" s="31">
        <v>17.5</v>
      </c>
      <c r="AD13" s="31">
        <v>2.67</v>
      </c>
      <c r="AE13" s="31">
        <v>11.4</v>
      </c>
      <c r="AF13" s="31">
        <v>4.0999999999999996</v>
      </c>
      <c r="AG13" s="31">
        <v>1.1499999999999999</v>
      </c>
      <c r="AH13" s="34">
        <v>1.22</v>
      </c>
      <c r="AI13" s="31">
        <v>2.2000000000000002</v>
      </c>
    </row>
    <row r="14" spans="1:35" ht="21" x14ac:dyDescent="0.2">
      <c r="A14" s="9"/>
      <c r="B14" s="5"/>
      <c r="C14" s="5"/>
      <c r="D14" s="4"/>
      <c r="E14" s="19" t="s">
        <v>31</v>
      </c>
      <c r="F14" s="19"/>
      <c r="G14" s="4"/>
      <c r="H14" s="4"/>
      <c r="I14" s="4"/>
      <c r="J14" s="4"/>
      <c r="K14" s="4"/>
      <c r="L14" s="4"/>
      <c r="P14" s="4"/>
      <c r="Q14" s="4"/>
      <c r="S14" s="35">
        <v>80</v>
      </c>
      <c r="T14" s="31">
        <v>11</v>
      </c>
      <c r="U14" s="31">
        <v>8.64</v>
      </c>
      <c r="V14" s="32">
        <v>80</v>
      </c>
      <c r="W14" s="32">
        <v>45</v>
      </c>
      <c r="X14" s="32">
        <v>6</v>
      </c>
      <c r="Y14" s="33">
        <v>8</v>
      </c>
      <c r="Z14" s="33">
        <v>17</v>
      </c>
      <c r="AA14" s="32">
        <v>47</v>
      </c>
      <c r="AB14" s="32">
        <v>106</v>
      </c>
      <c r="AC14" s="31">
        <v>26.5</v>
      </c>
      <c r="AD14" s="31">
        <v>3.1</v>
      </c>
      <c r="AE14" s="31">
        <v>19.399999999999999</v>
      </c>
      <c r="AF14" s="31">
        <v>6.36</v>
      </c>
      <c r="AG14" s="31">
        <v>1.33</v>
      </c>
      <c r="AH14" s="34">
        <v>1.45</v>
      </c>
      <c r="AI14" s="31">
        <v>2.67</v>
      </c>
    </row>
    <row r="15" spans="1:35" ht="21" x14ac:dyDescent="0.2">
      <c r="A15" s="64" t="s">
        <v>65</v>
      </c>
      <c r="B15" s="64"/>
      <c r="C15" s="64"/>
      <c r="D15" s="4"/>
      <c r="E15" s="20" t="s">
        <v>74</v>
      </c>
      <c r="F15" s="20">
        <f>B21/B19</f>
        <v>21.3</v>
      </c>
      <c r="G15" s="25" t="str">
        <f>IF(F15&lt;=(58/SQRT(B5)),"Compact","Non-Compact")</f>
        <v>Compact</v>
      </c>
      <c r="H15" s="60" t="s">
        <v>75</v>
      </c>
      <c r="I15" s="60" t="str">
        <f>IF(AND(G15="Compact",G16="Compact"),"Compact","Non-Compact")</f>
        <v>Compact</v>
      </c>
      <c r="J15" s="60" t="s">
        <v>51</v>
      </c>
      <c r="K15" s="4"/>
      <c r="L15" s="20"/>
      <c r="P15" s="4"/>
      <c r="Q15" s="4"/>
      <c r="S15" s="35">
        <v>100</v>
      </c>
      <c r="T15" s="31">
        <v>13.5</v>
      </c>
      <c r="U15" s="31">
        <v>10.6</v>
      </c>
      <c r="V15" s="32">
        <v>100</v>
      </c>
      <c r="W15" s="32">
        <v>50</v>
      </c>
      <c r="X15" s="32">
        <v>6</v>
      </c>
      <c r="Y15" s="33">
        <v>8.5</v>
      </c>
      <c r="Z15" s="33">
        <v>18</v>
      </c>
      <c r="AA15" s="32">
        <v>64</v>
      </c>
      <c r="AB15" s="32">
        <v>206</v>
      </c>
      <c r="AC15" s="31">
        <v>41.2</v>
      </c>
      <c r="AD15" s="31">
        <v>3.91</v>
      </c>
      <c r="AE15" s="31">
        <v>29.3</v>
      </c>
      <c r="AF15" s="31">
        <v>8.49</v>
      </c>
      <c r="AG15" s="31">
        <v>1.47</v>
      </c>
      <c r="AH15" s="34">
        <v>1.55</v>
      </c>
      <c r="AI15" s="31">
        <v>2.93</v>
      </c>
    </row>
    <row r="16" spans="1:35" ht="21" x14ac:dyDescent="0.2">
      <c r="A16" s="11" t="s">
        <v>50</v>
      </c>
      <c r="B16" s="67">
        <v>280</v>
      </c>
      <c r="C16" s="67"/>
      <c r="D16" s="4"/>
      <c r="E16" s="20" t="s">
        <v>46</v>
      </c>
      <c r="F16" s="20">
        <f>(B18-B19-B20)/B20</f>
        <v>4.666666666666667</v>
      </c>
      <c r="G16" s="25" t="str">
        <f>IF(F16&lt;=16.9/SQRT(B6),"Compact","Non-Compact")</f>
        <v>Compact</v>
      </c>
      <c r="H16" s="60"/>
      <c r="I16" s="60"/>
      <c r="J16" s="60"/>
      <c r="K16" s="4"/>
      <c r="L16" s="20"/>
      <c r="P16" s="4"/>
      <c r="Q16" s="4"/>
      <c r="S16" s="35">
        <v>120</v>
      </c>
      <c r="T16" s="31">
        <v>17</v>
      </c>
      <c r="U16" s="31">
        <v>13.4</v>
      </c>
      <c r="V16" s="32">
        <v>120</v>
      </c>
      <c r="W16" s="32">
        <v>55</v>
      </c>
      <c r="X16" s="32">
        <v>7</v>
      </c>
      <c r="Y16" s="33">
        <v>9</v>
      </c>
      <c r="Z16" s="33">
        <v>19</v>
      </c>
      <c r="AA16" s="32">
        <v>82</v>
      </c>
      <c r="AB16" s="32">
        <v>364</v>
      </c>
      <c r="AC16" s="31">
        <v>60.7</v>
      </c>
      <c r="AD16" s="31">
        <v>4.62</v>
      </c>
      <c r="AE16" s="31">
        <v>43.2</v>
      </c>
      <c r="AF16" s="31">
        <v>11.1</v>
      </c>
      <c r="AG16" s="31">
        <v>1.59</v>
      </c>
      <c r="AH16" s="34">
        <v>1.6</v>
      </c>
      <c r="AI16" s="31">
        <v>3.03</v>
      </c>
    </row>
    <row r="17" spans="1:35" x14ac:dyDescent="0.2">
      <c r="A17" s="9" t="s">
        <v>20</v>
      </c>
      <c r="B17" s="18">
        <f>VLOOKUP(B16,$S$2:$AI$29,4,FALSE)</f>
        <v>280</v>
      </c>
      <c r="C17" s="4" t="s">
        <v>26</v>
      </c>
      <c r="D17" s="4"/>
      <c r="E17" s="9"/>
      <c r="F17" s="4"/>
      <c r="G17" s="4"/>
      <c r="H17" s="4"/>
      <c r="I17" s="4"/>
      <c r="J17" s="4"/>
      <c r="K17" s="4"/>
      <c r="L17" s="20"/>
      <c r="P17" s="4"/>
      <c r="S17" s="35">
        <v>140</v>
      </c>
      <c r="T17" s="31">
        <v>20.399999999999999</v>
      </c>
      <c r="U17" s="31">
        <v>16</v>
      </c>
      <c r="V17" s="32">
        <v>140</v>
      </c>
      <c r="W17" s="32">
        <v>60</v>
      </c>
      <c r="X17" s="32">
        <v>7</v>
      </c>
      <c r="Y17" s="33">
        <v>10</v>
      </c>
      <c r="Z17" s="33">
        <v>21</v>
      </c>
      <c r="AA17" s="32">
        <v>97</v>
      </c>
      <c r="AB17" s="32">
        <v>605</v>
      </c>
      <c r="AC17" s="31">
        <v>86.4</v>
      </c>
      <c r="AD17" s="31">
        <v>5.45</v>
      </c>
      <c r="AE17" s="31">
        <v>62.7</v>
      </c>
      <c r="AF17" s="31">
        <v>14.8</v>
      </c>
      <c r="AG17" s="31">
        <v>1.75</v>
      </c>
      <c r="AH17" s="34">
        <v>1.75</v>
      </c>
      <c r="AI17" s="31">
        <v>3.37</v>
      </c>
    </row>
    <row r="18" spans="1:35" x14ac:dyDescent="0.2">
      <c r="A18" s="9" t="s">
        <v>21</v>
      </c>
      <c r="B18" s="18">
        <f>VLOOKUP(B16,$S$2:$AI$29,5,FALSE)</f>
        <v>95</v>
      </c>
      <c r="C18" s="4" t="s">
        <v>26</v>
      </c>
      <c r="D18" s="4"/>
      <c r="E18" s="27" t="s">
        <v>76</v>
      </c>
      <c r="F18" s="20"/>
      <c r="G18" s="20"/>
      <c r="H18" s="20"/>
      <c r="I18" s="20"/>
      <c r="J18" s="20"/>
      <c r="K18" s="20"/>
      <c r="L18" s="20"/>
      <c r="M18" s="4"/>
      <c r="N18" s="4"/>
      <c r="O18" s="4"/>
      <c r="P18" s="4"/>
      <c r="S18" s="35">
        <v>160</v>
      </c>
      <c r="T18" s="31">
        <v>24</v>
      </c>
      <c r="U18" s="31">
        <v>18.8</v>
      </c>
      <c r="V18" s="32">
        <v>160</v>
      </c>
      <c r="W18" s="32">
        <v>65</v>
      </c>
      <c r="X18" s="33">
        <v>7.5</v>
      </c>
      <c r="Y18" s="33">
        <v>10.5</v>
      </c>
      <c r="Z18" s="33">
        <v>22.5</v>
      </c>
      <c r="AA18" s="32">
        <v>116</v>
      </c>
      <c r="AB18" s="32">
        <v>925</v>
      </c>
      <c r="AC18" s="32">
        <v>116</v>
      </c>
      <c r="AD18" s="31">
        <v>6.21</v>
      </c>
      <c r="AE18" s="31">
        <v>85.3</v>
      </c>
      <c r="AF18" s="31">
        <v>18.3</v>
      </c>
      <c r="AG18" s="31">
        <v>1.89</v>
      </c>
      <c r="AH18" s="34">
        <v>1.84</v>
      </c>
      <c r="AI18" s="31">
        <v>3.56</v>
      </c>
    </row>
    <row r="19" spans="1:35" ht="20.25" x14ac:dyDescent="0.2">
      <c r="A19" s="9" t="s">
        <v>22</v>
      </c>
      <c r="B19" s="18">
        <f>VLOOKUP(B16,$S$2:$AI$29,6,FALSE)</f>
        <v>10</v>
      </c>
      <c r="C19" s="4" t="s">
        <v>26</v>
      </c>
      <c r="D19" s="4"/>
      <c r="E19" s="20" t="s">
        <v>151</v>
      </c>
      <c r="F19" s="20">
        <f>B30*B5</f>
        <v>6396</v>
      </c>
      <c r="G19" s="20" t="s">
        <v>77</v>
      </c>
      <c r="H19" s="20"/>
      <c r="I19" s="20"/>
      <c r="J19" s="20"/>
      <c r="K19" s="20"/>
      <c r="L19" s="20"/>
      <c r="M19" s="4"/>
      <c r="N19" s="4"/>
      <c r="O19" s="4"/>
      <c r="P19" s="4"/>
      <c r="Q19" s="4"/>
      <c r="S19" s="35">
        <v>180</v>
      </c>
      <c r="T19" s="31">
        <v>28</v>
      </c>
      <c r="U19" s="31">
        <v>22</v>
      </c>
      <c r="V19" s="32">
        <v>180</v>
      </c>
      <c r="W19" s="32">
        <v>70</v>
      </c>
      <c r="X19" s="32">
        <v>8</v>
      </c>
      <c r="Y19" s="33">
        <v>11</v>
      </c>
      <c r="Z19" s="33">
        <v>23.5</v>
      </c>
      <c r="AA19" s="32">
        <v>133</v>
      </c>
      <c r="AB19" s="32">
        <v>1350</v>
      </c>
      <c r="AC19" s="32">
        <v>150</v>
      </c>
      <c r="AD19" s="31">
        <v>6.95</v>
      </c>
      <c r="AE19" s="32">
        <v>114</v>
      </c>
      <c r="AF19" s="31">
        <v>22.4</v>
      </c>
      <c r="AG19" s="31">
        <v>2.02</v>
      </c>
      <c r="AH19" s="34">
        <v>1.92</v>
      </c>
      <c r="AI19" s="31">
        <v>3.75</v>
      </c>
    </row>
    <row r="20" spans="1:35" ht="20.25" x14ac:dyDescent="0.2">
      <c r="A20" s="9" t="s">
        <v>104</v>
      </c>
      <c r="B20" s="18">
        <f>VLOOKUP(B16,$S$2:$AI$29,7,FALSE)</f>
        <v>15</v>
      </c>
      <c r="C20" s="4" t="s">
        <v>26</v>
      </c>
      <c r="D20" s="4"/>
      <c r="E20" s="26" t="s">
        <v>152</v>
      </c>
      <c r="F20" s="20">
        <f>B27*B5</f>
        <v>1790.88</v>
      </c>
      <c r="G20" s="26" t="s">
        <v>77</v>
      </c>
      <c r="H20" s="20"/>
      <c r="I20" s="20"/>
      <c r="J20" s="20"/>
      <c r="K20" s="20"/>
      <c r="L20" s="20"/>
      <c r="M20" s="4"/>
      <c r="N20" s="4"/>
      <c r="O20" s="4"/>
      <c r="Q20" s="4"/>
      <c r="S20" s="35">
        <v>200</v>
      </c>
      <c r="T20" s="31">
        <v>32.200000000000003</v>
      </c>
      <c r="U20" s="31">
        <v>25.3</v>
      </c>
      <c r="V20" s="32">
        <v>200</v>
      </c>
      <c r="W20" s="32">
        <v>75</v>
      </c>
      <c r="X20" s="33">
        <v>8.5</v>
      </c>
      <c r="Y20" s="33">
        <v>11.5</v>
      </c>
      <c r="Z20" s="33">
        <v>24.5</v>
      </c>
      <c r="AA20" s="32">
        <v>151</v>
      </c>
      <c r="AB20" s="32">
        <v>1910</v>
      </c>
      <c r="AC20" s="32">
        <v>191</v>
      </c>
      <c r="AD20" s="31">
        <v>7.7</v>
      </c>
      <c r="AE20" s="32">
        <v>148</v>
      </c>
      <c r="AF20" s="31">
        <v>27</v>
      </c>
      <c r="AG20" s="31">
        <v>2.14</v>
      </c>
      <c r="AH20" s="34">
        <v>2.0099999999999998</v>
      </c>
      <c r="AI20" s="31">
        <v>3.94</v>
      </c>
    </row>
    <row r="21" spans="1:35" x14ac:dyDescent="0.2">
      <c r="A21" s="9" t="s">
        <v>23</v>
      </c>
      <c r="B21" s="18">
        <f>VLOOKUP(B16,$S$2:$AI$29,9,FALSE)</f>
        <v>213</v>
      </c>
      <c r="C21" s="4" t="s">
        <v>26</v>
      </c>
      <c r="D21" s="4"/>
      <c r="E21" s="26"/>
      <c r="F21" s="26"/>
      <c r="G21" s="26"/>
      <c r="H21" s="26"/>
      <c r="I21" s="26"/>
      <c r="J21" s="26"/>
      <c r="K21" s="26"/>
      <c r="L21" s="26"/>
      <c r="M21" s="4"/>
      <c r="N21" s="4"/>
      <c r="O21" s="4"/>
      <c r="S21" s="35">
        <v>220</v>
      </c>
      <c r="T21" s="31">
        <v>37.4</v>
      </c>
      <c r="U21" s="31">
        <v>29.4</v>
      </c>
      <c r="V21" s="32">
        <v>220</v>
      </c>
      <c r="W21" s="32">
        <v>80</v>
      </c>
      <c r="X21" s="32">
        <v>9</v>
      </c>
      <c r="Y21" s="33">
        <v>12.5</v>
      </c>
      <c r="Z21" s="33">
        <v>26.5</v>
      </c>
      <c r="AA21" s="32">
        <v>166</v>
      </c>
      <c r="AB21" s="32">
        <v>2690</v>
      </c>
      <c r="AC21" s="32">
        <v>245</v>
      </c>
      <c r="AD21" s="31">
        <v>8.48</v>
      </c>
      <c r="AE21" s="32">
        <v>197</v>
      </c>
      <c r="AF21" s="31">
        <v>33.6</v>
      </c>
      <c r="AG21" s="31">
        <v>2.2999999999999998</v>
      </c>
      <c r="AH21" s="34">
        <v>2.14</v>
      </c>
      <c r="AI21" s="31">
        <v>4.2</v>
      </c>
    </row>
    <row r="22" spans="1:35" x14ac:dyDescent="0.2">
      <c r="A22" s="9" t="s">
        <v>25</v>
      </c>
      <c r="B22" s="18">
        <f>VLOOKUP(B16,$S$2:$AI$29,3,FALSE)</f>
        <v>41.8</v>
      </c>
      <c r="C22" s="4" t="s">
        <v>28</v>
      </c>
      <c r="D22" s="4"/>
      <c r="E22" s="59" t="s">
        <v>78</v>
      </c>
      <c r="F22" s="59"/>
      <c r="G22" s="20"/>
      <c r="H22" s="20"/>
      <c r="I22" s="20"/>
      <c r="J22" s="20"/>
      <c r="K22" s="20"/>
      <c r="L22" s="20"/>
      <c r="M22" s="4"/>
      <c r="N22" s="4"/>
      <c r="O22" s="4"/>
      <c r="P22" s="4"/>
      <c r="S22" s="35">
        <v>240</v>
      </c>
      <c r="T22" s="31">
        <v>42.3</v>
      </c>
      <c r="U22" s="31">
        <v>33.200000000000003</v>
      </c>
      <c r="V22" s="32">
        <v>240</v>
      </c>
      <c r="W22" s="32">
        <v>85</v>
      </c>
      <c r="X22" s="33">
        <v>9.5</v>
      </c>
      <c r="Y22" s="33">
        <v>13</v>
      </c>
      <c r="Z22" s="33">
        <v>28</v>
      </c>
      <c r="AA22" s="32">
        <v>185</v>
      </c>
      <c r="AB22" s="32">
        <v>3600</v>
      </c>
      <c r="AC22" s="32">
        <v>300</v>
      </c>
      <c r="AD22" s="31">
        <v>9.2200000000000006</v>
      </c>
      <c r="AE22" s="32">
        <v>248</v>
      </c>
      <c r="AF22" s="31">
        <v>39.6</v>
      </c>
      <c r="AG22" s="31">
        <v>2.42</v>
      </c>
      <c r="AH22" s="34">
        <v>2.23</v>
      </c>
      <c r="AI22" s="31">
        <v>4.3899999999999997</v>
      </c>
    </row>
    <row r="23" spans="1:35" x14ac:dyDescent="0.2">
      <c r="A23" s="4"/>
      <c r="B23" s="4"/>
      <c r="C23" s="4"/>
      <c r="D23" s="4"/>
      <c r="E23" s="59" t="s">
        <v>79</v>
      </c>
      <c r="F23" s="59"/>
      <c r="G23" s="60"/>
      <c r="H23" s="60"/>
      <c r="I23" s="59" t="s">
        <v>80</v>
      </c>
      <c r="J23" s="59"/>
      <c r="K23" s="20"/>
      <c r="L23" s="20"/>
      <c r="M23" s="4"/>
      <c r="N23" s="4"/>
      <c r="P23" s="4"/>
      <c r="S23" s="35">
        <v>260</v>
      </c>
      <c r="T23" s="31">
        <v>48.3</v>
      </c>
      <c r="U23" s="31">
        <v>37.9</v>
      </c>
      <c r="V23" s="32">
        <v>260</v>
      </c>
      <c r="W23" s="32">
        <v>90</v>
      </c>
      <c r="X23" s="32">
        <v>10</v>
      </c>
      <c r="Y23" s="33">
        <v>14</v>
      </c>
      <c r="Z23" s="33">
        <v>30</v>
      </c>
      <c r="AA23" s="32">
        <v>201</v>
      </c>
      <c r="AB23" s="32">
        <v>4820</v>
      </c>
      <c r="AC23" s="32">
        <v>371</v>
      </c>
      <c r="AD23" s="31">
        <v>9.99</v>
      </c>
      <c r="AE23" s="32">
        <v>317</v>
      </c>
      <c r="AF23" s="31">
        <v>47.7</v>
      </c>
      <c r="AG23" s="31">
        <v>2.56</v>
      </c>
      <c r="AH23" s="34">
        <v>2.36</v>
      </c>
      <c r="AI23" s="31">
        <v>4.66</v>
      </c>
    </row>
    <row r="24" spans="1:35" ht="21" x14ac:dyDescent="0.2">
      <c r="A24" s="64" t="s">
        <v>103</v>
      </c>
      <c r="B24" s="64"/>
      <c r="C24" s="64"/>
      <c r="D24" s="4"/>
      <c r="E24" s="20" t="s">
        <v>81</v>
      </c>
      <c r="F24" s="20">
        <f>SQRT((B9/B31)^2+(IF(B13=B1,(B12/B32)^2,((1.25*B12)/B32)^2)))</f>
        <v>67.759277795482532</v>
      </c>
      <c r="G24" s="28" t="str">
        <f>IF(F24&lt;180,"Safe","Unsafe")</f>
        <v>Safe</v>
      </c>
      <c r="H24" s="20"/>
      <c r="I24" s="20" t="s">
        <v>82</v>
      </c>
      <c r="J24" s="20">
        <f>B10/B28</f>
        <v>32.110091743119263</v>
      </c>
      <c r="K24" s="28" t="str">
        <f>IF(J24&lt;=180,"Safe","Unsafe")</f>
        <v>Safe</v>
      </c>
      <c r="L24" s="20"/>
      <c r="S24" s="35">
        <v>280</v>
      </c>
      <c r="T24" s="31">
        <v>53.3</v>
      </c>
      <c r="U24" s="31">
        <v>41.8</v>
      </c>
      <c r="V24" s="32">
        <v>280</v>
      </c>
      <c r="W24" s="32">
        <v>95</v>
      </c>
      <c r="X24" s="32">
        <v>10</v>
      </c>
      <c r="Y24" s="33">
        <v>15</v>
      </c>
      <c r="Z24" s="33">
        <v>32</v>
      </c>
      <c r="AA24" s="32">
        <v>213</v>
      </c>
      <c r="AB24" s="32">
        <v>6280</v>
      </c>
      <c r="AC24" s="32">
        <v>448</v>
      </c>
      <c r="AD24" s="31">
        <v>10.9</v>
      </c>
      <c r="AE24" s="32">
        <v>399</v>
      </c>
      <c r="AF24" s="31">
        <v>57.2</v>
      </c>
      <c r="AG24" s="31">
        <v>2.74</v>
      </c>
      <c r="AH24" s="34">
        <v>2.5299999999999998</v>
      </c>
      <c r="AI24" s="31">
        <v>5.0199999999999996</v>
      </c>
    </row>
    <row r="25" spans="1:35" ht="21" x14ac:dyDescent="0.2">
      <c r="A25" s="9" t="s">
        <v>24</v>
      </c>
      <c r="B25" s="4">
        <f>2*VLOOKUP(B16,$S$2:$AI$29,2,FALSE)</f>
        <v>106.6</v>
      </c>
      <c r="C25" s="4" t="s">
        <v>47</v>
      </c>
      <c r="D25" s="4"/>
      <c r="E25" s="20" t="s">
        <v>83</v>
      </c>
      <c r="F25" s="20">
        <f>F24*SQRT((B5)/(PI()^2*2100))</f>
        <v>0.72914662390423435</v>
      </c>
      <c r="G25" s="20"/>
      <c r="H25" s="20"/>
      <c r="I25" s="20" t="s">
        <v>84</v>
      </c>
      <c r="J25" s="20">
        <f>J24*SQRT((B5)/(PI()^2*2100))</f>
        <v>0.34553150136012178</v>
      </c>
      <c r="K25" s="20"/>
      <c r="L25" s="20"/>
      <c r="O25" s="4"/>
      <c r="S25" s="35">
        <v>300</v>
      </c>
      <c r="T25" s="31">
        <v>58.8</v>
      </c>
      <c r="U25" s="31">
        <v>46.2</v>
      </c>
      <c r="V25" s="32">
        <v>300</v>
      </c>
      <c r="W25" s="32">
        <v>100</v>
      </c>
      <c r="X25" s="32">
        <v>10</v>
      </c>
      <c r="Y25" s="33">
        <v>16</v>
      </c>
      <c r="Z25" s="33">
        <v>34</v>
      </c>
      <c r="AA25" s="32">
        <v>232</v>
      </c>
      <c r="AB25" s="32">
        <v>8030</v>
      </c>
      <c r="AC25" s="32">
        <v>535</v>
      </c>
      <c r="AD25" s="31">
        <v>11.7</v>
      </c>
      <c r="AE25" s="32">
        <v>495</v>
      </c>
      <c r="AF25" s="31">
        <v>67.8</v>
      </c>
      <c r="AG25" s="31">
        <v>2.9</v>
      </c>
      <c r="AH25" s="34">
        <v>2.7</v>
      </c>
      <c r="AI25" s="31">
        <v>5.41</v>
      </c>
    </row>
    <row r="26" spans="1:35" ht="21" x14ac:dyDescent="0.2">
      <c r="A26" s="20" t="s">
        <v>92</v>
      </c>
      <c r="B26" s="4">
        <f>2*VLOOKUP(B16,$S$2:$AI$29,10,FALSE)</f>
        <v>12560</v>
      </c>
      <c r="C26" s="4" t="s">
        <v>48</v>
      </c>
      <c r="D26" s="4"/>
      <c r="E26" s="20" t="s">
        <v>85</v>
      </c>
      <c r="F26" s="20">
        <f>IF(F25&lt;1.1,B5*(1-0.384*(F25)^2),IF(F25&gt;1.1,(0.648*B5)/(F25)^2))</f>
        <v>1.9100269371024909</v>
      </c>
      <c r="G26" s="20" t="s">
        <v>45</v>
      </c>
      <c r="H26" s="20"/>
      <c r="I26" s="20" t="s">
        <v>85</v>
      </c>
      <c r="J26" s="20">
        <f>IF(J25&lt;1.1,B5*(1-0.384*(J25)^2),IF(J25&gt;1.1,(0.648*B5)/(J25)^2))</f>
        <v>2.2899683158129029</v>
      </c>
      <c r="K26" s="20" t="s">
        <v>45</v>
      </c>
      <c r="L26" s="20"/>
      <c r="M26" s="4"/>
      <c r="N26" s="4"/>
      <c r="O26" s="4"/>
      <c r="S26" s="35">
        <v>320</v>
      </c>
      <c r="T26" s="31">
        <v>75.8</v>
      </c>
      <c r="U26" s="31">
        <v>59.5</v>
      </c>
      <c r="V26" s="32">
        <v>320</v>
      </c>
      <c r="W26" s="32">
        <v>100</v>
      </c>
      <c r="X26" s="32">
        <v>14</v>
      </c>
      <c r="Y26" s="33">
        <v>17.5</v>
      </c>
      <c r="Z26" s="33">
        <v>37</v>
      </c>
      <c r="AA26" s="32">
        <v>247</v>
      </c>
      <c r="AB26" s="32">
        <v>10870</v>
      </c>
      <c r="AC26" s="32">
        <v>679</v>
      </c>
      <c r="AD26" s="31">
        <v>12.1</v>
      </c>
      <c r="AE26" s="32">
        <v>597</v>
      </c>
      <c r="AF26" s="31">
        <v>80.599999999999994</v>
      </c>
      <c r="AG26" s="31">
        <v>2.81</v>
      </c>
      <c r="AH26" s="34">
        <v>2.6</v>
      </c>
      <c r="AI26" s="31">
        <v>4.82</v>
      </c>
    </row>
    <row r="27" spans="1:35" ht="21" x14ac:dyDescent="0.2">
      <c r="A27" s="20" t="s">
        <v>94</v>
      </c>
      <c r="B27" s="20">
        <f>0.5*VLOOKUP(B16,$S$2:$AI$29,2,FALSE)*0.25*B17*0.1*4</f>
        <v>746.2</v>
      </c>
      <c r="C27" s="20" t="s">
        <v>93</v>
      </c>
      <c r="D27" s="4"/>
      <c r="E27" s="20" t="s">
        <v>86</v>
      </c>
      <c r="F27" s="20">
        <f>F26*B25</f>
        <v>203.60887149512553</v>
      </c>
      <c r="G27" s="20" t="s">
        <v>87</v>
      </c>
      <c r="H27" s="20"/>
      <c r="I27" s="20" t="s">
        <v>88</v>
      </c>
      <c r="J27" s="20">
        <f>J26*B25</f>
        <v>244.11062246565544</v>
      </c>
      <c r="K27" s="20" t="s">
        <v>87</v>
      </c>
      <c r="L27" s="20"/>
      <c r="M27" s="4"/>
      <c r="N27" s="4"/>
      <c r="S27" s="35">
        <v>350</v>
      </c>
      <c r="T27" s="31">
        <v>77.3</v>
      </c>
      <c r="U27" s="31">
        <v>60.6</v>
      </c>
      <c r="V27" s="32">
        <v>350</v>
      </c>
      <c r="W27" s="32">
        <v>100</v>
      </c>
      <c r="X27" s="32">
        <v>14</v>
      </c>
      <c r="Y27" s="33">
        <v>16</v>
      </c>
      <c r="Z27" s="33">
        <v>34</v>
      </c>
      <c r="AA27" s="32">
        <v>283</v>
      </c>
      <c r="AB27" s="32">
        <v>12840</v>
      </c>
      <c r="AC27" s="32">
        <v>734</v>
      </c>
      <c r="AD27" s="31">
        <v>12.9</v>
      </c>
      <c r="AE27" s="32">
        <v>570</v>
      </c>
      <c r="AF27" s="31">
        <v>75</v>
      </c>
      <c r="AG27" s="31">
        <v>2.72</v>
      </c>
      <c r="AH27" s="34">
        <v>2.4</v>
      </c>
      <c r="AI27" s="31">
        <v>4.45</v>
      </c>
    </row>
    <row r="28" spans="1:35" ht="20.25" x14ac:dyDescent="0.2">
      <c r="A28" s="20" t="s">
        <v>95</v>
      </c>
      <c r="B28" s="4">
        <f>VLOOKUP(B16,$S$2:$AI$29,12,FALSE)</f>
        <v>10.9</v>
      </c>
      <c r="C28" s="4" t="s">
        <v>27</v>
      </c>
      <c r="D28" s="4"/>
      <c r="E28" s="20"/>
      <c r="F28" s="20"/>
      <c r="G28" s="20"/>
      <c r="H28" s="20"/>
      <c r="I28" s="20"/>
      <c r="J28" s="20"/>
      <c r="K28" s="20"/>
      <c r="L28" s="20"/>
      <c r="S28" s="35">
        <v>380</v>
      </c>
      <c r="T28" s="31">
        <v>80.400000000000006</v>
      </c>
      <c r="U28" s="31">
        <v>63.1</v>
      </c>
      <c r="V28" s="32">
        <v>380</v>
      </c>
      <c r="W28" s="32">
        <v>102</v>
      </c>
      <c r="X28" s="33">
        <v>13.5</v>
      </c>
      <c r="Y28" s="33">
        <v>16</v>
      </c>
      <c r="Z28" s="33">
        <v>33.5</v>
      </c>
      <c r="AA28" s="32">
        <v>313</v>
      </c>
      <c r="AB28" s="32">
        <v>15760</v>
      </c>
      <c r="AC28" s="32">
        <v>829</v>
      </c>
      <c r="AD28" s="31">
        <v>14</v>
      </c>
      <c r="AE28" s="32">
        <v>615</v>
      </c>
      <c r="AF28" s="31">
        <v>78.7</v>
      </c>
      <c r="AG28" s="31">
        <v>2.77</v>
      </c>
      <c r="AH28" s="34">
        <v>2.38</v>
      </c>
      <c r="AI28" s="31">
        <v>4.58</v>
      </c>
    </row>
    <row r="29" spans="1:35" ht="21" x14ac:dyDescent="0.2">
      <c r="A29" s="20" t="s">
        <v>96</v>
      </c>
      <c r="B29" s="4">
        <f>2*(VLOOKUP(B16,$S$2:$AI$29,13,FALSE)+VLOOKUP(B16,$S$2:$AI$29,2,FALSE)*(0.5*B11)^2)</f>
        <v>67423</v>
      </c>
      <c r="C29" s="4" t="s">
        <v>48</v>
      </c>
      <c r="D29" s="4"/>
      <c r="E29" s="59" t="s">
        <v>89</v>
      </c>
      <c r="F29" s="59"/>
      <c r="G29" s="20"/>
      <c r="H29" s="20"/>
      <c r="I29" s="20"/>
      <c r="J29" s="20"/>
      <c r="K29" s="20"/>
      <c r="L29" s="20"/>
      <c r="S29" s="35">
        <v>400</v>
      </c>
      <c r="T29" s="31">
        <v>91.5</v>
      </c>
      <c r="U29" s="31">
        <v>71.8</v>
      </c>
      <c r="V29" s="32">
        <v>400</v>
      </c>
      <c r="W29" s="32">
        <v>110</v>
      </c>
      <c r="X29" s="32">
        <v>14</v>
      </c>
      <c r="Y29" s="33">
        <v>18</v>
      </c>
      <c r="Z29" s="33">
        <v>38</v>
      </c>
      <c r="AA29" s="32">
        <v>325</v>
      </c>
      <c r="AB29" s="32">
        <v>20350</v>
      </c>
      <c r="AC29" s="32">
        <v>1020</v>
      </c>
      <c r="AD29" s="31">
        <v>14.9</v>
      </c>
      <c r="AE29" s="32">
        <v>846</v>
      </c>
      <c r="AF29" s="31">
        <v>102</v>
      </c>
      <c r="AG29" s="31">
        <v>3.04</v>
      </c>
      <c r="AH29" s="34">
        <v>2.65</v>
      </c>
      <c r="AI29" s="31">
        <v>5.1100000000000003</v>
      </c>
    </row>
    <row r="30" spans="1:35" ht="21" x14ac:dyDescent="0.2">
      <c r="A30" s="26" t="s">
        <v>150</v>
      </c>
      <c r="B30" s="4">
        <f>VLOOKUP(B16,$S$2:$AI$29,2,FALSE)*0.5*B11*2</f>
        <v>2665</v>
      </c>
      <c r="C30" s="26" t="s">
        <v>93</v>
      </c>
      <c r="D30" s="4"/>
      <c r="E30" s="29" t="s">
        <v>90</v>
      </c>
      <c r="F30" s="29"/>
      <c r="G30" s="20"/>
      <c r="H30" s="20"/>
      <c r="I30" s="20"/>
      <c r="J30" s="20"/>
      <c r="K30" s="20"/>
      <c r="L30" s="20"/>
      <c r="S30" s="1">
        <v>1</v>
      </c>
      <c r="T30" s="1">
        <v>2</v>
      </c>
      <c r="U30" s="1">
        <v>3</v>
      </c>
      <c r="V30" s="1">
        <v>4</v>
      </c>
      <c r="W30" s="1">
        <v>5</v>
      </c>
      <c r="X30" s="1">
        <v>6</v>
      </c>
      <c r="Y30" s="1">
        <v>7</v>
      </c>
      <c r="Z30" s="1">
        <v>8</v>
      </c>
      <c r="AA30" s="1">
        <v>9</v>
      </c>
      <c r="AB30" s="1">
        <v>10</v>
      </c>
      <c r="AC30" s="1">
        <v>11</v>
      </c>
      <c r="AD30" s="1">
        <v>12</v>
      </c>
      <c r="AE30" s="1">
        <v>13</v>
      </c>
      <c r="AF30" s="1">
        <v>14</v>
      </c>
      <c r="AG30" s="1">
        <v>15</v>
      </c>
      <c r="AH30" s="1">
        <v>16</v>
      </c>
      <c r="AI30" s="1">
        <v>17</v>
      </c>
    </row>
    <row r="31" spans="1:35" ht="20.25" x14ac:dyDescent="0.2">
      <c r="A31" s="20" t="s">
        <v>97</v>
      </c>
      <c r="B31" s="4">
        <f>SQRT(B29/B25)</f>
        <v>25.149272925980206</v>
      </c>
      <c r="C31" s="4" t="s">
        <v>27</v>
      </c>
      <c r="E31" s="60" t="str">
        <f>IF(F7/(0.8*F27)&lt;=0.2,"Pu / ᶲPnx &lt;= 0.2","")</f>
        <v>Pu / ᶲPnx &lt;= 0.2</v>
      </c>
      <c r="F31" s="60"/>
      <c r="G31" s="20" t="str">
        <f>IF(F7/(0.8*F27)&lt;=0.2,"&gt;&gt;&gt;&gt;","")</f>
        <v>&gt;&gt;&gt;&gt;</v>
      </c>
      <c r="H31" s="20">
        <f>IF(F7/(0.8*F27)&lt;=0.2,F7/(2*0.8*F27)+F5/(0.85*F19)+F6/(0.85*F20),"")</f>
        <v>0.7419884494468616</v>
      </c>
      <c r="I31" s="28" t="str">
        <f>IF((F7/(0.8*F27))&lt;=0.2,IF(H31&lt;=1,"Safe","Unsafe"),0)</f>
        <v>Safe</v>
      </c>
      <c r="J31" s="20"/>
      <c r="K31" s="20"/>
      <c r="L31" s="20"/>
    </row>
    <row r="32" spans="1:35" ht="20.25" x14ac:dyDescent="0.2">
      <c r="A32" s="20" t="s">
        <v>101</v>
      </c>
      <c r="B32" s="4">
        <f>VLOOKUP(B16,$S$2:$AI$29,15,FALSE)</f>
        <v>2.74</v>
      </c>
      <c r="C32" s="4" t="s">
        <v>27</v>
      </c>
      <c r="E32" s="60" t="str">
        <f>IF(F7/(0.8*F27)&gt;0.2,"Pu / ᶲPnx &gt; 0.2","")</f>
        <v/>
      </c>
      <c r="F32" s="60"/>
      <c r="G32" s="20" t="str">
        <f>IF(F7/(0.8*F27)&gt;0.2,"&gt;&gt;&gt;&gt;","")</f>
        <v/>
      </c>
      <c r="H32" s="20" t="str">
        <f>IF(F7/(0.8*F27)&gt;0.2,F7/(0.8*F27)+(8/9)*((F5/(0.85*F19))+(F6/(0.85*F20))),"")</f>
        <v/>
      </c>
      <c r="I32" s="28" t="str">
        <f>IF((F7/(0.8*F27))&gt;0.2,IF(H32&lt;=1,"Safe","Unsafe"),"")</f>
        <v/>
      </c>
      <c r="J32" s="20"/>
      <c r="K32" s="20"/>
      <c r="L32" s="20"/>
    </row>
    <row r="33" spans="5:12" x14ac:dyDescent="0.2">
      <c r="E33" s="20"/>
      <c r="F33" s="20"/>
      <c r="G33" s="20"/>
      <c r="H33" s="20"/>
      <c r="I33" s="20"/>
      <c r="J33" s="20"/>
      <c r="K33" s="20"/>
      <c r="L33" s="20"/>
    </row>
    <row r="34" spans="5:12" x14ac:dyDescent="0.2">
      <c r="E34" s="29" t="s">
        <v>91</v>
      </c>
      <c r="F34" s="29"/>
      <c r="G34" s="29"/>
      <c r="H34" s="20"/>
      <c r="I34" s="20"/>
      <c r="J34" s="20"/>
      <c r="K34" s="20"/>
      <c r="L34" s="20"/>
    </row>
    <row r="35" spans="5:12" x14ac:dyDescent="0.2">
      <c r="E35" s="25">
        <f>(F7/(0.8*J27))+(F5/(0.85*F19))^2</f>
        <v>0.57161681641728523</v>
      </c>
      <c r="F35" s="28" t="str">
        <f>IF(E35&lt;=1,"Safe","Unsafe")</f>
        <v>Safe</v>
      </c>
      <c r="J35" s="20"/>
      <c r="K35" s="20"/>
      <c r="L35" s="20"/>
    </row>
    <row r="36" spans="5:12" x14ac:dyDescent="0.25">
      <c r="E36" s="20"/>
      <c r="F36" s="20"/>
      <c r="G36" s="24"/>
      <c r="H36" s="20"/>
      <c r="I36" s="20"/>
      <c r="J36" s="20"/>
      <c r="K36" s="20"/>
    </row>
    <row r="37" spans="5:12" x14ac:dyDescent="0.2">
      <c r="H37" s="20"/>
      <c r="I37" s="20"/>
      <c r="J37" s="20"/>
      <c r="K37" s="20"/>
    </row>
    <row r="38" spans="5:12" x14ac:dyDescent="0.2">
      <c r="H38" s="20"/>
      <c r="I38" s="20"/>
      <c r="J38" s="20"/>
      <c r="K38" s="20"/>
    </row>
    <row r="39" spans="5:12" x14ac:dyDescent="0.2">
      <c r="J39" s="4"/>
    </row>
  </sheetData>
  <mergeCells count="37">
    <mergeCell ref="B4:C4"/>
    <mergeCell ref="A8:C8"/>
    <mergeCell ref="AE2:AG2"/>
    <mergeCell ref="AH2:AI2"/>
    <mergeCell ref="Y3:Y4"/>
    <mergeCell ref="Z3:Z4"/>
    <mergeCell ref="A24:C24"/>
    <mergeCell ref="E29:F29"/>
    <mergeCell ref="B13:C13"/>
    <mergeCell ref="A15:C15"/>
    <mergeCell ref="H15:H16"/>
    <mergeCell ref="B16:C16"/>
    <mergeCell ref="AB2:AD2"/>
    <mergeCell ref="T3:T4"/>
    <mergeCell ref="V3:V4"/>
    <mergeCell ref="W3:W4"/>
    <mergeCell ref="X3:X4"/>
    <mergeCell ref="E31:F31"/>
    <mergeCell ref="E32:F32"/>
    <mergeCell ref="S2:S4"/>
    <mergeCell ref="U2:U3"/>
    <mergeCell ref="V2:AA2"/>
    <mergeCell ref="E22:F22"/>
    <mergeCell ref="E23:F23"/>
    <mergeCell ref="G23:H23"/>
    <mergeCell ref="I23:J23"/>
    <mergeCell ref="I15:I16"/>
    <mergeCell ref="J15:J16"/>
    <mergeCell ref="AG3:AG4"/>
    <mergeCell ref="AH3:AH4"/>
    <mergeCell ref="AI3:AI4"/>
    <mergeCell ref="AA3:AA4"/>
    <mergeCell ref="AB3:AB4"/>
    <mergeCell ref="AC3:AC4"/>
    <mergeCell ref="AD3:AD4"/>
    <mergeCell ref="AE3:AE4"/>
    <mergeCell ref="AF3:AF4"/>
  </mergeCells>
  <conditionalFormatting sqref="Q19:Q20 P22:P23 O25:O26 M26:N27">
    <cfRule type="cellIs" dxfId="7" priority="4" operator="equal">
      <formula>"safe"</formula>
    </cfRule>
  </conditionalFormatting>
  <conditionalFormatting sqref="Q19:Q20 P22:P23 O25:O26 M26:N27">
    <cfRule type="cellIs" dxfId="6" priority="3" operator="equal">
      <formula>"unsafe"</formula>
    </cfRule>
  </conditionalFormatting>
  <conditionalFormatting sqref="K24 G24 I31:I32 F35">
    <cfRule type="cellIs" dxfId="5" priority="2" operator="equal">
      <formula>"Safe"</formula>
    </cfRule>
  </conditionalFormatting>
  <conditionalFormatting sqref="K24 G24 I31:I32 F35">
    <cfRule type="cellIs" dxfId="4" priority="1" operator="equal">
      <formula>"Unsafe"</formula>
    </cfRule>
  </conditionalFormatting>
  <dataValidations count="3">
    <dataValidation type="list" allowBlank="1" showInputMessage="1" showErrorMessage="1" sqref="B13:B14" xr:uid="{53422076-F78B-442E-9D87-268EBD058D9A}">
      <formula1>$B$1:$B$2</formula1>
    </dataValidation>
    <dataValidation type="list" allowBlank="1" showInputMessage="1" showErrorMessage="1" sqref="B16:C16" xr:uid="{C8FE5064-4C53-4A1E-9114-BF1EE4E9402F}">
      <formula1>$S$5:$S$29</formula1>
    </dataValidation>
    <dataValidation type="list" allowBlank="1" showInputMessage="1" showErrorMessage="1" sqref="B4:C4" xr:uid="{1ABA06B0-E04D-413B-8551-9CBAEA16FCB1}">
      <formula1>$A$1:$A$3</formula1>
    </dataValidation>
  </dataValidations>
  <pageMargins left="0.7" right="0.7" top="0.75" bottom="0.75" header="0.3" footer="0.3"/>
  <pageSetup paperSize="9" scale="6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535F5-F77B-4216-A12D-3EF09BC119FE}">
  <sheetPr>
    <pageSetUpPr fitToPage="1"/>
  </sheetPr>
  <dimension ref="A1:AH36"/>
  <sheetViews>
    <sheetView showGridLines="0" tabSelected="1" topLeftCell="A12" zoomScale="70" zoomScaleNormal="70" zoomScaleSheetLayoutView="40" workbookViewId="0">
      <selection activeCell="I33" sqref="I33"/>
    </sheetView>
  </sheetViews>
  <sheetFormatPr defaultRowHeight="18.75" x14ac:dyDescent="0.2"/>
  <cols>
    <col min="1" max="1" width="10.375" style="4" bestFit="1" customWidth="1"/>
    <col min="2" max="2" width="9.375" style="4" customWidth="1"/>
    <col min="3" max="3" width="10.125" style="4" customWidth="1"/>
    <col min="4" max="4" width="3.5" style="4" bestFit="1" customWidth="1"/>
    <col min="5" max="5" width="12.375" style="4" bestFit="1" customWidth="1"/>
    <col min="6" max="6" width="10.875" style="4" customWidth="1"/>
    <col min="7" max="7" width="14.75" style="4" customWidth="1"/>
    <col min="8" max="8" width="9.75" style="4" bestFit="1" customWidth="1"/>
    <col min="9" max="9" width="14.75" style="4" bestFit="1" customWidth="1"/>
    <col min="10" max="10" width="13.5" style="4" bestFit="1" customWidth="1"/>
    <col min="11" max="11" width="6.75" style="4" bestFit="1" customWidth="1"/>
    <col min="12" max="12" width="8.25" style="4" bestFit="1" customWidth="1"/>
    <col min="13" max="18" width="9" style="4"/>
    <col min="19" max="19" width="8.5" style="4" bestFit="1" customWidth="1"/>
    <col min="20" max="20" width="5" style="4" bestFit="1" customWidth="1"/>
    <col min="21" max="21" width="5.125" style="4" bestFit="1" customWidth="1"/>
    <col min="22" max="22" width="5.625" style="4" bestFit="1" customWidth="1"/>
    <col min="23" max="23" width="8.5" style="4" bestFit="1" customWidth="1"/>
    <col min="24" max="27" width="5.5" style="4" bestFit="1" customWidth="1"/>
    <col min="28" max="28" width="7.75" style="4" bestFit="1" customWidth="1"/>
    <col min="29" max="29" width="8.25" style="4" bestFit="1" customWidth="1"/>
    <col min="30" max="30" width="7.125" style="4" bestFit="1" customWidth="1"/>
    <col min="31" max="31" width="7.25" style="4" bestFit="1" customWidth="1"/>
    <col min="32" max="32" width="7.125" style="4" bestFit="1" customWidth="1"/>
    <col min="33" max="33" width="7.5" style="4" bestFit="1" customWidth="1"/>
    <col min="34" max="34" width="8.125" style="4" bestFit="1" customWidth="1"/>
    <col min="35" max="16384" width="9" style="4"/>
  </cols>
  <sheetData>
    <row r="1" spans="1:34" ht="37.5" x14ac:dyDescent="0.2">
      <c r="A1" s="10">
        <v>37</v>
      </c>
      <c r="B1" s="6" t="s">
        <v>32</v>
      </c>
      <c r="D1" s="10"/>
      <c r="S1" s="36" t="s">
        <v>106</v>
      </c>
      <c r="T1" s="75" t="s">
        <v>107</v>
      </c>
      <c r="U1" s="75"/>
      <c r="V1" s="37" t="s">
        <v>5</v>
      </c>
      <c r="W1" s="37" t="s">
        <v>6</v>
      </c>
      <c r="X1" s="75" t="s">
        <v>108</v>
      </c>
      <c r="Y1" s="75"/>
      <c r="Z1" s="75"/>
      <c r="AA1" s="75"/>
      <c r="AB1" s="75" t="s">
        <v>109</v>
      </c>
      <c r="AC1" s="75"/>
      <c r="AD1" s="75"/>
      <c r="AE1" s="37" t="s">
        <v>110</v>
      </c>
      <c r="AF1" s="37" t="s">
        <v>111</v>
      </c>
    </row>
    <row r="2" spans="1:34" ht="18.75" customHeight="1" x14ac:dyDescent="0.2">
      <c r="A2" s="10">
        <v>44</v>
      </c>
      <c r="B2" s="6" t="s">
        <v>33</v>
      </c>
      <c r="D2" s="10"/>
      <c r="S2" s="38"/>
      <c r="T2" s="40" t="s">
        <v>98</v>
      </c>
      <c r="U2" s="39" t="s">
        <v>13</v>
      </c>
      <c r="V2" s="40" t="s">
        <v>54</v>
      </c>
      <c r="W2" s="40" t="s">
        <v>16</v>
      </c>
      <c r="X2" s="40" t="s">
        <v>112</v>
      </c>
      <c r="Y2" s="40" t="s">
        <v>113</v>
      </c>
      <c r="Z2" s="40" t="s">
        <v>132</v>
      </c>
      <c r="AA2" s="40" t="s">
        <v>133</v>
      </c>
      <c r="AB2" s="40" t="s">
        <v>134</v>
      </c>
      <c r="AC2" s="40" t="s">
        <v>135</v>
      </c>
      <c r="AD2" s="40" t="s">
        <v>136</v>
      </c>
      <c r="AE2" s="40" t="s">
        <v>137</v>
      </c>
      <c r="AF2" s="40" t="s">
        <v>138</v>
      </c>
      <c r="AG2" s="78" t="s">
        <v>10</v>
      </c>
      <c r="AH2" s="78"/>
    </row>
    <row r="3" spans="1:34" ht="18.75" customHeight="1" x14ac:dyDescent="0.2">
      <c r="A3" s="10">
        <v>52</v>
      </c>
      <c r="S3" s="38" t="s">
        <v>114</v>
      </c>
      <c r="T3" s="58">
        <v>45</v>
      </c>
      <c r="U3" s="41">
        <v>5</v>
      </c>
      <c r="V3" s="42">
        <v>4.3</v>
      </c>
      <c r="W3" s="43">
        <v>3.38</v>
      </c>
      <c r="X3" s="43">
        <v>1.28</v>
      </c>
      <c r="Y3" s="43">
        <v>3.18</v>
      </c>
      <c r="Z3" s="43">
        <v>1.81</v>
      </c>
      <c r="AA3" s="43">
        <v>1.58</v>
      </c>
      <c r="AB3" s="43">
        <v>7.83</v>
      </c>
      <c r="AC3" s="43">
        <v>2.4300000000000002</v>
      </c>
      <c r="AD3" s="43">
        <v>1.35</v>
      </c>
      <c r="AE3" s="42">
        <v>1.7</v>
      </c>
      <c r="AF3" s="43">
        <v>0.87</v>
      </c>
      <c r="AG3" s="77" t="s">
        <v>43</v>
      </c>
      <c r="AH3" s="77" t="s">
        <v>44</v>
      </c>
    </row>
    <row r="4" spans="1:34" ht="21" x14ac:dyDescent="0.2">
      <c r="A4" s="7" t="s">
        <v>49</v>
      </c>
      <c r="B4" s="67">
        <v>37</v>
      </c>
      <c r="C4" s="67"/>
      <c r="E4" s="22" t="s">
        <v>67</v>
      </c>
      <c r="F4" s="22"/>
      <c r="G4" s="22"/>
      <c r="S4" s="38" t="s">
        <v>115</v>
      </c>
      <c r="T4" s="58">
        <v>50</v>
      </c>
      <c r="U4" s="41">
        <v>5</v>
      </c>
      <c r="V4" s="42">
        <v>4.8</v>
      </c>
      <c r="W4" s="43">
        <v>3.77</v>
      </c>
      <c r="X4" s="42">
        <v>1.4</v>
      </c>
      <c r="Y4" s="43">
        <v>3.54</v>
      </c>
      <c r="Z4" s="43">
        <v>1.98</v>
      </c>
      <c r="AA4" s="43">
        <v>1.76</v>
      </c>
      <c r="AB4" s="41">
        <v>11</v>
      </c>
      <c r="AC4" s="43">
        <v>3.05</v>
      </c>
      <c r="AD4" s="43">
        <v>1.51</v>
      </c>
      <c r="AE4" s="42">
        <v>1.9</v>
      </c>
      <c r="AF4" s="43">
        <v>0.98</v>
      </c>
      <c r="AG4" s="77"/>
      <c r="AH4" s="77"/>
    </row>
    <row r="5" spans="1:34" ht="21" x14ac:dyDescent="0.2">
      <c r="A5" s="9" t="s">
        <v>1</v>
      </c>
      <c r="B5" s="4">
        <f>IF(B4=A1,2.4,IF(B4=A2,2.8,3.6))</f>
        <v>2.4</v>
      </c>
      <c r="C5" s="4" t="s">
        <v>45</v>
      </c>
      <c r="E5" s="4" t="s">
        <v>68</v>
      </c>
      <c r="F5" s="5">
        <v>2700</v>
      </c>
      <c r="G5" s="4" t="s">
        <v>2</v>
      </c>
      <c r="S5" s="38" t="s">
        <v>116</v>
      </c>
      <c r="T5" s="58">
        <v>55</v>
      </c>
      <c r="U5" s="41">
        <v>5</v>
      </c>
      <c r="V5" s="43">
        <v>5.32</v>
      </c>
      <c r="W5" s="43">
        <v>4.18</v>
      </c>
      <c r="X5" s="43">
        <v>1.52</v>
      </c>
      <c r="Y5" s="43">
        <v>3.89</v>
      </c>
      <c r="Z5" s="43">
        <v>2.15</v>
      </c>
      <c r="AA5" s="43">
        <v>1.93</v>
      </c>
      <c r="AB5" s="42">
        <v>14.7</v>
      </c>
      <c r="AC5" s="42">
        <v>3.7</v>
      </c>
      <c r="AD5" s="43">
        <v>1.66</v>
      </c>
      <c r="AE5" s="43">
        <v>2.09</v>
      </c>
      <c r="AF5" s="43">
        <v>1.07</v>
      </c>
      <c r="AG5" s="44">
        <v>0.52</v>
      </c>
      <c r="AH5" s="45">
        <v>0.74</v>
      </c>
    </row>
    <row r="6" spans="1:34" ht="21" x14ac:dyDescent="0.2">
      <c r="A6" s="9" t="s">
        <v>0</v>
      </c>
      <c r="B6" s="4">
        <f>IF(B4=A1,3.6,IF(B4=A2,4.4,5.2))</f>
        <v>3.6</v>
      </c>
      <c r="C6" s="4" t="s">
        <v>45</v>
      </c>
      <c r="E6" s="4" t="s">
        <v>69</v>
      </c>
      <c r="F6" s="5">
        <v>0</v>
      </c>
      <c r="G6" s="4" t="s">
        <v>2</v>
      </c>
      <c r="S6" s="38" t="s">
        <v>117</v>
      </c>
      <c r="T6" s="58">
        <v>60</v>
      </c>
      <c r="U6" s="41">
        <v>6</v>
      </c>
      <c r="V6" s="43">
        <v>6.91</v>
      </c>
      <c r="W6" s="43">
        <v>5.42</v>
      </c>
      <c r="X6" s="43">
        <v>1.69</v>
      </c>
      <c r="Y6" s="43">
        <v>4.24</v>
      </c>
      <c r="Z6" s="43">
        <v>2.39</v>
      </c>
      <c r="AA6" s="43">
        <v>2.11</v>
      </c>
      <c r="AB6" s="42">
        <v>22.8</v>
      </c>
      <c r="AC6" s="43">
        <v>5.29</v>
      </c>
      <c r="AD6" s="43">
        <v>1.82</v>
      </c>
      <c r="AE6" s="43">
        <v>2.29</v>
      </c>
      <c r="AF6" s="43">
        <v>1.17</v>
      </c>
      <c r="AG6" s="44">
        <v>1.31</v>
      </c>
      <c r="AH6" s="45">
        <v>2.2200000000000002</v>
      </c>
    </row>
    <row r="7" spans="1:34" x14ac:dyDescent="0.2">
      <c r="A7" s="9"/>
      <c r="E7" s="4" t="s">
        <v>70</v>
      </c>
      <c r="F7" s="5">
        <v>29</v>
      </c>
      <c r="G7" s="4" t="s">
        <v>3</v>
      </c>
      <c r="S7" s="38" t="s">
        <v>118</v>
      </c>
      <c r="T7" s="58">
        <v>65</v>
      </c>
      <c r="U7" s="41">
        <v>7</v>
      </c>
      <c r="V7" s="42">
        <v>8.6999999999999993</v>
      </c>
      <c r="W7" s="43">
        <v>6.83</v>
      </c>
      <c r="X7" s="43">
        <v>1.85</v>
      </c>
      <c r="Y7" s="42">
        <v>4.5999999999999996</v>
      </c>
      <c r="Z7" s="43">
        <v>2.62</v>
      </c>
      <c r="AA7" s="43">
        <v>2.29</v>
      </c>
      <c r="AB7" s="42">
        <v>33.4</v>
      </c>
      <c r="AC7" s="43">
        <v>7.13</v>
      </c>
      <c r="AD7" s="43">
        <v>1.96</v>
      </c>
      <c r="AE7" s="43">
        <v>2.4700000000000002</v>
      </c>
      <c r="AF7" s="43">
        <v>1.26</v>
      </c>
      <c r="AG7" s="44">
        <v>0.67</v>
      </c>
      <c r="AH7" s="45">
        <v>1.01</v>
      </c>
    </row>
    <row r="8" spans="1:34" x14ac:dyDescent="0.2">
      <c r="A8" s="76" t="s">
        <v>71</v>
      </c>
      <c r="B8" s="76"/>
      <c r="C8" s="76"/>
      <c r="S8" s="38" t="s">
        <v>119</v>
      </c>
      <c r="T8" s="58">
        <v>70</v>
      </c>
      <c r="U8" s="41">
        <v>7</v>
      </c>
      <c r="V8" s="42">
        <v>9.4</v>
      </c>
      <c r="W8" s="43">
        <v>7.38</v>
      </c>
      <c r="X8" s="43">
        <v>1.97</v>
      </c>
      <c r="Y8" s="43">
        <v>4.95</v>
      </c>
      <c r="Z8" s="43">
        <v>2.79</v>
      </c>
      <c r="AA8" s="43">
        <v>2.4700000000000002</v>
      </c>
      <c r="AB8" s="42">
        <v>42.4</v>
      </c>
      <c r="AC8" s="43">
        <v>8.43</v>
      </c>
      <c r="AD8" s="43">
        <v>2.12</v>
      </c>
      <c r="AE8" s="43">
        <v>2.67</v>
      </c>
      <c r="AF8" s="43">
        <v>1.37</v>
      </c>
      <c r="AG8" s="44">
        <v>1.33</v>
      </c>
      <c r="AH8" s="45">
        <v>2.3199999999999998</v>
      </c>
    </row>
    <row r="9" spans="1:34" ht="23.25" x14ac:dyDescent="0.2">
      <c r="A9" s="46" t="s">
        <v>72</v>
      </c>
      <c r="B9" s="47">
        <v>1800</v>
      </c>
      <c r="C9" s="46" t="s">
        <v>27</v>
      </c>
      <c r="E9" s="8" t="s">
        <v>30</v>
      </c>
      <c r="S9" s="38" t="s">
        <v>120</v>
      </c>
      <c r="T9" s="58">
        <v>75</v>
      </c>
      <c r="U9" s="41">
        <v>7</v>
      </c>
      <c r="V9" s="42">
        <v>10.1</v>
      </c>
      <c r="W9" s="43">
        <v>7.94</v>
      </c>
      <c r="X9" s="43">
        <v>2.0299999999999998</v>
      </c>
      <c r="Y9" s="42">
        <v>5.3</v>
      </c>
      <c r="Z9" s="43">
        <v>2.87</v>
      </c>
      <c r="AA9" s="43">
        <v>2.63</v>
      </c>
      <c r="AB9" s="42">
        <v>52.4</v>
      </c>
      <c r="AC9" s="43">
        <v>8.67</v>
      </c>
      <c r="AD9" s="43">
        <v>2.2799999999999998</v>
      </c>
      <c r="AE9" s="43">
        <v>2.88</v>
      </c>
      <c r="AF9" s="43">
        <v>1.45</v>
      </c>
      <c r="AG9" s="44">
        <v>0.81</v>
      </c>
      <c r="AH9" s="45">
        <v>1.34</v>
      </c>
    </row>
    <row r="10" spans="1:34" ht="21" x14ac:dyDescent="0.2">
      <c r="A10" s="46" t="s">
        <v>73</v>
      </c>
      <c r="B10" s="47">
        <v>600</v>
      </c>
      <c r="C10" s="46" t="s">
        <v>27</v>
      </c>
      <c r="E10" s="19" t="s">
        <v>142</v>
      </c>
      <c r="S10" s="38" t="s">
        <v>121</v>
      </c>
      <c r="T10" s="58">
        <v>80</v>
      </c>
      <c r="U10" s="41">
        <v>8</v>
      </c>
      <c r="V10" s="42">
        <v>12.3</v>
      </c>
      <c r="W10" s="43">
        <v>9.66</v>
      </c>
      <c r="X10" s="43">
        <v>2.2599999999999998</v>
      </c>
      <c r="Y10" s="43">
        <v>5.66</v>
      </c>
      <c r="Z10" s="42">
        <v>3.2</v>
      </c>
      <c r="AA10" s="43">
        <v>2.82</v>
      </c>
      <c r="AB10" s="42">
        <v>72.3</v>
      </c>
      <c r="AC10" s="42">
        <v>12.6</v>
      </c>
      <c r="AD10" s="43">
        <v>2.42</v>
      </c>
      <c r="AE10" s="43">
        <v>3.06</v>
      </c>
      <c r="AF10" s="43">
        <v>1.55</v>
      </c>
      <c r="AG10" s="44">
        <v>1.37</v>
      </c>
      <c r="AH10" s="45">
        <v>2.4700000000000002</v>
      </c>
    </row>
    <row r="11" spans="1:34" ht="20.25" x14ac:dyDescent="0.2">
      <c r="A11" s="4" t="s">
        <v>143</v>
      </c>
      <c r="B11" s="5">
        <v>50</v>
      </c>
      <c r="C11" s="4" t="s">
        <v>27</v>
      </c>
      <c r="E11" s="46" t="s">
        <v>102</v>
      </c>
      <c r="F11" s="4">
        <f>B13/B31</f>
        <v>25.641025641025642</v>
      </c>
      <c r="G11" s="4" t="str">
        <f>IF(AND(F11&lt;=60,F11&lt;=(2/3)*MAX(F22,J22)),"Ok","Check again")</f>
        <v>Ok</v>
      </c>
      <c r="S11" s="38" t="s">
        <v>122</v>
      </c>
      <c r="T11" s="58">
        <v>90</v>
      </c>
      <c r="U11" s="41">
        <v>9</v>
      </c>
      <c r="V11" s="42">
        <v>15.5</v>
      </c>
      <c r="W11" s="42">
        <v>12.2</v>
      </c>
      <c r="X11" s="43">
        <v>2.54</v>
      </c>
      <c r="Y11" s="43">
        <v>6.36</v>
      </c>
      <c r="Z11" s="43">
        <v>3.59</v>
      </c>
      <c r="AA11" s="43">
        <v>3.18</v>
      </c>
      <c r="AB11" s="41">
        <v>116</v>
      </c>
      <c r="AC11" s="41">
        <v>18</v>
      </c>
      <c r="AD11" s="43">
        <v>2.74</v>
      </c>
      <c r="AE11" s="43">
        <v>3.45</v>
      </c>
      <c r="AF11" s="43">
        <v>1.76</v>
      </c>
      <c r="AG11" s="44">
        <v>0.91</v>
      </c>
      <c r="AH11" s="45">
        <v>1.5</v>
      </c>
    </row>
    <row r="12" spans="1:34" x14ac:dyDescent="0.2">
      <c r="A12" s="4" t="s">
        <v>144</v>
      </c>
      <c r="B12" s="12">
        <v>50</v>
      </c>
      <c r="C12" s="4" t="s">
        <v>27</v>
      </c>
      <c r="S12" s="38" t="s">
        <v>123</v>
      </c>
      <c r="T12" s="58">
        <v>100</v>
      </c>
      <c r="U12" s="41">
        <v>10</v>
      </c>
      <c r="V12" s="42">
        <v>19.2</v>
      </c>
      <c r="W12" s="42">
        <v>15.1</v>
      </c>
      <c r="X12" s="43">
        <v>2.82</v>
      </c>
      <c r="Y12" s="43">
        <v>7.07</v>
      </c>
      <c r="Z12" s="43">
        <v>3.99</v>
      </c>
      <c r="AA12" s="43">
        <v>3.54</v>
      </c>
      <c r="AB12" s="41">
        <v>177</v>
      </c>
      <c r="AC12" s="42">
        <v>24.7</v>
      </c>
      <c r="AD12" s="43">
        <v>3.04</v>
      </c>
      <c r="AE12" s="43">
        <v>3.82</v>
      </c>
      <c r="AF12" s="43">
        <v>1.95</v>
      </c>
      <c r="AG12" s="44">
        <v>1.42</v>
      </c>
      <c r="AH12" s="45">
        <v>2.6</v>
      </c>
    </row>
    <row r="13" spans="1:34" ht="21" x14ac:dyDescent="0.2">
      <c r="A13" s="46" t="s">
        <v>100</v>
      </c>
      <c r="B13" s="5">
        <v>50</v>
      </c>
      <c r="C13" s="4" t="s">
        <v>27</v>
      </c>
      <c r="E13" s="19" t="s">
        <v>31</v>
      </c>
      <c r="F13" s="19"/>
      <c r="S13" s="4" t="s">
        <v>124</v>
      </c>
      <c r="T13" s="57">
        <v>110</v>
      </c>
      <c r="U13" s="48">
        <v>10</v>
      </c>
      <c r="V13" s="49">
        <v>21.2</v>
      </c>
      <c r="W13" s="49">
        <v>16.600000000000001</v>
      </c>
      <c r="X13" s="50">
        <v>3.07</v>
      </c>
      <c r="Y13" s="50">
        <v>7.78</v>
      </c>
      <c r="Z13" s="50">
        <v>4.34</v>
      </c>
      <c r="AA13" s="50">
        <v>3.89</v>
      </c>
      <c r="AB13" s="48">
        <v>239</v>
      </c>
      <c r="AC13" s="49">
        <v>30.1</v>
      </c>
      <c r="AD13" s="50">
        <v>3.36</v>
      </c>
      <c r="AE13" s="50">
        <v>4.2300000000000004</v>
      </c>
      <c r="AF13" s="50">
        <v>2.16</v>
      </c>
      <c r="AG13" s="44">
        <v>1.22</v>
      </c>
      <c r="AH13" s="45">
        <v>2.2000000000000002</v>
      </c>
    </row>
    <row r="14" spans="1:34" x14ac:dyDescent="0.2">
      <c r="A14" s="9" t="s">
        <v>34</v>
      </c>
      <c r="B14" s="67" t="s">
        <v>32</v>
      </c>
      <c r="C14" s="67"/>
      <c r="E14" s="46" t="s">
        <v>140</v>
      </c>
      <c r="F14" s="46">
        <f>B18/B19</f>
        <v>10</v>
      </c>
      <c r="G14" s="51" t="str">
        <f>IF(F14&lt;=(23/SQRT(B5)),"Non-Compact")</f>
        <v>Non-Compact</v>
      </c>
      <c r="H14" s="46" t="s">
        <v>75</v>
      </c>
      <c r="I14" s="51" t="str">
        <f>G14</f>
        <v>Non-Compact</v>
      </c>
      <c r="J14" s="51" t="s">
        <v>51</v>
      </c>
      <c r="S14" s="4" t="s">
        <v>125</v>
      </c>
      <c r="T14" s="57">
        <v>120</v>
      </c>
      <c r="U14" s="48">
        <v>12</v>
      </c>
      <c r="V14" s="49">
        <v>27.5</v>
      </c>
      <c r="W14" s="49">
        <v>21.6</v>
      </c>
      <c r="X14" s="49">
        <v>3.4</v>
      </c>
      <c r="Y14" s="50">
        <v>8.49</v>
      </c>
      <c r="Z14" s="49">
        <v>4.8</v>
      </c>
      <c r="AA14" s="50">
        <v>4.26</v>
      </c>
      <c r="AB14" s="48">
        <v>368</v>
      </c>
      <c r="AC14" s="49">
        <v>42.7</v>
      </c>
      <c r="AD14" s="50">
        <v>3.65</v>
      </c>
      <c r="AE14" s="49">
        <v>4.5999999999999996</v>
      </c>
      <c r="AF14" s="50">
        <v>2.35</v>
      </c>
      <c r="AG14" s="44">
        <v>1.45</v>
      </c>
      <c r="AH14" s="45">
        <v>2.67</v>
      </c>
    </row>
    <row r="15" spans="1:34" x14ac:dyDescent="0.2">
      <c r="A15" s="9"/>
      <c r="B15" s="5"/>
      <c r="C15" s="5"/>
      <c r="E15" s="9"/>
      <c r="L15" s="46"/>
      <c r="S15" s="4" t="s">
        <v>126</v>
      </c>
      <c r="T15" s="57">
        <v>130</v>
      </c>
      <c r="U15" s="48">
        <v>12</v>
      </c>
      <c r="V15" s="48">
        <v>30</v>
      </c>
      <c r="W15" s="49">
        <v>23.6</v>
      </c>
      <c r="X15" s="50">
        <v>3.64</v>
      </c>
      <c r="Y15" s="50">
        <v>9.19</v>
      </c>
      <c r="Z15" s="50">
        <v>5.15</v>
      </c>
      <c r="AA15" s="49">
        <v>4.5999999999999996</v>
      </c>
      <c r="AB15" s="48">
        <v>472</v>
      </c>
      <c r="AC15" s="49">
        <v>50.4</v>
      </c>
      <c r="AD15" s="50">
        <v>3.97</v>
      </c>
      <c r="AE15" s="48">
        <v>5</v>
      </c>
      <c r="AF15" s="50">
        <v>2.54</v>
      </c>
      <c r="AG15" s="44">
        <v>1.55</v>
      </c>
      <c r="AH15" s="45">
        <v>2.93</v>
      </c>
    </row>
    <row r="16" spans="1:34" ht="21" x14ac:dyDescent="0.2">
      <c r="A16" s="64" t="s">
        <v>65</v>
      </c>
      <c r="B16" s="64"/>
      <c r="C16" s="64"/>
      <c r="E16" s="53" t="s">
        <v>76</v>
      </c>
      <c r="F16" s="46"/>
      <c r="G16" s="46"/>
      <c r="H16" s="46"/>
      <c r="I16" s="46"/>
      <c r="J16" s="46"/>
      <c r="K16" s="46"/>
      <c r="L16" s="46"/>
      <c r="S16" s="4" t="s">
        <v>127</v>
      </c>
      <c r="T16" s="57">
        <v>140</v>
      </c>
      <c r="U16" s="48">
        <v>13</v>
      </c>
      <c r="V16" s="48">
        <v>35</v>
      </c>
      <c r="W16" s="49">
        <v>27.5</v>
      </c>
      <c r="X16" s="50">
        <v>3.92</v>
      </c>
      <c r="Y16" s="49">
        <v>9.9</v>
      </c>
      <c r="Z16" s="50">
        <v>5.54</v>
      </c>
      <c r="AA16" s="50">
        <v>4.96</v>
      </c>
      <c r="AB16" s="48">
        <v>638</v>
      </c>
      <c r="AC16" s="49">
        <v>63.3</v>
      </c>
      <c r="AD16" s="50">
        <v>4.2699999999999996</v>
      </c>
      <c r="AE16" s="50">
        <v>5.38</v>
      </c>
      <c r="AF16" s="50">
        <v>2.74</v>
      </c>
      <c r="AG16" s="44">
        <v>1.6</v>
      </c>
      <c r="AH16" s="45">
        <v>3.03</v>
      </c>
    </row>
    <row r="17" spans="1:34" ht="21" x14ac:dyDescent="0.2">
      <c r="A17" s="11" t="s">
        <v>105</v>
      </c>
      <c r="B17" s="67" t="s">
        <v>123</v>
      </c>
      <c r="C17" s="67"/>
      <c r="E17" s="46" t="s">
        <v>146</v>
      </c>
      <c r="F17" s="46">
        <f>B29*B5</f>
        <v>4201.9841840402587</v>
      </c>
      <c r="G17" s="46" t="s">
        <v>77</v>
      </c>
      <c r="H17" s="46"/>
      <c r="I17" s="46"/>
      <c r="J17" s="46"/>
      <c r="K17" s="46"/>
      <c r="L17" s="46"/>
      <c r="S17" s="4" t="s">
        <v>128</v>
      </c>
      <c r="T17" s="57">
        <v>150</v>
      </c>
      <c r="U17" s="48">
        <v>14</v>
      </c>
      <c r="V17" s="49">
        <v>40.299999999999997</v>
      </c>
      <c r="W17" s="49">
        <v>31.6</v>
      </c>
      <c r="X17" s="50">
        <v>4.21</v>
      </c>
      <c r="Y17" s="49">
        <v>10.6</v>
      </c>
      <c r="Z17" s="50">
        <v>5.95</v>
      </c>
      <c r="AA17" s="50">
        <v>5.31</v>
      </c>
      <c r="AB17" s="48">
        <v>845</v>
      </c>
      <c r="AC17" s="49">
        <v>78.2</v>
      </c>
      <c r="AD17" s="50">
        <v>4.58</v>
      </c>
      <c r="AE17" s="50">
        <v>5.77</v>
      </c>
      <c r="AF17" s="50">
        <v>2.94</v>
      </c>
      <c r="AG17" s="44">
        <v>1.75</v>
      </c>
      <c r="AH17" s="45">
        <v>3.37</v>
      </c>
    </row>
    <row r="18" spans="1:34" ht="20.25" x14ac:dyDescent="0.2">
      <c r="A18" s="9" t="s">
        <v>139</v>
      </c>
      <c r="B18" s="18">
        <f>VLOOKUP(B17,$S$2:$AH$20,2,FALSE)</f>
        <v>100</v>
      </c>
      <c r="C18" s="4" t="s">
        <v>26</v>
      </c>
      <c r="E18" s="52" t="s">
        <v>147</v>
      </c>
      <c r="F18" s="52">
        <f>B27*B5</f>
        <v>4201.9841840402587</v>
      </c>
      <c r="G18" s="52" t="s">
        <v>77</v>
      </c>
      <c r="H18" s="52"/>
      <c r="I18" s="52"/>
      <c r="J18" s="52"/>
      <c r="K18" s="52"/>
      <c r="L18" s="52"/>
      <c r="S18" s="4" t="s">
        <v>129</v>
      </c>
      <c r="T18" s="57">
        <v>160</v>
      </c>
      <c r="U18" s="48">
        <v>15</v>
      </c>
      <c r="V18" s="49">
        <v>46.1</v>
      </c>
      <c r="W18" s="49">
        <v>36.200000000000003</v>
      </c>
      <c r="X18" s="50">
        <v>4.49</v>
      </c>
      <c r="Y18" s="49">
        <v>11.3</v>
      </c>
      <c r="Z18" s="50">
        <v>6.35</v>
      </c>
      <c r="AA18" s="50">
        <v>5.67</v>
      </c>
      <c r="AB18" s="48">
        <v>1100</v>
      </c>
      <c r="AC18" s="49">
        <v>95.6</v>
      </c>
      <c r="AD18" s="50">
        <v>4.88</v>
      </c>
      <c r="AE18" s="50">
        <v>6.15</v>
      </c>
      <c r="AF18" s="50">
        <v>3.14</v>
      </c>
      <c r="AG18" s="44">
        <v>1.84</v>
      </c>
      <c r="AH18" s="45">
        <v>3.56</v>
      </c>
    </row>
    <row r="19" spans="1:34" x14ac:dyDescent="0.2">
      <c r="A19" s="9" t="s">
        <v>64</v>
      </c>
      <c r="B19" s="18">
        <f>VLOOKUP(B17,$S$2:$AH$20,3,FALSE)</f>
        <v>10</v>
      </c>
      <c r="C19" s="4" t="s">
        <v>26</v>
      </c>
      <c r="H19" s="46"/>
      <c r="I19" s="46"/>
      <c r="J19" s="46"/>
      <c r="K19" s="46"/>
      <c r="L19" s="46"/>
      <c r="S19" s="4" t="s">
        <v>130</v>
      </c>
      <c r="T19" s="57">
        <v>180</v>
      </c>
      <c r="U19" s="48">
        <v>16</v>
      </c>
      <c r="V19" s="49">
        <v>55.4</v>
      </c>
      <c r="W19" s="49">
        <v>43.5</v>
      </c>
      <c r="X19" s="50">
        <v>5.0199999999999996</v>
      </c>
      <c r="Y19" s="49">
        <v>12.7</v>
      </c>
      <c r="Z19" s="50">
        <v>7.11</v>
      </c>
      <c r="AA19" s="50">
        <v>6.39</v>
      </c>
      <c r="AB19" s="48">
        <v>1680</v>
      </c>
      <c r="AC19" s="48">
        <v>130</v>
      </c>
      <c r="AD19" s="50">
        <v>5.51</v>
      </c>
      <c r="AE19" s="50">
        <v>6.96</v>
      </c>
      <c r="AF19" s="49">
        <v>3.5</v>
      </c>
      <c r="AG19" s="44">
        <v>1.92</v>
      </c>
      <c r="AH19" s="45">
        <v>3.75</v>
      </c>
    </row>
    <row r="20" spans="1:34" x14ac:dyDescent="0.2">
      <c r="A20" s="9" t="s">
        <v>145</v>
      </c>
      <c r="B20" s="18">
        <f>VLOOKUP(B17,$S$2:$AH$20,6,FALSE)</f>
        <v>2.82</v>
      </c>
      <c r="C20" s="4" t="s">
        <v>27</v>
      </c>
      <c r="E20" s="76" t="s">
        <v>78</v>
      </c>
      <c r="F20" s="76"/>
      <c r="G20" s="46"/>
      <c r="H20" s="46"/>
      <c r="I20" s="46"/>
      <c r="J20" s="46"/>
      <c r="K20" s="46"/>
      <c r="L20" s="46"/>
      <c r="S20" s="4" t="s">
        <v>131</v>
      </c>
      <c r="T20" s="57">
        <v>200</v>
      </c>
      <c r="U20" s="48">
        <v>16</v>
      </c>
      <c r="V20" s="49">
        <v>61.8</v>
      </c>
      <c r="W20" s="49">
        <v>48.5</v>
      </c>
      <c r="X20" s="50">
        <v>5.52</v>
      </c>
      <c r="Y20" s="49">
        <v>14.1</v>
      </c>
      <c r="Z20" s="49">
        <v>7.8</v>
      </c>
      <c r="AA20" s="50">
        <v>7.09</v>
      </c>
      <c r="AB20" s="48">
        <v>2340</v>
      </c>
      <c r="AC20" s="48">
        <v>168</v>
      </c>
      <c r="AD20" s="50">
        <v>6.15</v>
      </c>
      <c r="AE20" s="50">
        <v>7.78</v>
      </c>
      <c r="AF20" s="50">
        <v>3.91</v>
      </c>
      <c r="AG20" s="44">
        <v>2.0099999999999998</v>
      </c>
      <c r="AH20" s="45">
        <v>3.94</v>
      </c>
    </row>
    <row r="21" spans="1:34" x14ac:dyDescent="0.2">
      <c r="A21" s="9" t="s">
        <v>25</v>
      </c>
      <c r="B21" s="18">
        <f>VLOOKUP(B17,$S$2:$AH$20,5,FALSE)</f>
        <v>15.1</v>
      </c>
      <c r="C21" s="4" t="s">
        <v>28</v>
      </c>
      <c r="E21" s="76" t="s">
        <v>79</v>
      </c>
      <c r="F21" s="76"/>
      <c r="G21" s="74"/>
      <c r="H21" s="74"/>
      <c r="I21" s="76" t="s">
        <v>80</v>
      </c>
      <c r="J21" s="76"/>
      <c r="K21" s="46"/>
      <c r="L21" s="46"/>
      <c r="S21" s="4">
        <v>1</v>
      </c>
      <c r="T21" s="4">
        <v>2</v>
      </c>
      <c r="U21" s="4">
        <v>3</v>
      </c>
      <c r="V21" s="4">
        <v>4</v>
      </c>
      <c r="W21" s="4">
        <v>5</v>
      </c>
      <c r="X21" s="4">
        <v>6</v>
      </c>
      <c r="Y21" s="4">
        <v>7</v>
      </c>
      <c r="Z21" s="4">
        <v>8</v>
      </c>
      <c r="AA21" s="4">
        <v>9</v>
      </c>
      <c r="AB21" s="4">
        <v>10</v>
      </c>
      <c r="AC21" s="4">
        <v>11</v>
      </c>
      <c r="AD21" s="4">
        <v>12</v>
      </c>
      <c r="AE21" s="4">
        <v>13</v>
      </c>
      <c r="AF21" s="4">
        <v>14</v>
      </c>
      <c r="AG21" s="4">
        <v>15</v>
      </c>
      <c r="AH21" s="4">
        <v>16</v>
      </c>
    </row>
    <row r="22" spans="1:34" ht="20.25" x14ac:dyDescent="0.2">
      <c r="E22" s="46" t="s">
        <v>81</v>
      </c>
      <c r="F22" s="46">
        <f>SQRT((B9/B30)^2+(IF(B14=B1,(B13/B31)^2,((1.25*B13)/B31)^2)))</f>
        <v>75.934904003591129</v>
      </c>
      <c r="G22" s="54" t="str">
        <f>IF(F22&lt;180,"Safe","Unsafe")</f>
        <v>Safe</v>
      </c>
      <c r="H22" s="46"/>
      <c r="I22" s="46" t="s">
        <v>82</v>
      </c>
      <c r="J22" s="46">
        <f>SQRT((B10/B26)^2+(IF(B14=B1,(B13/B31)^2,((1.25*B13)/B31)^2)))</f>
        <v>35.001281267697863</v>
      </c>
      <c r="K22" s="54" t="str">
        <f>IF(J22&lt;=180,"Safe","Unsafe")</f>
        <v>Safe</v>
      </c>
      <c r="L22" s="46"/>
    </row>
    <row r="23" spans="1:34" ht="21" x14ac:dyDescent="0.2">
      <c r="A23" s="64" t="s">
        <v>141</v>
      </c>
      <c r="B23" s="64"/>
      <c r="C23" s="64"/>
      <c r="E23" s="46" t="s">
        <v>83</v>
      </c>
      <c r="F23" s="46">
        <f>F22*SQRT((B5)/(PI()^2*2100))</f>
        <v>0.81712321459249559</v>
      </c>
      <c r="G23" s="46"/>
      <c r="H23" s="46"/>
      <c r="I23" s="46" t="s">
        <v>84</v>
      </c>
      <c r="J23" s="46">
        <f>J22*SQRT((B5)/(PI()^2*2100))</f>
        <v>0.37664312399690142</v>
      </c>
      <c r="K23" s="46"/>
      <c r="L23" s="46"/>
    </row>
    <row r="24" spans="1:34" ht="21" x14ac:dyDescent="0.2">
      <c r="A24" s="9" t="s">
        <v>24</v>
      </c>
      <c r="B24" s="4">
        <f>4*VLOOKUP(B17,$S$2:$AH$20,4,FALSE)</f>
        <v>76.8</v>
      </c>
      <c r="C24" s="4" t="s">
        <v>47</v>
      </c>
      <c r="E24" s="46" t="s">
        <v>85</v>
      </c>
      <c r="F24" s="46">
        <f>IF(F23&lt;1.1,B5*(1-0.384*(F23)^2),IF(F23&gt;1.1,(0.648*B5)/(F23)^2))</f>
        <v>1.7846565754435826</v>
      </c>
      <c r="G24" s="46" t="s">
        <v>45</v>
      </c>
      <c r="H24" s="46"/>
      <c r="I24" s="46" t="s">
        <v>85</v>
      </c>
      <c r="J24" s="46">
        <f>IF(J23&lt;1.1,B5*(1-0.384*(J23)^2),IF(J23&gt;1.1,(0.648*B5)/(J23)^2))</f>
        <v>2.2692617845056198</v>
      </c>
      <c r="K24" s="46" t="s">
        <v>45</v>
      </c>
      <c r="L24" s="46"/>
    </row>
    <row r="25" spans="1:34" ht="21" x14ac:dyDescent="0.2">
      <c r="A25" s="46" t="s">
        <v>92</v>
      </c>
      <c r="B25" s="4">
        <f>4*(VLOOKUP(B17,$S$2:$AH$20,10,FALSE)+VLOOKUP(B17,$S$2:$AH$20,4,FALSE)*(0.5*B11)^2)</f>
        <v>48708</v>
      </c>
      <c r="C25" s="4" t="s">
        <v>48</v>
      </c>
      <c r="E25" s="46" t="s">
        <v>86</v>
      </c>
      <c r="F25" s="46">
        <f>F24*B24</f>
        <v>137.06162499406713</v>
      </c>
      <c r="G25" s="46" t="s">
        <v>87</v>
      </c>
      <c r="H25" s="46"/>
      <c r="I25" s="46" t="s">
        <v>88</v>
      </c>
      <c r="J25" s="46">
        <f>J24*B24</f>
        <v>174.27930505003158</v>
      </c>
      <c r="K25" s="46" t="s">
        <v>87</v>
      </c>
      <c r="L25" s="46"/>
    </row>
    <row r="26" spans="1:34" ht="20.25" x14ac:dyDescent="0.2">
      <c r="A26" s="46" t="s">
        <v>95</v>
      </c>
      <c r="B26" s="4">
        <f>SQRT(B25/B24)</f>
        <v>25.183700085571221</v>
      </c>
      <c r="C26" s="4" t="s">
        <v>27</v>
      </c>
      <c r="E26" s="46"/>
      <c r="F26" s="46"/>
      <c r="G26" s="46"/>
      <c r="H26" s="46"/>
      <c r="I26" s="46"/>
      <c r="J26" s="46"/>
      <c r="K26" s="46"/>
      <c r="L26" s="46"/>
    </row>
    <row r="27" spans="1:34" ht="21" x14ac:dyDescent="0.2">
      <c r="A27" s="52" t="s">
        <v>148</v>
      </c>
      <c r="B27" s="4">
        <f>B25/(0.5*B11+B20)</f>
        <v>1750.8267433501078</v>
      </c>
      <c r="C27" s="52" t="s">
        <v>93</v>
      </c>
      <c r="E27" s="76" t="s">
        <v>89</v>
      </c>
      <c r="F27" s="76"/>
      <c r="G27" s="46"/>
      <c r="H27" s="46"/>
      <c r="I27" s="46"/>
      <c r="J27" s="46"/>
      <c r="K27" s="46"/>
      <c r="L27" s="46"/>
    </row>
    <row r="28" spans="1:34" ht="21" x14ac:dyDescent="0.2">
      <c r="A28" s="46" t="s">
        <v>96</v>
      </c>
      <c r="B28" s="4">
        <f>4*(VLOOKUP(B17,$S$2:$AH$20,10,FALSE)+VLOOKUP(B17,$S$2:$AH$20,4,FALSE)*(0.5*B12)^2)</f>
        <v>48708</v>
      </c>
      <c r="C28" s="4" t="s">
        <v>48</v>
      </c>
      <c r="E28" s="55" t="s">
        <v>90</v>
      </c>
      <c r="F28" s="55"/>
      <c r="G28" s="46"/>
      <c r="H28" s="46"/>
      <c r="I28" s="46"/>
      <c r="J28" s="46"/>
      <c r="K28" s="46"/>
      <c r="L28" s="46"/>
    </row>
    <row r="29" spans="1:34" ht="21" x14ac:dyDescent="0.2">
      <c r="A29" s="46" t="s">
        <v>149</v>
      </c>
      <c r="B29" s="46">
        <f>B28/(0.5*B12+B20)</f>
        <v>1750.8267433501078</v>
      </c>
      <c r="C29" s="46" t="s">
        <v>93</v>
      </c>
      <c r="E29" s="74" t="str">
        <f>IF(F7/(0.8*F25)&lt;=0.2,"Pu / ᶲPnx &lt;= 0.2","")</f>
        <v/>
      </c>
      <c r="F29" s="74"/>
      <c r="G29" s="46" t="str">
        <f>IF(F7/(0.8*F25)&lt;=0.2,"&gt;&gt;&gt;&gt;","")</f>
        <v/>
      </c>
      <c r="H29" s="46" t="str">
        <f>IF(F7/(0.8*F25)&lt;=0.2,F7/(2*0.8*F25)+F5/(0.85*F17)+F6/(0.85*F18),"")</f>
        <v/>
      </c>
      <c r="I29" s="54">
        <f>IF((F7/(0.8*F25))&lt;=0.2,IF(H29&lt;=1,"Safe","Unsafe"),0)</f>
        <v>0</v>
      </c>
      <c r="J29" s="46"/>
      <c r="K29" s="46"/>
      <c r="L29" s="46"/>
    </row>
    <row r="30" spans="1:34" ht="20.25" x14ac:dyDescent="0.2">
      <c r="A30" s="46" t="s">
        <v>97</v>
      </c>
      <c r="B30" s="4">
        <f>SQRT(B28/B24)</f>
        <v>25.183700085571221</v>
      </c>
      <c r="C30" s="4" t="s">
        <v>27</v>
      </c>
      <c r="E30" s="74" t="str">
        <f>IF(F7/(0.8*F25)&gt;0.2,"Pu / ᶲPnx &gt; 0.2","")</f>
        <v>Pu / ᶲPnx &gt; 0.2</v>
      </c>
      <c r="F30" s="74"/>
      <c r="G30" s="46" t="str">
        <f>IF(F7/(0.8*F25)&gt;0.2,"&gt;&gt;&gt;&gt;","")</f>
        <v>&gt;&gt;&gt;&gt;</v>
      </c>
      <c r="H30" s="46">
        <f>IF(F7/(0.8*F25)&gt;0.2,F7/(0.8*F25)+(8/9)*((F5/(0.85*F17))+(F6/(0.85*F18))),"")</f>
        <v>0.93643103366004632</v>
      </c>
      <c r="I30" s="54" t="str">
        <f>IF((F7/(0.8*F25))&gt;0.2,IF(H30&lt;=1,"Safe","Unsafe"),"")</f>
        <v>Safe</v>
      </c>
      <c r="J30" s="46"/>
      <c r="K30" s="46"/>
      <c r="L30" s="46"/>
    </row>
    <row r="31" spans="1:34" ht="20.25" x14ac:dyDescent="0.2">
      <c r="A31" s="46" t="s">
        <v>101</v>
      </c>
      <c r="B31" s="4">
        <f>VLOOKUP(B17,$S$2:$AH$20,14,FALSE)</f>
        <v>1.95</v>
      </c>
      <c r="C31" s="4" t="s">
        <v>27</v>
      </c>
      <c r="E31" s="46"/>
      <c r="F31" s="46"/>
      <c r="G31" s="46"/>
      <c r="H31" s="46"/>
      <c r="I31" s="46"/>
      <c r="J31" s="46"/>
      <c r="K31" s="46"/>
      <c r="L31" s="46"/>
    </row>
    <row r="32" spans="1:34" x14ac:dyDescent="0.2">
      <c r="E32" s="55" t="s">
        <v>91</v>
      </c>
      <c r="F32" s="55"/>
      <c r="G32" s="55"/>
      <c r="H32" s="46"/>
      <c r="I32" s="46"/>
      <c r="J32" s="46"/>
      <c r="K32" s="46"/>
      <c r="L32" s="46"/>
    </row>
    <row r="33" spans="5:12" x14ac:dyDescent="0.2">
      <c r="E33" s="51">
        <f>(F7/(0.8*J25))+(F5/(0.85*F17))^2</f>
        <v>0.77945289053738831</v>
      </c>
      <c r="F33" s="54" t="str">
        <f>IF(E33&lt;=1,"Safe","Unsafe")</f>
        <v>Safe</v>
      </c>
      <c r="J33" s="46"/>
      <c r="K33" s="46"/>
      <c r="L33" s="46"/>
    </row>
    <row r="34" spans="5:12" x14ac:dyDescent="0.25">
      <c r="E34" s="46"/>
      <c r="F34" s="46"/>
      <c r="G34" s="56"/>
      <c r="H34" s="46"/>
      <c r="I34" s="46"/>
      <c r="J34" s="46"/>
      <c r="K34" s="46"/>
      <c r="L34" s="46"/>
    </row>
    <row r="35" spans="5:12" x14ac:dyDescent="0.2">
      <c r="H35" s="46"/>
      <c r="I35" s="46"/>
      <c r="J35" s="46"/>
      <c r="K35" s="46"/>
      <c r="L35" s="46"/>
    </row>
    <row r="36" spans="5:12" x14ac:dyDescent="0.2">
      <c r="H36" s="46"/>
      <c r="I36" s="46"/>
      <c r="J36" s="46"/>
      <c r="K36" s="46"/>
    </row>
  </sheetData>
  <mergeCells count="19">
    <mergeCell ref="AG3:AG4"/>
    <mergeCell ref="AH3:AH4"/>
    <mergeCell ref="B4:C4"/>
    <mergeCell ref="AG2:AH2"/>
    <mergeCell ref="A23:C23"/>
    <mergeCell ref="E27:F27"/>
    <mergeCell ref="A8:C8"/>
    <mergeCell ref="B14:C14"/>
    <mergeCell ref="A16:C16"/>
    <mergeCell ref="B17:C17"/>
    <mergeCell ref="E29:F29"/>
    <mergeCell ref="E30:F30"/>
    <mergeCell ref="T1:U1"/>
    <mergeCell ref="X1:AA1"/>
    <mergeCell ref="AB1:AD1"/>
    <mergeCell ref="E20:F20"/>
    <mergeCell ref="E21:F21"/>
    <mergeCell ref="G21:H21"/>
    <mergeCell ref="I21:J21"/>
  </mergeCells>
  <conditionalFormatting sqref="Q19:Q20 P22:P23 M25:O26">
    <cfRule type="cellIs" dxfId="3" priority="4" operator="equal">
      <formula>"safe"</formula>
    </cfRule>
  </conditionalFormatting>
  <conditionalFormatting sqref="Q19:Q20 P22:P23 M25:O26">
    <cfRule type="cellIs" dxfId="2" priority="3" operator="equal">
      <formula>"unsafe"</formula>
    </cfRule>
  </conditionalFormatting>
  <conditionalFormatting sqref="K22 G22 I29:I30 F33">
    <cfRule type="cellIs" dxfId="1" priority="2" operator="equal">
      <formula>"Safe"</formula>
    </cfRule>
  </conditionalFormatting>
  <conditionalFormatting sqref="K22 G22 I29:I30 F33">
    <cfRule type="cellIs" dxfId="0" priority="1" operator="equal">
      <formula>"Unsafe"</formula>
    </cfRule>
  </conditionalFormatting>
  <dataValidations disablePrompts="1" count="3">
    <dataValidation type="list" allowBlank="1" showInputMessage="1" showErrorMessage="1" sqref="B4:C4" xr:uid="{9F74E1AB-849F-4404-BCB9-891CF2FAB7F0}">
      <formula1>$A$1:$A$3</formula1>
    </dataValidation>
    <dataValidation type="list" allowBlank="1" showInputMessage="1" showErrorMessage="1" sqref="B14:B15" xr:uid="{E389DB64-D48E-4C8E-8687-3E676AE6D75D}">
      <formula1>$B$1:$B$2</formula1>
    </dataValidation>
    <dataValidation type="list" allowBlank="1" showInputMessage="1" showErrorMessage="1" sqref="B17:C17" xr:uid="{CCEB5FFC-E4DE-456A-9F14-7EB3C36AB587}">
      <formula1>$S$5:$S$20</formula1>
    </dataValidation>
  </dataValidations>
  <pageMargins left="0.7" right="0.7" top="0.75" bottom="0.75" header="0.3" footer="0.3"/>
  <pageSetup paperSize="9" scale="74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A3FE7E5435A468C0768C4C651878C" ma:contentTypeVersion="2" ma:contentTypeDescription="Create a new document." ma:contentTypeScope="" ma:versionID="2c84bcfac1490c471e0f50df1fe75327">
  <xsd:schema xmlns:xsd="http://www.w3.org/2001/XMLSchema" xmlns:xs="http://www.w3.org/2001/XMLSchema" xmlns:p="http://schemas.microsoft.com/office/2006/metadata/properties" xmlns:ns3="4952ccbb-1f67-4be9-9854-b63ec1aebf52" targetNamespace="http://schemas.microsoft.com/office/2006/metadata/properties" ma:root="true" ma:fieldsID="621411fc66983ccbd39eb0d1e83b8223" ns3:_="">
    <xsd:import namespace="4952ccbb-1f67-4be9-9854-b63ec1aebf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52ccbb-1f67-4be9-9854-b63ec1aebf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2F83527-1FFB-4894-847F-13FC6CFE5E4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5BE6EF-42D9-4F70-86B0-5945704D2D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52ccbb-1f67-4be9-9854-b63ec1aebf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D64E22E-BEF2-4CF1-9977-4DE5BDF06961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terms/"/>
    <ds:schemaRef ds:uri="4952ccbb-1f67-4be9-9854-b63ec1aebf52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2-I</vt:lpstr>
      <vt:lpstr>2-C</vt:lpstr>
      <vt:lpstr>4-L</vt:lpstr>
      <vt:lpstr>'2-C'!Print_Area</vt:lpstr>
      <vt:lpstr>'2-I'!Print_Area</vt:lpstr>
      <vt:lpstr>'4-L'!Print_Area</vt:lpstr>
      <vt:lpstr>'2-C'!table</vt:lpstr>
      <vt:lpstr>'2-I'!table</vt:lpstr>
      <vt:lpstr>'4-L'!table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Windows User</cp:lastModifiedBy>
  <cp:lastPrinted>2022-04-16T04:12:19Z</cp:lastPrinted>
  <dcterms:created xsi:type="dcterms:W3CDTF">2020-03-18T12:50:24Z</dcterms:created>
  <dcterms:modified xsi:type="dcterms:W3CDTF">2022-04-16T04:26:14Z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0x010100CCCA3FE7E5435A468C0768C4C651878C</vt:lpwstr>
  </property>
</Properties>
</file>