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rd Civil - Senior Level [2]\1st term 2022\Steel 22\steel projects\pROJ.no6\Excels LRFD\"/>
    </mc:Choice>
  </mc:AlternateContent>
  <xr:revisionPtr revIDLastSave="0" documentId="13_ncr:1_{841C9B4A-0B38-43BD-A56F-469B52A33D7A}" xr6:coauthVersionLast="47" xr6:coauthVersionMax="47" xr10:uidLastSave="{00000000-0000-0000-0000-000000000000}"/>
  <bookViews>
    <workbookView xWindow="-108" yWindow="-108" windowWidth="23256" windowHeight="12576" tabRatio="773" activeTab="1" xr2:uid="{55569567-5360-40AF-B673-D132703A9BB3}"/>
  </bookViews>
  <sheets>
    <sheet name="Extended" sheetId="1" r:id="rId1"/>
    <sheet name="Extended B.U.S" sheetId="4" r:id="rId2"/>
    <sheet name="Flushed" sheetId="2" r:id="rId3"/>
    <sheet name="Flushed B.U.S" sheetId="5" r:id="rId4"/>
    <sheet name="Extended Full depth B.U.S" sheetId="7" r:id="rId5"/>
    <sheet name="Welded Rolled Sec." sheetId="3" r:id="rId6"/>
    <sheet name="Welded B.U.S" sheetId="6" r:id="rId7"/>
  </sheets>
  <definedNames>
    <definedName name="_xlnm.Print_Area" localSheetId="0">Extended!$A$1:$M$38</definedName>
    <definedName name="_xlnm.Print_Area" localSheetId="1">'Extended B.U.S'!$A$1:$N$42</definedName>
    <definedName name="_xlnm.Print_Area" localSheetId="6">'Welded B.U.S'!$A$1:$N$37</definedName>
    <definedName name="_xlnm.Print_Area" localSheetId="5">'Welded Rolled Sec.'!$A$1:$N$40</definedName>
    <definedName name="table">Extended!$AE$2:$AT$21</definedName>
    <definedName name="table1">Extended!$O$2:$AC$27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19" i="4"/>
  <c r="G32" i="4"/>
  <c r="I32" i="4" s="1"/>
  <c r="J29" i="7"/>
  <c r="B16" i="3"/>
  <c r="L35" i="3"/>
  <c r="L29" i="3"/>
  <c r="L23" i="3"/>
  <c r="B15" i="3"/>
  <c r="L38" i="4" l="1"/>
  <c r="B9" i="4"/>
  <c r="G29" i="4" l="1"/>
  <c r="I29" i="4" s="1"/>
  <c r="F30" i="4" s="1"/>
  <c r="H37" i="5"/>
  <c r="J30" i="7" l="1"/>
  <c r="B20" i="7"/>
  <c r="B18" i="7" s="1"/>
  <c r="O37" i="7"/>
  <c r="J26" i="7"/>
  <c r="J25" i="7"/>
  <c r="B25" i="7"/>
  <c r="J6" i="7"/>
  <c r="B19" i="7"/>
  <c r="B15" i="7"/>
  <c r="B14" i="7"/>
  <c r="J23" i="7" s="1"/>
  <c r="B9" i="7"/>
  <c r="B8" i="7"/>
  <c r="B6" i="7"/>
  <c r="B5" i="7"/>
  <c r="O38" i="7" s="1"/>
  <c r="Q38" i="7" l="1"/>
  <c r="N39" i="7" s="1"/>
  <c r="J24" i="7"/>
  <c r="O21" i="7"/>
  <c r="Q21" i="7" s="1"/>
  <c r="O27" i="7"/>
  <c r="Q27" i="7" s="1"/>
  <c r="O24" i="7"/>
  <c r="N25" i="7" s="1"/>
  <c r="O41" i="7"/>
  <c r="Q41" i="7" s="1"/>
  <c r="J34" i="7"/>
  <c r="J33" i="7"/>
  <c r="J8" i="7"/>
  <c r="O30" i="7"/>
  <c r="Q30" i="7" s="1"/>
  <c r="N31" i="7" s="1"/>
  <c r="J31" i="7"/>
  <c r="O33" i="7"/>
  <c r="Q33" i="7" s="1"/>
  <c r="J7" i="7"/>
  <c r="O18" i="7"/>
  <c r="Q18" i="7" s="1"/>
  <c r="N19" i="7" s="1"/>
  <c r="J32" i="7"/>
  <c r="M47" i="5"/>
  <c r="Q24" i="7" l="1"/>
  <c r="J9" i="7"/>
  <c r="J18" i="7" s="1"/>
  <c r="J11" i="7"/>
  <c r="J35" i="7"/>
  <c r="H36" i="5"/>
  <c r="C11" i="5"/>
  <c r="C10" i="5"/>
  <c r="J38" i="7" l="1"/>
  <c r="L38" i="7" s="1"/>
  <c r="J39" i="7"/>
  <c r="J10" i="7"/>
  <c r="J17" i="7" s="1"/>
  <c r="J19" i="7" s="1"/>
  <c r="K19" i="7" s="1"/>
  <c r="D23" i="5"/>
  <c r="C19" i="5"/>
  <c r="C20" i="5"/>
  <c r="B20" i="6"/>
  <c r="F20" i="6" s="1"/>
  <c r="B19" i="6"/>
  <c r="B13" i="6"/>
  <c r="B11" i="6"/>
  <c r="B10" i="6"/>
  <c r="F34" i="6" s="1"/>
  <c r="C27" i="5"/>
  <c r="C26" i="5"/>
  <c r="D15" i="5"/>
  <c r="D14" i="5"/>
  <c r="C9" i="5"/>
  <c r="C8" i="5"/>
  <c r="M31" i="5" s="1"/>
  <c r="O31" i="5" s="1"/>
  <c r="B38" i="4"/>
  <c r="B37" i="4"/>
  <c r="B21" i="4"/>
  <c r="B20" i="4"/>
  <c r="B16" i="4"/>
  <c r="B15" i="4"/>
  <c r="B34" i="4" s="1"/>
  <c r="B7" i="4"/>
  <c r="B6" i="4"/>
  <c r="B15" i="6" l="1"/>
  <c r="B14" i="6"/>
  <c r="F28" i="6"/>
  <c r="K29" i="6"/>
  <c r="H20" i="6"/>
  <c r="L42" i="4"/>
  <c r="N42" i="4" s="1"/>
  <c r="L39" i="4"/>
  <c r="N39" i="4" s="1"/>
  <c r="K40" i="4" s="1"/>
  <c r="F25" i="6"/>
  <c r="K26" i="6"/>
  <c r="M34" i="5"/>
  <c r="M40" i="5"/>
  <c r="M51" i="5"/>
  <c r="O51" i="5" s="1"/>
  <c r="C24" i="5"/>
  <c r="C25" i="5"/>
  <c r="F31" i="6"/>
  <c r="K34" i="6"/>
  <c r="M28" i="5"/>
  <c r="J14" i="7"/>
  <c r="K14" i="7" s="1"/>
  <c r="L22" i="4"/>
  <c r="N22" i="4" s="1"/>
  <c r="L19" i="4"/>
  <c r="N19" i="4" s="1"/>
  <c r="K20" i="4" s="1"/>
  <c r="L34" i="4"/>
  <c r="N34" i="4" s="1"/>
  <c r="L25" i="4"/>
  <c r="N25" i="4" s="1"/>
  <c r="K26" i="4" s="1"/>
  <c r="L31" i="4"/>
  <c r="N31" i="4" s="1"/>
  <c r="K32" i="4" s="1"/>
  <c r="L28" i="4"/>
  <c r="N28" i="4" s="1"/>
  <c r="B39" i="4"/>
  <c r="B40" i="4" s="1"/>
  <c r="L39" i="7"/>
  <c r="J27" i="7"/>
  <c r="O10" i="7" s="1"/>
  <c r="M48" i="5"/>
  <c r="O48" i="5" s="1"/>
  <c r="L49" i="5" s="1"/>
  <c r="O28" i="5"/>
  <c r="L29" i="5" s="1"/>
  <c r="G18" i="4"/>
  <c r="B33" i="4"/>
  <c r="J8" i="3"/>
  <c r="I8" i="3"/>
  <c r="J7" i="3"/>
  <c r="I7" i="3"/>
  <c r="F6" i="3"/>
  <c r="J6" i="3"/>
  <c r="I6" i="3"/>
  <c r="F5" i="3"/>
  <c r="J5" i="3"/>
  <c r="I5" i="3"/>
  <c r="F4" i="3"/>
  <c r="J4" i="3"/>
  <c r="I4" i="3"/>
  <c r="F3" i="3"/>
  <c r="B7" i="3"/>
  <c r="B6" i="3"/>
  <c r="B9" i="3" l="1"/>
  <c r="L40" i="3"/>
  <c r="I18" i="4"/>
  <c r="J40" i="7"/>
  <c r="O11" i="7"/>
  <c r="O12" i="7" s="1"/>
  <c r="O13" i="7" s="1"/>
  <c r="Q13" i="7" s="1"/>
  <c r="K33" i="6"/>
  <c r="M34" i="6" s="1"/>
  <c r="C18" i="5"/>
  <c r="G22" i="4"/>
  <c r="H22" i="4" s="1"/>
  <c r="B41" i="4"/>
  <c r="G25" i="4" s="1"/>
  <c r="H26" i="4" s="1"/>
  <c r="G19" i="4"/>
  <c r="I19" i="4" s="1"/>
  <c r="L20" i="3"/>
  <c r="L39" i="3"/>
  <c r="F22" i="3"/>
  <c r="H22" i="3" s="1"/>
  <c r="L32" i="3"/>
  <c r="L26" i="3"/>
  <c r="D26" i="2"/>
  <c r="F26" i="4" l="1"/>
  <c r="G26" i="4"/>
  <c r="B10" i="3"/>
  <c r="N23" i="3" s="1"/>
  <c r="B11" i="3"/>
  <c r="N26" i="3" s="1"/>
  <c r="K27" i="3" s="1"/>
  <c r="N40" i="3"/>
  <c r="L40" i="7"/>
  <c r="O6" i="7"/>
  <c r="P6" i="7" s="1"/>
  <c r="H41" i="5"/>
  <c r="H39" i="5"/>
  <c r="H38" i="5"/>
  <c r="H40" i="5"/>
  <c r="H28" i="6"/>
  <c r="H25" i="6"/>
  <c r="E26" i="6" s="1"/>
  <c r="F17" i="6"/>
  <c r="H17" i="6" s="1"/>
  <c r="M26" i="6"/>
  <c r="J27" i="6" s="1"/>
  <c r="H31" i="6"/>
  <c r="E32" i="6" s="1"/>
  <c r="M29" i="6"/>
  <c r="H34" i="6"/>
  <c r="N8" i="2"/>
  <c r="M8" i="2"/>
  <c r="N7" i="2"/>
  <c r="M7" i="2"/>
  <c r="I7" i="2"/>
  <c r="N6" i="2"/>
  <c r="M6" i="2"/>
  <c r="I6" i="2"/>
  <c r="H21" i="2" s="1"/>
  <c r="N5" i="2"/>
  <c r="M5" i="2"/>
  <c r="I5" i="2"/>
  <c r="N4" i="2"/>
  <c r="M4" i="2"/>
  <c r="I4" i="2"/>
  <c r="D15" i="2"/>
  <c r="D14" i="2"/>
  <c r="C30" i="2"/>
  <c r="C29" i="2"/>
  <c r="C20" i="2"/>
  <c r="F19" i="3" l="1"/>
  <c r="H19" i="3" s="1"/>
  <c r="N20" i="3"/>
  <c r="K21" i="3" s="1"/>
  <c r="N32" i="3"/>
  <c r="K33" i="3" s="1"/>
  <c r="N35" i="3"/>
  <c r="N29" i="3"/>
  <c r="H42" i="5"/>
  <c r="H44" i="5" s="1"/>
  <c r="M37" i="2"/>
  <c r="H20" i="2"/>
  <c r="H25" i="2" s="1"/>
  <c r="D17" i="2"/>
  <c r="H23" i="2"/>
  <c r="H32" i="2" s="1"/>
  <c r="C27" i="2"/>
  <c r="C28" i="2"/>
  <c r="C11" i="2"/>
  <c r="C18" i="2"/>
  <c r="C10" i="2"/>
  <c r="L8" i="1"/>
  <c r="K8" i="1"/>
  <c r="L7" i="1"/>
  <c r="K7" i="1"/>
  <c r="L6" i="1"/>
  <c r="K6" i="1"/>
  <c r="L5" i="1"/>
  <c r="K5" i="1"/>
  <c r="L4" i="1"/>
  <c r="K4" i="1"/>
  <c r="B33" i="1"/>
  <c r="B32" i="1"/>
  <c r="B16" i="1"/>
  <c r="B15" i="1"/>
  <c r="B21" i="1"/>
  <c r="B20" i="1"/>
  <c r="B28" i="1"/>
  <c r="G7" i="1"/>
  <c r="G6" i="1"/>
  <c r="G5" i="1"/>
  <c r="G4" i="1"/>
  <c r="H37" i="2" l="1"/>
  <c r="H36" i="2"/>
  <c r="H45" i="5"/>
  <c r="C28" i="5" s="1"/>
  <c r="J44" i="5"/>
  <c r="B30" i="1"/>
  <c r="B31" i="1"/>
  <c r="B10" i="1"/>
  <c r="B9" i="1"/>
  <c r="B19" i="1"/>
  <c r="B34" i="1" s="1"/>
  <c r="C21" i="2"/>
  <c r="C19" i="2" s="1"/>
  <c r="H41" i="2" s="1"/>
  <c r="H22" i="2"/>
  <c r="H24" i="2" s="1"/>
  <c r="C31" i="2"/>
  <c r="C32" i="2" s="1"/>
  <c r="K30" i="1"/>
  <c r="C9" i="2"/>
  <c r="C8" i="2"/>
  <c r="B7" i="1"/>
  <c r="B6" i="1"/>
  <c r="K20" i="1" s="1"/>
  <c r="K31" i="1" l="1"/>
  <c r="M31" i="1" s="1"/>
  <c r="K26" i="1"/>
  <c r="M26" i="1" s="1"/>
  <c r="M30" i="2"/>
  <c r="O30" i="2" s="1"/>
  <c r="M33" i="2"/>
  <c r="O33" i="2" s="1"/>
  <c r="K23" i="1"/>
  <c r="M23" i="1" s="1"/>
  <c r="J45" i="5"/>
  <c r="H40" i="2"/>
  <c r="H38" i="2"/>
  <c r="H39" i="2"/>
  <c r="H28" i="2"/>
  <c r="I28" i="2" s="1"/>
  <c r="H31" i="2"/>
  <c r="H33" i="2" s="1"/>
  <c r="I33" i="2" s="1"/>
  <c r="M38" i="2"/>
  <c r="O38" i="2" s="1"/>
  <c r="M27" i="2"/>
  <c r="O27" i="2" s="1"/>
  <c r="M20" i="1"/>
  <c r="B36" i="1"/>
  <c r="G19" i="1"/>
  <c r="H19" i="1" s="1"/>
  <c r="H42" i="2" l="1"/>
  <c r="F23" i="1"/>
  <c r="G23" i="1" s="1"/>
  <c r="G20" i="1"/>
  <c r="H20" i="1" s="1"/>
  <c r="B37" i="1"/>
  <c r="B38" i="1" s="1"/>
  <c r="F26" i="1" s="1"/>
  <c r="G26" i="1" s="1"/>
  <c r="H44" i="2" l="1"/>
  <c r="J44" i="2" s="1"/>
  <c r="H45" i="2"/>
  <c r="C33" i="2" s="1"/>
  <c r="C34" i="2" s="1"/>
  <c r="J45" i="2" l="1"/>
  <c r="H46" i="2"/>
  <c r="M20" i="2" s="1"/>
  <c r="N20" i="2" s="1"/>
  <c r="M23" i="2"/>
  <c r="N23" i="2" s="1"/>
  <c r="J46" i="2"/>
  <c r="H20" i="5"/>
  <c r="H21" i="5"/>
  <c r="O34" i="5"/>
  <c r="M43" i="5"/>
  <c r="O43" i="5" s="1"/>
  <c r="O40" i="5"/>
  <c r="L41" i="5" s="1"/>
  <c r="M37" i="5"/>
  <c r="O37" i="5" s="1"/>
  <c r="H46" i="5"/>
  <c r="M20" i="5" s="1"/>
  <c r="H22" i="5" l="1"/>
  <c r="H24" i="5" s="1"/>
  <c r="H23" i="5"/>
  <c r="H32" i="5" s="1"/>
  <c r="H25" i="5"/>
  <c r="C29" i="5"/>
  <c r="L35" i="5"/>
  <c r="N20" i="5"/>
  <c r="J46" i="5"/>
  <c r="C30" i="5"/>
  <c r="H31" i="5" l="1"/>
  <c r="H28" i="5"/>
  <c r="I28" i="5" s="1"/>
  <c r="C31" i="5"/>
  <c r="M23" i="5" s="1"/>
  <c r="O23" i="5" s="1"/>
  <c r="L24" i="5" s="1"/>
  <c r="H33" i="5"/>
  <c r="I33" i="5" s="1"/>
</calcChain>
</file>

<file path=xl/sharedStrings.xml><?xml version="1.0" encoding="utf-8"?>
<sst xmlns="http://schemas.openxmlformats.org/spreadsheetml/2006/main" count="1029" uniqueCount="248">
  <si>
    <t>Input Data :</t>
  </si>
  <si>
    <t>Value</t>
  </si>
  <si>
    <t>Unit</t>
  </si>
  <si>
    <t>Steel Type</t>
  </si>
  <si>
    <t>Cm.t</t>
  </si>
  <si>
    <t xml:space="preserve">Normal </t>
  </si>
  <si>
    <t>Ton</t>
  </si>
  <si>
    <t>Beam Section</t>
  </si>
  <si>
    <t>h</t>
  </si>
  <si>
    <t>b</t>
  </si>
  <si>
    <t>s</t>
  </si>
  <si>
    <t>t</t>
  </si>
  <si>
    <t>IPE</t>
  </si>
  <si>
    <t>Sec.</t>
  </si>
  <si>
    <t>Area</t>
  </si>
  <si>
    <t>Weight</t>
  </si>
  <si>
    <t>Dimensions (mm)</t>
  </si>
  <si>
    <t>x-x</t>
  </si>
  <si>
    <t>y-y</t>
  </si>
  <si>
    <t>No.</t>
  </si>
  <si>
    <r>
      <t>(cm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>)</t>
    </r>
  </si>
  <si>
    <t>(kg/m`)</t>
  </si>
  <si>
    <t>r</t>
  </si>
  <si>
    <t>c</t>
  </si>
  <si>
    <t>h-2c</t>
  </si>
  <si>
    <r>
      <t>I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(cm</t>
    </r>
    <r>
      <rPr>
        <b/>
        <vertAlign val="superscript"/>
        <sz val="14"/>
        <rFont val="Calibri"/>
        <family val="2"/>
        <scheme val="minor"/>
      </rPr>
      <t>4</t>
    </r>
    <r>
      <rPr>
        <b/>
        <sz val="14"/>
        <rFont val="Calibri"/>
        <family val="2"/>
        <scheme val="minor"/>
      </rPr>
      <t>)</t>
    </r>
  </si>
  <si>
    <r>
      <t>S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(cm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)</t>
    </r>
  </si>
  <si>
    <r>
      <t>r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(cm)</t>
    </r>
  </si>
  <si>
    <r>
      <t>I</t>
    </r>
    <r>
      <rPr>
        <b/>
        <vertAlign val="subscript"/>
        <sz val="14"/>
        <rFont val="Calibri"/>
        <family val="2"/>
        <scheme val="minor"/>
      </rPr>
      <t>y</t>
    </r>
    <r>
      <rPr>
        <b/>
        <sz val="14"/>
        <rFont val="Calibri"/>
        <family val="2"/>
        <scheme val="minor"/>
      </rPr>
      <t xml:space="preserve"> (cm</t>
    </r>
    <r>
      <rPr>
        <b/>
        <vertAlign val="superscript"/>
        <sz val="14"/>
        <rFont val="Calibri"/>
        <family val="2"/>
        <scheme val="minor"/>
      </rPr>
      <t>4</t>
    </r>
    <r>
      <rPr>
        <b/>
        <sz val="14"/>
        <rFont val="Calibri"/>
        <family val="2"/>
        <scheme val="minor"/>
      </rPr>
      <t>)</t>
    </r>
  </si>
  <si>
    <r>
      <t>S</t>
    </r>
    <r>
      <rPr>
        <b/>
        <vertAlign val="subscript"/>
        <sz val="14"/>
        <rFont val="Calibri"/>
        <family val="2"/>
        <scheme val="minor"/>
      </rPr>
      <t>y</t>
    </r>
    <r>
      <rPr>
        <b/>
        <sz val="14"/>
        <rFont val="Calibri"/>
        <family val="2"/>
        <scheme val="minor"/>
      </rPr>
      <t xml:space="preserve"> (cm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)</t>
    </r>
  </si>
  <si>
    <r>
      <t>r</t>
    </r>
    <r>
      <rPr>
        <b/>
        <vertAlign val="subscript"/>
        <sz val="14"/>
        <rFont val="Calibri"/>
        <family val="2"/>
        <scheme val="minor"/>
      </rPr>
      <t>y</t>
    </r>
    <r>
      <rPr>
        <b/>
        <sz val="14"/>
        <rFont val="Calibri"/>
        <family val="2"/>
        <scheme val="minor"/>
      </rPr>
      <t xml:space="preserve"> (cm)</t>
    </r>
  </si>
  <si>
    <t>cm</t>
  </si>
  <si>
    <t>plate width</t>
  </si>
  <si>
    <t>plate thickness</t>
  </si>
  <si>
    <t>End plate height</t>
  </si>
  <si>
    <t>HEB</t>
  </si>
  <si>
    <t>Type</t>
  </si>
  <si>
    <t>Bolts</t>
  </si>
  <si>
    <t>M</t>
  </si>
  <si>
    <t>Grade</t>
  </si>
  <si>
    <t>Section</t>
  </si>
  <si>
    <t>A</t>
  </si>
  <si>
    <t>B</t>
  </si>
  <si>
    <t>C</t>
  </si>
  <si>
    <t>ton</t>
  </si>
  <si>
    <t>Edge Distance</t>
  </si>
  <si>
    <t>Pitch Distance</t>
  </si>
  <si>
    <t>Prying Force</t>
  </si>
  <si>
    <t>a</t>
  </si>
  <si>
    <t>Checks :</t>
  </si>
  <si>
    <t>i-Tension on bolt</t>
  </si>
  <si>
    <t>cm.t</t>
  </si>
  <si>
    <t>number</t>
  </si>
  <si>
    <t>iv- Col. Safety</t>
  </si>
  <si>
    <t>ii-Shear+Tension</t>
  </si>
  <si>
    <t>iii-End Plate Thickness</t>
  </si>
  <si>
    <t>1- Flange Bending</t>
  </si>
  <si>
    <t>Col. Section</t>
  </si>
  <si>
    <t>2- Web Local Yielding</t>
  </si>
  <si>
    <t>3- Web Local Crippling</t>
  </si>
  <si>
    <t>4- Shear Panel Zone</t>
  </si>
  <si>
    <t>Cb=Tb =</t>
  </si>
  <si>
    <t>i- Check on Weld bet. beam &amp; End Plate</t>
  </si>
  <si>
    <t xml:space="preserve"> </t>
  </si>
  <si>
    <t>1- Normal Only</t>
  </si>
  <si>
    <t>f =</t>
  </si>
  <si>
    <t>2- Normal + Shear</t>
  </si>
  <si>
    <t>q =</t>
  </si>
  <si>
    <t>End Plate</t>
  </si>
  <si>
    <t>H</t>
  </si>
  <si>
    <t>Pitch Distance new</t>
  </si>
  <si>
    <t>one side</t>
  </si>
  <si>
    <t>mm</t>
  </si>
  <si>
    <t>unitless</t>
  </si>
  <si>
    <t>Note : Take Care About no. of bolts</t>
  </si>
  <si>
    <t>Unitless</t>
  </si>
  <si>
    <r>
      <t>F</t>
    </r>
    <r>
      <rPr>
        <vertAlign val="subscript"/>
        <sz val="14"/>
        <color theme="1"/>
        <rFont val="Calibri Light"/>
        <family val="1"/>
        <scheme val="major"/>
      </rPr>
      <t>y</t>
    </r>
  </si>
  <si>
    <r>
      <t>F</t>
    </r>
    <r>
      <rPr>
        <vertAlign val="subscript"/>
        <sz val="14"/>
        <color theme="1"/>
        <rFont val="Calibri Light"/>
        <family val="1"/>
        <scheme val="major"/>
      </rPr>
      <t>u</t>
    </r>
  </si>
  <si>
    <r>
      <t>t/cm</t>
    </r>
    <r>
      <rPr>
        <vertAlign val="superscript"/>
        <sz val="14"/>
        <color theme="1"/>
        <rFont val="Calibri Light"/>
        <family val="1"/>
        <scheme val="major"/>
      </rPr>
      <t>2</t>
    </r>
  </si>
  <si>
    <r>
      <t>Moment ( M</t>
    </r>
    <r>
      <rPr>
        <vertAlign val="subscript"/>
        <sz val="14"/>
        <color theme="1"/>
        <rFont val="Calibri Light"/>
        <family val="1"/>
        <scheme val="major"/>
      </rPr>
      <t>x</t>
    </r>
    <r>
      <rPr>
        <sz val="14"/>
        <color theme="1"/>
        <rFont val="Calibri Light"/>
        <family val="1"/>
        <scheme val="major"/>
      </rPr>
      <t xml:space="preserve"> )</t>
    </r>
  </si>
  <si>
    <r>
      <t>Shear ( Q</t>
    </r>
    <r>
      <rPr>
        <vertAlign val="subscript"/>
        <sz val="14"/>
        <color theme="1"/>
        <rFont val="Calibri Light"/>
        <family val="1"/>
        <scheme val="major"/>
      </rPr>
      <t>u</t>
    </r>
    <r>
      <rPr>
        <sz val="14"/>
        <color theme="1"/>
        <rFont val="Calibri Light"/>
        <family val="1"/>
        <scheme val="major"/>
      </rPr>
      <t xml:space="preserve"> )</t>
    </r>
  </si>
  <si>
    <r>
      <t>(cm</t>
    </r>
    <r>
      <rPr>
        <b/>
        <vertAlign val="superscript"/>
        <sz val="14"/>
        <rFont val="Calibri Light"/>
        <family val="1"/>
        <scheme val="major"/>
      </rPr>
      <t>2</t>
    </r>
    <r>
      <rPr>
        <b/>
        <sz val="14"/>
        <rFont val="Calibri Light"/>
        <family val="1"/>
        <scheme val="major"/>
      </rPr>
      <t>)</t>
    </r>
  </si>
  <si>
    <r>
      <t>I</t>
    </r>
    <r>
      <rPr>
        <b/>
        <vertAlign val="subscript"/>
        <sz val="14"/>
        <rFont val="Calibri Light"/>
        <family val="1"/>
        <scheme val="major"/>
      </rPr>
      <t>x</t>
    </r>
    <r>
      <rPr>
        <b/>
        <sz val="14"/>
        <rFont val="Calibri Light"/>
        <family val="1"/>
        <scheme val="major"/>
      </rPr>
      <t xml:space="preserve"> (cm</t>
    </r>
    <r>
      <rPr>
        <b/>
        <vertAlign val="superscript"/>
        <sz val="14"/>
        <rFont val="Calibri Light"/>
        <family val="1"/>
        <scheme val="major"/>
      </rPr>
      <t>4</t>
    </r>
    <r>
      <rPr>
        <b/>
        <sz val="14"/>
        <rFont val="Calibri Light"/>
        <family val="1"/>
        <scheme val="major"/>
      </rPr>
      <t>)</t>
    </r>
  </si>
  <si>
    <r>
      <t>S</t>
    </r>
    <r>
      <rPr>
        <b/>
        <vertAlign val="subscript"/>
        <sz val="14"/>
        <rFont val="Calibri Light"/>
        <family val="1"/>
        <scheme val="major"/>
      </rPr>
      <t>x</t>
    </r>
    <r>
      <rPr>
        <b/>
        <sz val="14"/>
        <rFont val="Calibri Light"/>
        <family val="1"/>
        <scheme val="major"/>
      </rPr>
      <t xml:space="preserve"> (cm</t>
    </r>
    <r>
      <rPr>
        <b/>
        <vertAlign val="superscript"/>
        <sz val="14"/>
        <rFont val="Calibri Light"/>
        <family val="1"/>
        <scheme val="major"/>
      </rPr>
      <t>3</t>
    </r>
    <r>
      <rPr>
        <b/>
        <sz val="14"/>
        <rFont val="Calibri Light"/>
        <family val="1"/>
        <scheme val="major"/>
      </rPr>
      <t>)</t>
    </r>
  </si>
  <si>
    <r>
      <t>r</t>
    </r>
    <r>
      <rPr>
        <b/>
        <vertAlign val="subscript"/>
        <sz val="14"/>
        <rFont val="Calibri Light"/>
        <family val="1"/>
        <scheme val="major"/>
      </rPr>
      <t>x</t>
    </r>
    <r>
      <rPr>
        <b/>
        <sz val="14"/>
        <rFont val="Calibri Light"/>
        <family val="1"/>
        <scheme val="major"/>
      </rPr>
      <t xml:space="preserve"> (cm)</t>
    </r>
  </si>
  <si>
    <r>
      <t>I</t>
    </r>
    <r>
      <rPr>
        <b/>
        <vertAlign val="subscript"/>
        <sz val="14"/>
        <rFont val="Calibri Light"/>
        <family val="1"/>
        <scheme val="major"/>
      </rPr>
      <t>y</t>
    </r>
    <r>
      <rPr>
        <b/>
        <sz val="14"/>
        <rFont val="Calibri Light"/>
        <family val="1"/>
        <scheme val="major"/>
      </rPr>
      <t xml:space="preserve"> (cm</t>
    </r>
    <r>
      <rPr>
        <b/>
        <vertAlign val="superscript"/>
        <sz val="14"/>
        <rFont val="Calibri Light"/>
        <family val="1"/>
        <scheme val="major"/>
      </rPr>
      <t>4</t>
    </r>
    <r>
      <rPr>
        <b/>
        <sz val="14"/>
        <rFont val="Calibri Light"/>
        <family val="1"/>
        <scheme val="major"/>
      </rPr>
      <t>)</t>
    </r>
  </si>
  <si>
    <r>
      <t>S</t>
    </r>
    <r>
      <rPr>
        <b/>
        <vertAlign val="subscript"/>
        <sz val="14"/>
        <rFont val="Calibri Light"/>
        <family val="1"/>
        <scheme val="major"/>
      </rPr>
      <t>y</t>
    </r>
    <r>
      <rPr>
        <b/>
        <sz val="14"/>
        <rFont val="Calibri Light"/>
        <family val="1"/>
        <scheme val="major"/>
      </rPr>
      <t xml:space="preserve"> (cm</t>
    </r>
    <r>
      <rPr>
        <b/>
        <vertAlign val="superscript"/>
        <sz val="14"/>
        <rFont val="Calibri Light"/>
        <family val="1"/>
        <scheme val="major"/>
      </rPr>
      <t>3</t>
    </r>
    <r>
      <rPr>
        <b/>
        <sz val="14"/>
        <rFont val="Calibri Light"/>
        <family val="1"/>
        <scheme val="major"/>
      </rPr>
      <t>)</t>
    </r>
  </si>
  <si>
    <r>
      <t>r</t>
    </r>
    <r>
      <rPr>
        <b/>
        <vertAlign val="subscript"/>
        <sz val="14"/>
        <rFont val="Calibri Light"/>
        <family val="1"/>
        <scheme val="major"/>
      </rPr>
      <t>y</t>
    </r>
    <r>
      <rPr>
        <b/>
        <sz val="14"/>
        <rFont val="Calibri Light"/>
        <family val="1"/>
        <scheme val="major"/>
      </rPr>
      <t xml:space="preserve"> (cm)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</si>
  <si>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b</t>
    </r>
  </si>
  <si>
    <r>
      <t>C</t>
    </r>
    <r>
      <rPr>
        <vertAlign val="subscript"/>
        <sz val="14"/>
        <color theme="1"/>
        <rFont val="Calibri Light"/>
        <family val="1"/>
        <scheme val="major"/>
      </rPr>
      <t>b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</si>
  <si>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Bolt</t>
    </r>
  </si>
  <si>
    <r>
      <t>1-   T</t>
    </r>
    <r>
      <rPr>
        <vertAlign val="subscript"/>
        <sz val="14"/>
        <color theme="1"/>
        <rFont val="Calibri Light"/>
        <family val="1"/>
        <scheme val="major"/>
      </rPr>
      <t>bolt</t>
    </r>
    <r>
      <rPr>
        <sz val="14"/>
        <color theme="1"/>
        <rFont val="Calibri Light"/>
        <family val="1"/>
        <scheme val="major"/>
      </rPr>
      <t xml:space="preserve">       =</t>
    </r>
  </si>
  <si>
    <r>
      <t>2-  T</t>
    </r>
    <r>
      <rPr>
        <vertAlign val="subscript"/>
        <sz val="14"/>
        <color theme="1"/>
        <rFont val="Calibri Light"/>
        <family val="1"/>
        <scheme val="major"/>
      </rPr>
      <t>bolt</t>
    </r>
    <r>
      <rPr>
        <sz val="14"/>
        <color theme="1"/>
        <rFont val="Calibri Light"/>
        <family val="1"/>
        <scheme val="major"/>
      </rPr>
      <t xml:space="preserve"> + P =</t>
    </r>
  </si>
  <si>
    <r>
      <t>R</t>
    </r>
    <r>
      <rPr>
        <vertAlign val="subscript"/>
        <sz val="14"/>
        <color theme="1"/>
        <rFont val="Calibri Light"/>
        <family val="1"/>
        <scheme val="major"/>
      </rPr>
      <t>t</t>
    </r>
    <r>
      <rPr>
        <sz val="14"/>
        <color theme="1"/>
        <rFont val="Calibri Light"/>
        <family val="1"/>
        <scheme val="major"/>
      </rPr>
      <t xml:space="preserve"> =</t>
    </r>
  </si>
  <si>
    <r>
      <t xml:space="preserve">Weld Size </t>
    </r>
    <r>
      <rPr>
        <vertAlign val="subscript"/>
        <sz val="14"/>
        <color theme="1"/>
        <rFont val="Calibri Light"/>
        <family val="1"/>
        <scheme val="major"/>
      </rPr>
      <t>HZ</t>
    </r>
  </si>
  <si>
    <r>
      <t xml:space="preserve">Weld Size </t>
    </r>
    <r>
      <rPr>
        <vertAlign val="subscript"/>
        <sz val="14"/>
        <color theme="1"/>
        <rFont val="Calibri Light"/>
        <family val="1"/>
        <scheme val="major"/>
      </rPr>
      <t>VL</t>
    </r>
  </si>
  <si>
    <r>
      <t>E</t>
    </r>
    <r>
      <rPr>
        <vertAlign val="superscript"/>
        <sz val="14"/>
        <color theme="1"/>
        <rFont val="Calibri Light"/>
        <family val="1"/>
        <scheme val="major"/>
      </rPr>
      <t>qn.</t>
    </r>
    <r>
      <rPr>
        <sz val="14"/>
        <color theme="1"/>
        <rFont val="Calibri Light"/>
        <family val="1"/>
        <scheme val="major"/>
      </rPr>
      <t xml:space="preserve"> =</t>
    </r>
  </si>
  <si>
    <r>
      <t>R</t>
    </r>
    <r>
      <rPr>
        <vertAlign val="subscript"/>
        <sz val="14"/>
        <color theme="1"/>
        <rFont val="Calibri Light"/>
        <family val="1"/>
        <scheme val="major"/>
      </rPr>
      <t>c</t>
    </r>
    <r>
      <rPr>
        <sz val="14"/>
        <color theme="1"/>
        <rFont val="Calibri Light"/>
        <family val="1"/>
        <scheme val="major"/>
      </rPr>
      <t xml:space="preserve"> =</t>
    </r>
  </si>
  <si>
    <r>
      <t>R</t>
    </r>
    <r>
      <rPr>
        <vertAlign val="subscript"/>
        <sz val="14"/>
        <color theme="1"/>
        <rFont val="Calibri Light"/>
        <family val="1"/>
        <scheme val="major"/>
      </rPr>
      <t>t bolt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</si>
  <si>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p min</t>
    </r>
    <r>
      <rPr>
        <sz val="14"/>
        <color theme="1"/>
        <rFont val="Calibri Light"/>
        <family val="1"/>
        <scheme val="major"/>
      </rPr>
      <t xml:space="preserve"> =</t>
    </r>
  </si>
  <si>
    <r>
      <t>R</t>
    </r>
    <r>
      <rPr>
        <vertAlign val="subscript"/>
        <sz val="14"/>
        <color theme="1"/>
        <rFont val="Calibri Light"/>
        <family val="1"/>
        <scheme val="major"/>
      </rPr>
      <t>s.s bolt</t>
    </r>
  </si>
  <si>
    <r>
      <t>P</t>
    </r>
    <r>
      <rPr>
        <vertAlign val="subscript"/>
        <sz val="14"/>
        <color theme="1"/>
        <rFont val="Calibri Light"/>
        <family val="1"/>
        <scheme val="major"/>
      </rPr>
      <t>u</t>
    </r>
    <r>
      <rPr>
        <sz val="14"/>
        <color theme="1"/>
        <rFont val="Calibri Light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</si>
  <si>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Calibri Light"/>
        <family val="1"/>
        <scheme val="major"/>
      </rPr>
      <t>1</t>
    </r>
  </si>
  <si>
    <r>
      <t>R</t>
    </r>
    <r>
      <rPr>
        <vertAlign val="subscript"/>
        <sz val="14"/>
        <color theme="1"/>
        <rFont val="Calibri Light"/>
        <family val="1"/>
        <scheme val="major"/>
      </rPr>
      <t>v</t>
    </r>
    <r>
      <rPr>
        <sz val="14"/>
        <color theme="1"/>
        <rFont val="Calibri Light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</si>
  <si>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Calibri Light"/>
        <family val="1"/>
        <scheme val="major"/>
      </rPr>
      <t>2</t>
    </r>
    <r>
      <rPr>
        <sz val="11"/>
        <color theme="1"/>
        <rFont val="Calibri"/>
        <family val="2"/>
        <charset val="178"/>
        <scheme val="minor"/>
      </rPr>
      <t/>
    </r>
  </si>
  <si>
    <r>
      <t>M</t>
    </r>
    <r>
      <rPr>
        <vertAlign val="subscript"/>
        <sz val="14"/>
        <color theme="1"/>
        <rFont val="Calibri Light"/>
        <family val="1"/>
        <scheme val="major"/>
      </rPr>
      <t>max</t>
    </r>
  </si>
  <si>
    <r>
      <t>S</t>
    </r>
    <r>
      <rPr>
        <vertAlign val="subscript"/>
        <sz val="14"/>
        <color theme="1"/>
        <rFont val="Calibri Light"/>
        <family val="1"/>
        <scheme val="major"/>
      </rPr>
      <t>f</t>
    </r>
  </si>
  <si>
    <r>
      <t>S</t>
    </r>
    <r>
      <rPr>
        <vertAlign val="subscript"/>
        <sz val="14"/>
        <color theme="1"/>
        <rFont val="Calibri Light"/>
        <family val="1"/>
        <scheme val="major"/>
      </rPr>
      <t>w</t>
    </r>
  </si>
  <si>
    <r>
      <t xml:space="preserve">A </t>
    </r>
    <r>
      <rPr>
        <vertAlign val="subscript"/>
        <sz val="14"/>
        <color theme="1"/>
        <rFont val="Calibri Light"/>
        <family val="1"/>
        <scheme val="major"/>
      </rPr>
      <t>weld hz</t>
    </r>
  </si>
  <si>
    <r>
      <t>cm</t>
    </r>
    <r>
      <rPr>
        <vertAlign val="superscript"/>
        <sz val="14"/>
        <color theme="1"/>
        <rFont val="Calibri Light"/>
        <family val="1"/>
        <scheme val="major"/>
      </rPr>
      <t>2</t>
    </r>
  </si>
  <si>
    <r>
      <t xml:space="preserve">A </t>
    </r>
    <r>
      <rPr>
        <vertAlign val="subscript"/>
        <sz val="14"/>
        <color theme="1"/>
        <rFont val="Calibri Light"/>
        <family val="1"/>
        <scheme val="major"/>
      </rPr>
      <t>weld vl</t>
    </r>
  </si>
  <si>
    <r>
      <t xml:space="preserve">A </t>
    </r>
    <r>
      <rPr>
        <vertAlign val="subscript"/>
        <sz val="14"/>
        <color theme="1"/>
        <rFont val="Calibri Light"/>
        <family val="1"/>
        <scheme val="major"/>
      </rPr>
      <t>weld total</t>
    </r>
  </si>
  <si>
    <r>
      <t>I</t>
    </r>
    <r>
      <rPr>
        <vertAlign val="subscript"/>
        <sz val="14"/>
        <color theme="1"/>
        <rFont val="Calibri Light"/>
        <family val="1"/>
        <scheme val="major"/>
      </rPr>
      <t>x</t>
    </r>
  </si>
  <si>
    <r>
      <t>cm</t>
    </r>
    <r>
      <rPr>
        <vertAlign val="superscript"/>
        <sz val="14"/>
        <color theme="1"/>
        <rFont val="Calibri Light"/>
        <family val="1"/>
        <scheme val="major"/>
      </rPr>
      <t>4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</si>
  <si>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p</t>
    </r>
  </si>
  <si>
    <r>
      <t>root (f</t>
    </r>
    <r>
      <rPr>
        <vertAlign val="superscript"/>
        <sz val="14"/>
        <color theme="1"/>
        <rFont val="Calibri Light"/>
        <family val="1"/>
        <scheme val="major"/>
      </rPr>
      <t>2</t>
    </r>
    <r>
      <rPr>
        <sz val="14"/>
        <color theme="1"/>
        <rFont val="Calibri Light"/>
        <family val="1"/>
        <scheme val="major"/>
      </rPr>
      <t xml:space="preserve"> + 3q</t>
    </r>
    <r>
      <rPr>
        <vertAlign val="superscript"/>
        <sz val="14"/>
        <color theme="1"/>
        <rFont val="Calibri Light"/>
        <family val="1"/>
        <scheme val="major"/>
      </rPr>
      <t>2</t>
    </r>
    <r>
      <rPr>
        <sz val="14"/>
        <color theme="1"/>
        <rFont val="Calibri Light"/>
        <family val="1"/>
        <scheme val="major"/>
      </rPr>
      <t>)</t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</si>
  <si>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1</t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</si>
  <si>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2</t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</si>
  <si>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3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</si>
  <si>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</si>
  <si>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</si>
  <si>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4"/>
        <color theme="1"/>
        <rFont val="Calibri Light"/>
        <family val="1"/>
        <scheme val="major"/>
      </rPr>
      <t>6</t>
    </r>
    <r>
      <rPr>
        <sz val="11"/>
        <color theme="1"/>
        <rFont val="Calibri"/>
        <family val="2"/>
        <scheme val="minor"/>
      </rPr>
      <t/>
    </r>
  </si>
  <si>
    <r>
      <t>∑ y</t>
    </r>
    <r>
      <rPr>
        <vertAlign val="superscript"/>
        <sz val="14"/>
        <color theme="1"/>
        <rFont val="Calibri Light"/>
        <family val="1"/>
        <scheme val="major"/>
      </rPr>
      <t>2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</si>
  <si>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1</t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</si>
  <si>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</si>
  <si>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4"/>
        <color theme="1"/>
        <rFont val="Calibri Light"/>
        <family val="1"/>
        <scheme val="major"/>
      </rPr>
      <t>2</t>
    </r>
    <r>
      <rPr>
        <sz val="14"/>
        <color theme="1"/>
        <rFont val="Calibri Light"/>
        <family val="1"/>
        <scheme val="major"/>
      </rPr>
      <t xml:space="preserve"> + P</t>
    </r>
  </si>
  <si>
    <t>Straining Actions</t>
  </si>
  <si>
    <r>
      <t>s</t>
    </r>
    <r>
      <rPr>
        <vertAlign val="subscript"/>
        <sz val="14"/>
        <color theme="1"/>
        <rFont val="Calibri Light"/>
        <family val="1"/>
        <scheme val="major"/>
      </rPr>
      <t>f</t>
    </r>
  </si>
  <si>
    <r>
      <t>s</t>
    </r>
    <r>
      <rPr>
        <vertAlign val="subscript"/>
        <sz val="14"/>
        <color theme="1"/>
        <rFont val="Calibri Light"/>
        <family val="1"/>
        <scheme val="major"/>
      </rPr>
      <t>w</t>
    </r>
  </si>
  <si>
    <r>
      <t>d</t>
    </r>
    <r>
      <rPr>
        <vertAlign val="subscript"/>
        <sz val="14"/>
        <color theme="1"/>
        <rFont val="Calibri Light"/>
        <family val="1"/>
        <scheme val="major"/>
      </rPr>
      <t>b</t>
    </r>
  </si>
  <si>
    <r>
      <t>f</t>
    </r>
    <r>
      <rPr>
        <vertAlign val="subscript"/>
        <sz val="14"/>
        <color theme="1"/>
        <rFont val="Calibri Light"/>
        <family val="1"/>
        <scheme val="major"/>
      </rPr>
      <t>w</t>
    </r>
    <r>
      <rPr>
        <sz val="14"/>
        <color theme="1"/>
        <rFont val="Calibri Light"/>
        <family val="1"/>
        <scheme val="major"/>
      </rPr>
      <t xml:space="preserve"> =</t>
    </r>
  </si>
  <si>
    <t>i- Weld Bet. Flanges and Column</t>
  </si>
  <si>
    <r>
      <t>A</t>
    </r>
    <r>
      <rPr>
        <vertAlign val="subscript"/>
        <sz val="14"/>
        <color theme="1"/>
        <rFont val="Calibri Light"/>
        <family val="1"/>
        <scheme val="major"/>
      </rPr>
      <t>weld</t>
    </r>
    <r>
      <rPr>
        <sz val="14"/>
        <color theme="1"/>
        <rFont val="Calibri Light"/>
        <family val="1"/>
        <scheme val="major"/>
      </rPr>
      <t xml:space="preserve"> </t>
    </r>
    <r>
      <rPr>
        <vertAlign val="subscript"/>
        <sz val="14"/>
        <color theme="1"/>
        <rFont val="Calibri Light"/>
        <family val="1"/>
        <scheme val="major"/>
      </rPr>
      <t>hz</t>
    </r>
  </si>
  <si>
    <r>
      <t>A</t>
    </r>
    <r>
      <rPr>
        <vertAlign val="subscript"/>
        <sz val="14"/>
        <color theme="1"/>
        <rFont val="Calibri Light"/>
        <family val="1"/>
        <scheme val="major"/>
      </rPr>
      <t>weld</t>
    </r>
    <r>
      <rPr>
        <sz val="14"/>
        <color theme="1"/>
        <rFont val="Calibri Light"/>
        <family val="1"/>
        <scheme val="major"/>
      </rPr>
      <t xml:space="preserve"> </t>
    </r>
    <r>
      <rPr>
        <vertAlign val="subscript"/>
        <sz val="14"/>
        <color theme="1"/>
        <rFont val="Calibri Light"/>
        <family val="1"/>
        <scheme val="major"/>
      </rPr>
      <t>vl</t>
    </r>
  </si>
  <si>
    <r>
      <t>h</t>
    </r>
    <r>
      <rPr>
        <vertAlign val="subscript"/>
        <sz val="14"/>
        <color theme="1"/>
        <rFont val="Calibri Light"/>
        <family val="1"/>
        <scheme val="major"/>
      </rPr>
      <t>w</t>
    </r>
  </si>
  <si>
    <t>Cm</t>
  </si>
  <si>
    <t>safe</t>
  </si>
  <si>
    <t>unsafe</t>
  </si>
  <si>
    <t>Category</t>
  </si>
  <si>
    <t>Pitch Distance act.</t>
  </si>
  <si>
    <t>Column Section</t>
  </si>
  <si>
    <r>
      <rPr>
        <b/>
        <u/>
        <sz val="16"/>
        <color theme="1"/>
        <rFont val="Calibri Light"/>
        <family val="1"/>
        <scheme val="major"/>
      </rPr>
      <t>Note</t>
    </r>
    <r>
      <rPr>
        <sz val="14"/>
        <color theme="1"/>
        <rFont val="Calibri Light"/>
        <family val="1"/>
        <scheme val="major"/>
      </rPr>
      <t xml:space="preserve"> : Take Care About no. of bolts</t>
    </r>
  </si>
  <si>
    <t>Per one side</t>
  </si>
  <si>
    <t>ii-Tension on bolt</t>
  </si>
  <si>
    <t>iii-Shear+Tension</t>
  </si>
  <si>
    <t>iv-End Plate Thickness</t>
  </si>
  <si>
    <t>v- Col. Safety</t>
  </si>
  <si>
    <t>Bolts:</t>
  </si>
  <si>
    <t>e =</t>
  </si>
  <si>
    <t>P =</t>
  </si>
  <si>
    <t>Pact. =</t>
  </si>
  <si>
    <t>Diameter =</t>
  </si>
  <si>
    <t>Grade:</t>
  </si>
  <si>
    <t>Category:</t>
  </si>
  <si>
    <t>number =</t>
  </si>
  <si>
    <t>H =</t>
  </si>
  <si>
    <t>B =</t>
  </si>
  <si>
    <t>End Plate Dimension:</t>
  </si>
  <si>
    <t>Q =</t>
  </si>
  <si>
    <t>b =</t>
  </si>
  <si>
    <t>C =</t>
  </si>
  <si>
    <t>tw =</t>
  </si>
  <si>
    <t>Interaction:</t>
  </si>
  <si>
    <t>a =</t>
  </si>
  <si>
    <t>Prying Force =</t>
  </si>
  <si>
    <t>i-Weld bet. beam &amp; End Plate</t>
  </si>
  <si>
    <t>Weld Size HZ</t>
  </si>
  <si>
    <t>Weld Size VL</t>
  </si>
  <si>
    <t>Diameter</t>
  </si>
  <si>
    <t>ii- Weld Bet. Web and Column</t>
  </si>
  <si>
    <t>iii- Col. Safety</t>
  </si>
  <si>
    <t>Cb = Tb =</t>
  </si>
  <si>
    <r>
      <t>C</t>
    </r>
    <r>
      <rPr>
        <vertAlign val="subscript"/>
        <sz val="14"/>
        <color theme="1"/>
        <rFont val="Calibri Light"/>
        <family val="1"/>
        <scheme val="major"/>
      </rPr>
      <t>b</t>
    </r>
    <r>
      <rPr>
        <sz val="14"/>
        <color theme="1"/>
        <rFont val="Calibri Light"/>
        <family val="1"/>
        <scheme val="major"/>
      </rPr>
      <t xml:space="preserve"> = T</t>
    </r>
    <r>
      <rPr>
        <vertAlign val="subscript"/>
        <sz val="14"/>
        <color theme="1"/>
        <rFont val="Calibri Light"/>
        <family val="1"/>
        <scheme val="major"/>
      </rPr>
      <t>b</t>
    </r>
    <r>
      <rPr>
        <sz val="14"/>
        <color theme="1"/>
        <rFont val="Calibri Light"/>
        <family val="1"/>
        <scheme val="major"/>
      </rPr>
      <t xml:space="preserve"> =</t>
    </r>
  </si>
  <si>
    <t>st</t>
  </si>
  <si>
    <r>
      <t>Shear (Q</t>
    </r>
    <r>
      <rPr>
        <vertAlign val="subscript"/>
        <sz val="14"/>
        <color theme="1"/>
        <rFont val="Calibri Light"/>
        <family val="1"/>
        <scheme val="major"/>
      </rPr>
      <t>uy</t>
    </r>
    <r>
      <rPr>
        <sz val="14"/>
        <color theme="1"/>
        <rFont val="Calibri Light"/>
        <family val="1"/>
        <scheme val="major"/>
      </rPr>
      <t>) =</t>
    </r>
  </si>
  <si>
    <r>
      <t>Moment (M</t>
    </r>
    <r>
      <rPr>
        <vertAlign val="subscript"/>
        <sz val="14"/>
        <color theme="1"/>
        <rFont val="Calibri Light"/>
        <family val="1"/>
        <scheme val="major"/>
      </rPr>
      <t>ux</t>
    </r>
    <r>
      <rPr>
        <sz val="14"/>
        <color theme="1"/>
        <rFont val="Calibri Light"/>
        <family val="1"/>
        <scheme val="major"/>
      </rPr>
      <t>) =</t>
    </r>
  </si>
  <si>
    <t>Normal =</t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</si>
  <si>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</si>
  <si>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</si>
  <si>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M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</si>
  <si>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</si>
  <si>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</si>
  <si>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</si>
  <si>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b</t>
    </r>
    <r>
      <rPr>
        <b/>
        <sz val="14"/>
        <color theme="1"/>
        <rFont val="Calibri"/>
        <family val="2"/>
      </rPr>
      <t xml:space="preserve"> =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</si>
  <si>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hz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</si>
  <si>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</si>
  <si>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C</t>
    </r>
    <r>
      <rPr>
        <b/>
        <vertAlign val="subscript"/>
        <sz val="14"/>
        <color theme="1"/>
        <rFont val="Calibri"/>
        <family val="2"/>
      </rPr>
      <t>b</t>
    </r>
    <r>
      <rPr>
        <b/>
        <sz val="14"/>
        <color theme="1"/>
        <rFont val="Calibri"/>
        <family val="2"/>
      </rPr>
      <t xml:space="preserve"> =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</si>
  <si>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vl</t>
    </r>
    <r>
      <rPr>
        <b/>
        <sz val="14"/>
        <color theme="1"/>
        <rFont val="Calibri"/>
        <family val="2"/>
      </rPr>
      <t xml:space="preserve"> =</t>
    </r>
  </si>
  <si>
    <r>
      <t>h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</si>
  <si>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total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</si>
  <si>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</si>
  <si>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</si>
  <si>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</si>
  <si>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M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</si>
  <si>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max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</si>
  <si>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</si>
  <si>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p min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</si>
  <si>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t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</si>
  <si>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</si>
  <si>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t bolt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</si>
  <si>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s.s bolt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</si>
  <si>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c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</si>
  <si>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</si>
  <si>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</si>
  <si>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</si>
  <si>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</si>
  <si>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5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</si>
  <si>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 xml:space="preserve"> =</t>
    </r>
  </si>
  <si>
    <r>
      <t>∑ y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=</t>
    </r>
  </si>
  <si>
    <r>
      <rPr>
        <b/>
        <u/>
        <sz val="16"/>
        <color theme="1"/>
        <rFont val="Calibri"/>
        <family val="2"/>
      </rPr>
      <t>Note</t>
    </r>
    <r>
      <rPr>
        <b/>
        <sz val="14"/>
        <color theme="1"/>
        <rFont val="Calibri"/>
        <family val="2"/>
      </rPr>
      <t xml:space="preserve"> : Take Care About no. of bolts</t>
    </r>
  </si>
  <si>
    <r>
      <t>P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</si>
  <si>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</si>
  <si>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v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</si>
  <si>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</si>
  <si>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+ P =</t>
    </r>
  </si>
  <si>
    <t>End plate dimensions</t>
  </si>
  <si>
    <t>Prying Force Calculations</t>
  </si>
  <si>
    <t>edge</t>
  </si>
  <si>
    <t>pitch</t>
  </si>
  <si>
    <r>
      <t>h</t>
    </r>
    <r>
      <rPr>
        <b/>
        <vertAlign val="subscript"/>
        <sz val="14"/>
        <color theme="1"/>
        <rFont val="Calibri"/>
        <family val="2"/>
      </rPr>
      <t>w</t>
    </r>
  </si>
  <si>
    <r>
      <t>F</t>
    </r>
    <r>
      <rPr>
        <b/>
        <vertAlign val="subscript"/>
        <sz val="14"/>
        <color theme="1"/>
        <rFont val="Calibri"/>
        <family val="2"/>
      </rPr>
      <t>y</t>
    </r>
  </si>
  <si>
    <r>
      <t>F</t>
    </r>
    <r>
      <rPr>
        <b/>
        <vertAlign val="subscript"/>
        <sz val="14"/>
        <color theme="1"/>
        <rFont val="Calibri"/>
        <family val="2"/>
      </rPr>
      <t>u</t>
    </r>
  </si>
  <si>
    <r>
      <t xml:space="preserve">  T</t>
    </r>
    <r>
      <rPr>
        <b/>
        <vertAlign val="subscript"/>
        <sz val="14"/>
        <color theme="1"/>
        <rFont val="Calibri"/>
        <family val="2"/>
      </rPr>
      <t>bolt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</si>
  <si>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Bolt</t>
    </r>
  </si>
  <si>
    <r>
      <t>T</t>
    </r>
    <r>
      <rPr>
        <b/>
        <vertAlign val="subscript"/>
        <sz val="14"/>
        <color theme="1"/>
        <rFont val="Calibri"/>
        <family val="2"/>
      </rPr>
      <t>bolt</t>
    </r>
    <r>
      <rPr>
        <b/>
        <sz val="14"/>
        <color theme="1"/>
        <rFont val="Calibri"/>
        <family val="2"/>
      </rPr>
      <t xml:space="preserve"> + P =</t>
    </r>
  </si>
  <si>
    <r>
      <t>t</t>
    </r>
    <r>
      <rPr>
        <b/>
        <vertAlign val="subscript"/>
        <sz val="14"/>
        <color theme="1"/>
        <rFont val="Calibri"/>
        <family val="2"/>
      </rPr>
      <t>p</t>
    </r>
  </si>
  <si>
    <r>
      <t>E</t>
    </r>
    <r>
      <rPr>
        <b/>
        <vertAlign val="superscript"/>
        <sz val="14"/>
        <color theme="1"/>
        <rFont val="Calibri"/>
        <family val="2"/>
      </rPr>
      <t>qn.</t>
    </r>
    <r>
      <rPr>
        <b/>
        <sz val="14"/>
        <color theme="1"/>
        <rFont val="Calibri"/>
        <family val="2"/>
      </rPr>
      <t xml:space="preserve"> =</t>
    </r>
  </si>
  <si>
    <r>
      <t>Moment (M</t>
    </r>
    <r>
      <rPr>
        <b/>
        <vertAlign val="subscript"/>
        <sz val="14"/>
        <color theme="1"/>
        <rFont val="Calibri"/>
        <family val="2"/>
      </rPr>
      <t>ux</t>
    </r>
    <r>
      <rPr>
        <b/>
        <sz val="14"/>
        <color theme="1"/>
        <rFont val="Calibri"/>
        <family val="2"/>
      </rPr>
      <t>)</t>
    </r>
  </si>
  <si>
    <r>
      <t>Shear (Q</t>
    </r>
    <r>
      <rPr>
        <b/>
        <vertAlign val="subscript"/>
        <sz val="14"/>
        <color theme="1"/>
        <rFont val="Calibri"/>
        <family val="2"/>
      </rPr>
      <t>uy</t>
    </r>
    <r>
      <rPr>
        <b/>
        <sz val="14"/>
        <color theme="1"/>
        <rFont val="Calibri"/>
        <family val="2"/>
      </rPr>
      <t>)</t>
    </r>
  </si>
  <si>
    <t>Bolt Resistance</t>
  </si>
  <si>
    <t>Size of weld</t>
  </si>
  <si>
    <t>iv- Column Safety</t>
  </si>
  <si>
    <t>tp =</t>
  </si>
  <si>
    <t>Weld</t>
  </si>
  <si>
    <t xml:space="preserve">f = </t>
  </si>
  <si>
    <t xml:space="preserve">q = </t>
  </si>
  <si>
    <r>
      <t xml:space="preserve">S </t>
    </r>
    <r>
      <rPr>
        <b/>
        <vertAlign val="subscript"/>
        <sz val="14"/>
        <color theme="1"/>
        <rFont val="Calibri"/>
        <family val="2"/>
      </rPr>
      <t>HZ</t>
    </r>
    <r>
      <rPr>
        <b/>
        <sz val="14"/>
        <color theme="1"/>
        <rFont val="Calibri"/>
        <family val="2"/>
      </rPr>
      <t xml:space="preserve"> =</t>
    </r>
  </si>
  <si>
    <r>
      <t xml:space="preserve">S </t>
    </r>
    <r>
      <rPr>
        <b/>
        <vertAlign val="subscript"/>
        <sz val="14"/>
        <color theme="1"/>
        <rFont val="Calibri"/>
        <family val="2"/>
      </rPr>
      <t>VL</t>
    </r>
    <r>
      <rPr>
        <b/>
        <sz val="14"/>
        <color theme="1"/>
        <rFont val="Calibri"/>
        <family val="2"/>
      </rPr>
      <t xml:space="preserve"> =</t>
    </r>
  </si>
  <si>
    <r>
      <t>Moment (M</t>
    </r>
    <r>
      <rPr>
        <b/>
        <vertAlign val="subscript"/>
        <sz val="14"/>
        <color theme="1"/>
        <rFont val="Calibri Light"/>
        <family val="1"/>
        <scheme val="major"/>
      </rPr>
      <t>ux</t>
    </r>
    <r>
      <rPr>
        <b/>
        <sz val="14"/>
        <color theme="1"/>
        <rFont val="Calibri Light"/>
        <family val="1"/>
        <scheme val="major"/>
      </rPr>
      <t>) =</t>
    </r>
  </si>
  <si>
    <r>
      <t>Shear (Q</t>
    </r>
    <r>
      <rPr>
        <b/>
        <vertAlign val="subscript"/>
        <sz val="14"/>
        <color theme="1"/>
        <rFont val="Calibri Light"/>
        <family val="1"/>
        <scheme val="major"/>
      </rPr>
      <t>uy</t>
    </r>
    <r>
      <rPr>
        <b/>
        <sz val="14"/>
        <color theme="1"/>
        <rFont val="Calibri Light"/>
        <family val="1"/>
        <scheme val="major"/>
      </rPr>
      <t>) =</t>
    </r>
  </si>
  <si>
    <r>
      <t>d</t>
    </r>
    <r>
      <rPr>
        <b/>
        <vertAlign val="subscript"/>
        <sz val="14"/>
        <color theme="1"/>
        <rFont val="Calibri"/>
        <family val="2"/>
      </rPr>
      <t>b</t>
    </r>
  </si>
  <si>
    <r>
      <t>T</t>
    </r>
    <r>
      <rPr>
        <b/>
        <vertAlign val="subscript"/>
        <sz val="14"/>
        <color theme="1"/>
        <rFont val="Calibri"/>
        <family val="2"/>
      </rPr>
      <t>b</t>
    </r>
  </si>
  <si>
    <r>
      <t>C</t>
    </r>
    <r>
      <rPr>
        <b/>
        <vertAlign val="subscript"/>
        <sz val="14"/>
        <color theme="1"/>
        <rFont val="Calibri"/>
        <family val="2"/>
      </rPr>
      <t>b</t>
    </r>
  </si>
  <si>
    <r>
      <t>s</t>
    </r>
    <r>
      <rPr>
        <b/>
        <vertAlign val="subscript"/>
        <sz val="14"/>
        <color theme="1"/>
        <rFont val="Calibri"/>
        <family val="2"/>
      </rPr>
      <t>f</t>
    </r>
  </si>
  <si>
    <r>
      <t>f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</si>
  <si>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w</t>
    </r>
  </si>
  <si>
    <r>
      <t>A</t>
    </r>
    <r>
      <rPr>
        <b/>
        <vertAlign val="subscript"/>
        <sz val="14"/>
        <color theme="1"/>
        <rFont val="Calibri"/>
        <family val="2"/>
      </rPr>
      <t>weld</t>
    </r>
    <r>
      <rPr>
        <b/>
        <sz val="14"/>
        <color theme="1"/>
        <rFont val="Calibri"/>
        <family val="2"/>
      </rPr>
      <t xml:space="preserve"> </t>
    </r>
    <r>
      <rPr>
        <b/>
        <vertAlign val="subscript"/>
        <sz val="14"/>
        <color theme="1"/>
        <rFont val="Calibri"/>
        <family val="2"/>
      </rPr>
      <t>hz</t>
    </r>
  </si>
  <si>
    <r>
      <t>A</t>
    </r>
    <r>
      <rPr>
        <b/>
        <vertAlign val="subscript"/>
        <sz val="14"/>
        <color theme="1"/>
        <rFont val="Calibri"/>
        <family val="2"/>
      </rPr>
      <t>weld</t>
    </r>
    <r>
      <rPr>
        <b/>
        <sz val="14"/>
        <color theme="1"/>
        <rFont val="Calibri"/>
        <family val="2"/>
      </rPr>
      <t xml:space="preserve"> </t>
    </r>
    <r>
      <rPr>
        <b/>
        <vertAlign val="subscript"/>
        <sz val="14"/>
        <color theme="1"/>
        <rFont val="Calibri"/>
        <family val="2"/>
      </rPr>
      <t>vl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</si>
</sst>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vertAlign val="subscript"/>
      <sz val="14"/>
      <color theme="1"/>
      <name val="Calibri Light"/>
      <family val="1"/>
      <scheme val="major"/>
    </font>
    <font>
      <vertAlign val="superscript"/>
      <sz val="14"/>
      <color theme="1"/>
      <name val="Calibri Light"/>
      <family val="1"/>
      <scheme val="major"/>
    </font>
    <font>
      <sz val="14"/>
      <color rgb="FFFF0000"/>
      <name val="Calibri Light"/>
      <family val="1"/>
      <scheme val="major"/>
    </font>
    <font>
      <u/>
      <sz val="14"/>
      <color theme="1"/>
      <name val="Calibri Light"/>
      <family val="1"/>
      <scheme val="major"/>
    </font>
    <font>
      <b/>
      <sz val="14"/>
      <name val="Calibri Light"/>
      <family val="1"/>
      <scheme val="major"/>
    </font>
    <font>
      <b/>
      <vertAlign val="superscript"/>
      <sz val="14"/>
      <name val="Calibri Light"/>
      <family val="1"/>
      <scheme val="major"/>
    </font>
    <font>
      <b/>
      <vertAlign val="subscript"/>
      <sz val="14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4"/>
      <name val="Calibri Light"/>
      <family val="1"/>
      <scheme val="major"/>
    </font>
    <font>
      <b/>
      <u/>
      <sz val="14"/>
      <color theme="1"/>
      <name val="Calibri Light"/>
      <family val="1"/>
      <scheme val="major"/>
    </font>
    <font>
      <b/>
      <u/>
      <sz val="16"/>
      <color theme="1"/>
      <name val="Calibri Light"/>
      <family val="1"/>
      <scheme val="major"/>
    </font>
    <font>
      <sz val="14"/>
      <color theme="0"/>
      <name val="Calibri Light"/>
      <family val="1"/>
      <scheme val="major"/>
    </font>
    <font>
      <b/>
      <u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b/>
      <u val="double"/>
      <sz val="14"/>
      <color theme="1"/>
      <name val="Calibri"/>
      <family val="2"/>
    </font>
    <font>
      <b/>
      <u val="double"/>
      <sz val="16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sz val="14"/>
      <name val="Calibri"/>
      <family val="2"/>
    </font>
    <font>
      <b/>
      <u/>
      <sz val="16"/>
      <color theme="1"/>
      <name val="Calibri"/>
      <family val="2"/>
    </font>
    <font>
      <b/>
      <vertAlign val="subscript"/>
      <sz val="14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 shrinkToFit="1"/>
    </xf>
    <xf numFmtId="164" fontId="17" fillId="0" borderId="1" xfId="0" applyNumberFormat="1" applyFont="1" applyBorder="1" applyAlignment="1">
      <alignment horizontal="center" vertical="center" shrinkToFit="1"/>
    </xf>
    <xf numFmtId="2" fontId="17" fillId="0" borderId="1" xfId="0" applyNumberFormat="1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1" fontId="17" fillId="0" borderId="5" xfId="0" applyNumberFormat="1" applyFont="1" applyBorder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2" fillId="0" borderId="32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center" shrinkToFit="1"/>
    </xf>
    <xf numFmtId="2" fontId="6" fillId="0" borderId="1" xfId="0" applyNumberFormat="1" applyFont="1" applyBorder="1" applyAlignment="1">
      <alignment horizontal="center" vertical="center" shrinkToFit="1"/>
    </xf>
    <xf numFmtId="0" fontId="21" fillId="0" borderId="0" xfId="0" applyFont="1" applyAlignment="1">
      <alignment vertical="center"/>
    </xf>
    <xf numFmtId="0" fontId="23" fillId="0" borderId="33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29" fillId="4" borderId="0" xfId="0" applyFont="1" applyFill="1" applyAlignment="1">
      <alignment horizontal="right" vertical="center"/>
    </xf>
    <xf numFmtId="0" fontId="29" fillId="4" borderId="0" xfId="0" applyFont="1" applyFill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right" vertical="center"/>
    </xf>
    <xf numFmtId="0" fontId="31" fillId="4" borderId="0" xfId="0" applyFont="1" applyFill="1" applyAlignment="1">
      <alignment horizontal="left" vertical="center"/>
    </xf>
    <xf numFmtId="0" fontId="31" fillId="4" borderId="0" xfId="0" applyFont="1" applyFill="1" applyAlignment="1">
      <alignment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5" fillId="0" borderId="0" xfId="0" applyFont="1"/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/>
    <xf numFmtId="0" fontId="35" fillId="0" borderId="0" xfId="0" applyFont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28" fillId="0" borderId="3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</cellXfs>
  <cellStyles count="1">
    <cellStyle name="Normal" xfId="0" builtinId="0"/>
  </cellStyles>
  <dxfs count="5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CF13C8D4-0DA5-4C8D-91B2-C3DBBF3F1F98}"/>
            </a:ext>
          </a:extLst>
        </xdr:cNvPr>
        <xdr:cNvSpPr/>
      </xdr:nvSpPr>
      <xdr:spPr>
        <a:xfrm>
          <a:off x="16363950" y="54101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15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B6B36AF3-202E-4AB2-8EA1-980B4DF80776}"/>
            </a:ext>
          </a:extLst>
        </xdr:cNvPr>
        <xdr:cNvSpPr/>
      </xdr:nvSpPr>
      <xdr:spPr>
        <a:xfrm>
          <a:off x="14470189" y="67688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16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E7941198-FCD0-4F40-8727-D775637D7A01}"/>
            </a:ext>
          </a:extLst>
        </xdr:cNvPr>
        <xdr:cNvSpPr/>
      </xdr:nvSpPr>
      <xdr:spPr>
        <a:xfrm>
          <a:off x="15567469" y="64019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7FE0F1F2-A065-43C7-8649-A0ACAD10BEBA}"/>
            </a:ext>
          </a:extLst>
        </xdr:cNvPr>
        <xdr:cNvSpPr/>
      </xdr:nvSpPr>
      <xdr:spPr>
        <a:xfrm>
          <a:off x="23974425" y="562923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16</xdr:col>
      <xdr:colOff>277939</xdr:colOff>
      <xdr:row>25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C69CAF0E-95BD-442F-A1AF-1DD122EE8516}"/>
            </a:ext>
          </a:extLst>
        </xdr:cNvPr>
        <xdr:cNvSpPr/>
      </xdr:nvSpPr>
      <xdr:spPr>
        <a:xfrm>
          <a:off x="13279564" y="700700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BABC4300-E13D-40DD-86CE-986D1D4435DA}"/>
            </a:ext>
          </a:extLst>
        </xdr:cNvPr>
        <xdr:cNvSpPr/>
      </xdr:nvSpPr>
      <xdr:spPr>
        <a:xfrm>
          <a:off x="14376844" y="664962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8875A1E3-87C9-438A-A10F-463AD905666F}"/>
            </a:ext>
          </a:extLst>
        </xdr:cNvPr>
        <xdr:cNvSpPr/>
      </xdr:nvSpPr>
      <xdr:spPr>
        <a:xfrm>
          <a:off x="23326725" y="54863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7AB27DC4-45DD-4841-835D-C48858C49A26}"/>
            </a:ext>
          </a:extLst>
        </xdr:cNvPr>
        <xdr:cNvSpPr/>
      </xdr:nvSpPr>
      <xdr:spPr>
        <a:xfrm>
          <a:off x="12631864" y="68069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FB478382-3CF4-4F3D-BAEC-098812DC2E7C}"/>
            </a:ext>
          </a:extLst>
        </xdr:cNvPr>
        <xdr:cNvSpPr/>
      </xdr:nvSpPr>
      <xdr:spPr>
        <a:xfrm>
          <a:off x="13729144" y="64781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009A51C9-E3B3-4D1A-99C6-75FD4C20E6E6}"/>
            </a:ext>
          </a:extLst>
        </xdr:cNvPr>
        <xdr:cNvSpPr/>
      </xdr:nvSpPr>
      <xdr:spPr>
        <a:xfrm>
          <a:off x="23774400" y="56387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4BC2F854-B08B-4DAD-B588-B56876699090}"/>
            </a:ext>
          </a:extLst>
        </xdr:cNvPr>
        <xdr:cNvSpPr/>
      </xdr:nvSpPr>
      <xdr:spPr>
        <a:xfrm>
          <a:off x="13079539" y="71498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6CF5AF47-0AB7-4187-BE78-9F978EC9AE5F}"/>
            </a:ext>
          </a:extLst>
        </xdr:cNvPr>
        <xdr:cNvSpPr/>
      </xdr:nvSpPr>
      <xdr:spPr>
        <a:xfrm>
          <a:off x="14176819" y="679249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A27D1E70-E160-44E7-886B-C17A8D3F52CC}"/>
            </a:ext>
          </a:extLst>
        </xdr:cNvPr>
        <xdr:cNvSpPr/>
      </xdr:nvSpPr>
      <xdr:spPr>
        <a:xfrm>
          <a:off x="23774400" y="56387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142B3A0F-180E-4519-8B64-AC2D93DEF662}"/>
            </a:ext>
          </a:extLst>
        </xdr:cNvPr>
        <xdr:cNvSpPr/>
      </xdr:nvSpPr>
      <xdr:spPr>
        <a:xfrm>
          <a:off x="13079539" y="71498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B6E56872-85C0-479D-89CB-95D1F7C5BEF9}"/>
            </a:ext>
          </a:extLst>
        </xdr:cNvPr>
        <xdr:cNvSpPr/>
      </xdr:nvSpPr>
      <xdr:spPr>
        <a:xfrm>
          <a:off x="14176819" y="679249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34</xdr:col>
      <xdr:colOff>0</xdr:colOff>
      <xdr:row>20</xdr:row>
      <xdr:rowOff>485738</xdr:rowOff>
    </xdr:from>
    <xdr:ext cx="410845" cy="112395"/>
    <xdr:sp macro="" textlink="">
      <xdr:nvSpPr>
        <xdr:cNvPr id="5" name="Shape 713">
          <a:extLst>
            <a:ext uri="{FF2B5EF4-FFF2-40B4-BE49-F238E27FC236}">
              <a16:creationId xmlns:a16="http://schemas.microsoft.com/office/drawing/2014/main" id="{60922808-3F3A-4AE0-A004-F1E52F2DC2CA}"/>
            </a:ext>
          </a:extLst>
        </xdr:cNvPr>
        <xdr:cNvSpPr/>
      </xdr:nvSpPr>
      <xdr:spPr>
        <a:xfrm>
          <a:off x="23802975" y="534348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277939</xdr:colOff>
      <xdr:row>26</xdr:row>
      <xdr:rowOff>101376</xdr:rowOff>
    </xdr:from>
    <xdr:ext cx="0" cy="0"/>
    <xdr:sp macro="" textlink="">
      <xdr:nvSpPr>
        <xdr:cNvPr id="6" name="Shape 1172">
          <a:extLst>
            <a:ext uri="{FF2B5EF4-FFF2-40B4-BE49-F238E27FC236}">
              <a16:creationId xmlns:a16="http://schemas.microsoft.com/office/drawing/2014/main" id="{ECDFC8D7-55B9-4664-A4F9-FDDBA7BF39C6}"/>
            </a:ext>
          </a:extLst>
        </xdr:cNvPr>
        <xdr:cNvSpPr/>
      </xdr:nvSpPr>
      <xdr:spPr>
        <a:xfrm>
          <a:off x="13108114" y="683555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765619</xdr:colOff>
      <xdr:row>24</xdr:row>
      <xdr:rowOff>363124</xdr:rowOff>
    </xdr:from>
    <xdr:ext cx="7620" cy="0"/>
    <xdr:sp macro="" textlink="">
      <xdr:nvSpPr>
        <xdr:cNvPr id="7" name="Shape 1179">
          <a:extLst>
            <a:ext uri="{FF2B5EF4-FFF2-40B4-BE49-F238E27FC236}">
              <a16:creationId xmlns:a16="http://schemas.microsoft.com/office/drawing/2014/main" id="{A6F7F5ED-0220-4835-A6D7-D7BD12D6239C}"/>
            </a:ext>
          </a:extLst>
        </xdr:cNvPr>
        <xdr:cNvSpPr/>
      </xdr:nvSpPr>
      <xdr:spPr>
        <a:xfrm>
          <a:off x="14205394" y="649722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137DBBB9-F826-4D94-8B2D-755D8BCB70B2}"/>
            </a:ext>
          </a:extLst>
        </xdr:cNvPr>
        <xdr:cNvSpPr/>
      </xdr:nvSpPr>
      <xdr:spPr>
        <a:xfrm>
          <a:off x="23974425" y="553398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EC6BE596-9728-460C-8FFE-531C9C77054D}"/>
            </a:ext>
          </a:extLst>
        </xdr:cNvPr>
        <xdr:cNvSpPr/>
      </xdr:nvSpPr>
      <xdr:spPr>
        <a:xfrm>
          <a:off x="13279564" y="689270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9B580C86-3CD9-416E-96F3-5403FF57AD71}"/>
            </a:ext>
          </a:extLst>
        </xdr:cNvPr>
        <xdr:cNvSpPr/>
      </xdr:nvSpPr>
      <xdr:spPr>
        <a:xfrm>
          <a:off x="14376844" y="652579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1AE68C6E-BE2B-49F0-9D14-838140A43191}"/>
            </a:ext>
          </a:extLst>
        </xdr:cNvPr>
        <xdr:cNvSpPr/>
      </xdr:nvSpPr>
      <xdr:spPr>
        <a:xfrm>
          <a:off x="22936200" y="58102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39EBF8EC-2514-4175-81D3-08798E71BB46}"/>
            </a:ext>
          </a:extLst>
        </xdr:cNvPr>
        <xdr:cNvSpPr/>
      </xdr:nvSpPr>
      <xdr:spPr>
        <a:xfrm>
          <a:off x="12241339" y="71879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765619</xdr:colOff>
      <xdr:row>24</xdr:row>
      <xdr:rowOff>363124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66712EFE-3B91-4DE7-9C97-92718A08BCF2}"/>
            </a:ext>
          </a:extLst>
        </xdr:cNvPr>
        <xdr:cNvSpPr/>
      </xdr:nvSpPr>
      <xdr:spPr>
        <a:xfrm>
          <a:off x="13338619" y="684964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8ED3-6F31-4B53-865B-7B740DAB7151}">
  <sheetPr>
    <pageSetUpPr fitToPage="1"/>
  </sheetPr>
  <dimension ref="A1:AT51"/>
  <sheetViews>
    <sheetView showGridLines="0" zoomScaleNormal="100" workbookViewId="0">
      <selection activeCell="K8" sqref="K8"/>
    </sheetView>
  </sheetViews>
  <sheetFormatPr defaultColWidth="9" defaultRowHeight="18" x14ac:dyDescent="0.3"/>
  <cols>
    <col min="1" max="1" width="16.109375" style="2" bestFit="1" customWidth="1"/>
    <col min="2" max="3" width="9" style="2"/>
    <col min="4" max="4" width="10.109375" style="2" customWidth="1"/>
    <col min="5" max="5" width="16.44140625" style="2" customWidth="1"/>
    <col min="6" max="7" width="9" style="2"/>
    <col min="8" max="9" width="9" style="1"/>
    <col min="10" max="10" width="10.21875" style="1" customWidth="1"/>
    <col min="11" max="11" width="16.21875" style="1" customWidth="1"/>
    <col min="12" max="13" width="9" style="1"/>
    <col min="14" max="16384" width="9" style="2"/>
  </cols>
  <sheetData>
    <row r="1" spans="1:46" x14ac:dyDescent="0.3">
      <c r="A1" s="34" t="s">
        <v>41</v>
      </c>
      <c r="B1" s="34">
        <v>37</v>
      </c>
      <c r="D1" s="34">
        <v>4.5999999999999996</v>
      </c>
      <c r="F1" s="101" t="s">
        <v>7</v>
      </c>
      <c r="G1" s="102"/>
      <c r="H1" s="2"/>
      <c r="J1" s="101" t="s">
        <v>57</v>
      </c>
      <c r="K1" s="103"/>
      <c r="L1" s="102"/>
      <c r="M1" s="2"/>
      <c r="T1" s="97" t="s">
        <v>35</v>
      </c>
      <c r="U1" s="97"/>
      <c r="AJ1" s="97" t="s">
        <v>12</v>
      </c>
      <c r="AK1" s="97"/>
    </row>
    <row r="2" spans="1:46" ht="36" x14ac:dyDescent="0.3">
      <c r="A2" s="34" t="s">
        <v>42</v>
      </c>
      <c r="B2" s="34">
        <v>44</v>
      </c>
      <c r="D2" s="34">
        <v>4.8</v>
      </c>
      <c r="F2" s="22" t="s">
        <v>36</v>
      </c>
      <c r="G2" s="19" t="s">
        <v>12</v>
      </c>
      <c r="H2" s="2"/>
      <c r="J2" s="22" t="s">
        <v>36</v>
      </c>
      <c r="K2" s="2" t="s">
        <v>12</v>
      </c>
      <c r="L2" s="19" t="s">
        <v>35</v>
      </c>
      <c r="M2" s="2"/>
      <c r="O2" s="32" t="s">
        <v>13</v>
      </c>
      <c r="P2" s="7" t="s">
        <v>14</v>
      </c>
      <c r="Q2" s="7" t="s">
        <v>15</v>
      </c>
      <c r="R2" s="105" t="s">
        <v>16</v>
      </c>
      <c r="S2" s="105"/>
      <c r="T2" s="105"/>
      <c r="U2" s="105"/>
      <c r="V2" s="105"/>
      <c r="W2" s="105"/>
      <c r="X2" s="105" t="s">
        <v>17</v>
      </c>
      <c r="Y2" s="105"/>
      <c r="Z2" s="105"/>
      <c r="AA2" s="105" t="s">
        <v>18</v>
      </c>
      <c r="AB2" s="105"/>
      <c r="AC2" s="105"/>
      <c r="AE2" s="7" t="s">
        <v>13</v>
      </c>
      <c r="AF2" s="7" t="s">
        <v>14</v>
      </c>
      <c r="AG2" s="7" t="s">
        <v>15</v>
      </c>
      <c r="AH2" s="98" t="s">
        <v>16</v>
      </c>
      <c r="AI2" s="99"/>
      <c r="AJ2" s="99"/>
      <c r="AK2" s="99"/>
      <c r="AL2" s="99"/>
      <c r="AM2" s="99"/>
      <c r="AN2" s="100"/>
      <c r="AO2" s="98" t="s">
        <v>17</v>
      </c>
      <c r="AP2" s="99"/>
      <c r="AQ2" s="100"/>
      <c r="AR2" s="98" t="s">
        <v>18</v>
      </c>
      <c r="AS2" s="99"/>
      <c r="AT2" s="100"/>
    </row>
    <row r="3" spans="1:46" ht="22.5" customHeight="1" x14ac:dyDescent="0.3">
      <c r="A3" s="34" t="s">
        <v>43</v>
      </c>
      <c r="B3" s="34">
        <v>52</v>
      </c>
      <c r="D3" s="34">
        <v>5.6</v>
      </c>
      <c r="F3" s="22" t="s">
        <v>40</v>
      </c>
      <c r="G3" s="53">
        <v>360</v>
      </c>
      <c r="H3" s="2"/>
      <c r="J3" s="22" t="s">
        <v>40</v>
      </c>
      <c r="K3" s="36">
        <v>600</v>
      </c>
      <c r="L3" s="53">
        <v>200</v>
      </c>
      <c r="M3" s="2"/>
      <c r="O3" s="32" t="s">
        <v>19</v>
      </c>
      <c r="P3" s="7" t="s">
        <v>81</v>
      </c>
      <c r="Q3" s="7" t="s">
        <v>21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23</v>
      </c>
      <c r="W3" s="7" t="s">
        <v>24</v>
      </c>
      <c r="X3" s="7" t="s">
        <v>82</v>
      </c>
      <c r="Y3" s="7" t="s">
        <v>83</v>
      </c>
      <c r="Z3" s="7" t="s">
        <v>84</v>
      </c>
      <c r="AA3" s="7" t="s">
        <v>85</v>
      </c>
      <c r="AB3" s="7" t="s">
        <v>86</v>
      </c>
      <c r="AC3" s="7" t="s">
        <v>87</v>
      </c>
      <c r="AE3" s="7" t="s">
        <v>19</v>
      </c>
      <c r="AF3" s="7" t="s">
        <v>81</v>
      </c>
      <c r="AG3" s="7" t="s">
        <v>21</v>
      </c>
      <c r="AH3" s="7" t="s">
        <v>8</v>
      </c>
      <c r="AI3" s="7" t="s">
        <v>9</v>
      </c>
      <c r="AJ3" s="7" t="s">
        <v>10</v>
      </c>
      <c r="AK3" s="7" t="s">
        <v>22</v>
      </c>
      <c r="AL3" s="7" t="s">
        <v>11</v>
      </c>
      <c r="AM3" s="7" t="s">
        <v>23</v>
      </c>
      <c r="AN3" s="7" t="s">
        <v>24</v>
      </c>
      <c r="AO3" s="7" t="s">
        <v>82</v>
      </c>
      <c r="AP3" s="7" t="s">
        <v>83</v>
      </c>
      <c r="AQ3" s="7" t="s">
        <v>84</v>
      </c>
      <c r="AR3" s="7" t="s">
        <v>85</v>
      </c>
      <c r="AS3" s="7" t="s">
        <v>86</v>
      </c>
      <c r="AT3" s="7" t="s">
        <v>87</v>
      </c>
    </row>
    <row r="4" spans="1:46" ht="18.600000000000001" thickBot="1" x14ac:dyDescent="0.35">
      <c r="D4" s="34">
        <v>5.8</v>
      </c>
      <c r="F4" s="22" t="s">
        <v>8</v>
      </c>
      <c r="G4" s="19">
        <f>VLOOKUP(G3,table,4,FALSE)</f>
        <v>360</v>
      </c>
      <c r="H4" s="2"/>
      <c r="J4" s="22" t="s">
        <v>8</v>
      </c>
      <c r="K4" s="2">
        <f>VLOOKUP(K3,table,4,FALSE)</f>
        <v>600</v>
      </c>
      <c r="L4" s="19">
        <f>VLOOKUP(L3,table1,4,FALSE)</f>
        <v>200</v>
      </c>
      <c r="M4" s="2"/>
      <c r="O4" s="33">
        <v>100</v>
      </c>
      <c r="P4" s="10">
        <v>26</v>
      </c>
      <c r="Q4" s="11">
        <v>20.399999999999999</v>
      </c>
      <c r="R4" s="10">
        <v>100</v>
      </c>
      <c r="S4" s="10">
        <v>100</v>
      </c>
      <c r="T4" s="10">
        <v>6</v>
      </c>
      <c r="U4" s="10">
        <v>10</v>
      </c>
      <c r="V4" s="10">
        <v>22</v>
      </c>
      <c r="W4" s="10">
        <v>56</v>
      </c>
      <c r="X4" s="10">
        <v>450</v>
      </c>
      <c r="Y4" s="11">
        <v>89.9</v>
      </c>
      <c r="Z4" s="12">
        <v>4.16</v>
      </c>
      <c r="AA4" s="10">
        <v>167</v>
      </c>
      <c r="AB4" s="11">
        <v>33.5</v>
      </c>
      <c r="AC4" s="12">
        <v>2.5299999999999998</v>
      </c>
      <c r="AE4" s="10">
        <v>80</v>
      </c>
      <c r="AF4" s="12">
        <v>7.64</v>
      </c>
      <c r="AG4" s="10">
        <v>6</v>
      </c>
      <c r="AH4" s="10">
        <v>80</v>
      </c>
      <c r="AI4" s="10">
        <v>46</v>
      </c>
      <c r="AJ4" s="11">
        <v>3.8</v>
      </c>
      <c r="AK4" s="10">
        <v>5</v>
      </c>
      <c r="AL4" s="11">
        <v>5.2</v>
      </c>
      <c r="AM4" s="11">
        <v>10.199999999999999</v>
      </c>
      <c r="AN4" s="10">
        <v>59</v>
      </c>
      <c r="AO4" s="11">
        <v>80.099999999999994</v>
      </c>
      <c r="AP4" s="10">
        <v>20</v>
      </c>
      <c r="AQ4" s="12">
        <v>3.24</v>
      </c>
      <c r="AR4" s="12">
        <v>8.49</v>
      </c>
      <c r="AS4" s="12">
        <v>3.69</v>
      </c>
      <c r="AT4" s="12">
        <v>1.05</v>
      </c>
    </row>
    <row r="5" spans="1:46" x14ac:dyDescent="0.3">
      <c r="A5" s="39" t="s">
        <v>3</v>
      </c>
      <c r="B5" s="107">
        <v>37</v>
      </c>
      <c r="C5" s="108"/>
      <c r="D5" s="34">
        <v>6.8</v>
      </c>
      <c r="F5" s="22" t="s">
        <v>9</v>
      </c>
      <c r="G5" s="19">
        <f>VLOOKUP(G3,table,5,FALSE)</f>
        <v>170</v>
      </c>
      <c r="H5" s="2"/>
      <c r="J5" s="22" t="s">
        <v>9</v>
      </c>
      <c r="K5" s="2">
        <f>VLOOKUP(K3,table,5,FALSE)</f>
        <v>220</v>
      </c>
      <c r="L5" s="19">
        <f>VLOOKUP(L3,table1,5,FALSE)</f>
        <v>200</v>
      </c>
      <c r="M5" s="2"/>
      <c r="O5" s="33">
        <v>120</v>
      </c>
      <c r="P5" s="10">
        <v>34</v>
      </c>
      <c r="Q5" s="11">
        <v>26.7</v>
      </c>
      <c r="R5" s="10">
        <v>120</v>
      </c>
      <c r="S5" s="10">
        <v>120</v>
      </c>
      <c r="T5" s="11">
        <v>6.5</v>
      </c>
      <c r="U5" s="10">
        <v>11</v>
      </c>
      <c r="V5" s="10">
        <v>23</v>
      </c>
      <c r="W5" s="10">
        <v>74</v>
      </c>
      <c r="X5" s="10">
        <v>864</v>
      </c>
      <c r="Y5" s="10">
        <v>144</v>
      </c>
      <c r="Z5" s="12">
        <v>5.04</v>
      </c>
      <c r="AA5" s="10">
        <v>318</v>
      </c>
      <c r="AB5" s="11">
        <v>52.9</v>
      </c>
      <c r="AC5" s="12">
        <v>3.06</v>
      </c>
      <c r="AE5" s="10">
        <v>100</v>
      </c>
      <c r="AF5" s="11">
        <v>10.3</v>
      </c>
      <c r="AG5" s="11">
        <v>8.1</v>
      </c>
      <c r="AH5" s="10">
        <v>100</v>
      </c>
      <c r="AI5" s="10">
        <v>55</v>
      </c>
      <c r="AJ5" s="11">
        <v>4.0999999999999996</v>
      </c>
      <c r="AK5" s="10">
        <v>7</v>
      </c>
      <c r="AL5" s="11">
        <v>5.7</v>
      </c>
      <c r="AM5" s="11">
        <v>12.7</v>
      </c>
      <c r="AN5" s="10">
        <v>74</v>
      </c>
      <c r="AO5" s="10">
        <v>171</v>
      </c>
      <c r="AP5" s="11">
        <v>34.200000000000003</v>
      </c>
      <c r="AQ5" s="12">
        <v>4.07</v>
      </c>
      <c r="AR5" s="11">
        <v>15.9</v>
      </c>
      <c r="AS5" s="12">
        <v>5.79</v>
      </c>
      <c r="AT5" s="12">
        <v>1.24</v>
      </c>
    </row>
    <row r="6" spans="1:46" ht="20.399999999999999" x14ac:dyDescent="0.3">
      <c r="A6" s="22" t="s">
        <v>76</v>
      </c>
      <c r="B6" s="37">
        <f>IF(B5=B1,2.4,IF(B5=B2,2.8,3.6))</f>
        <v>2.4</v>
      </c>
      <c r="C6" s="19" t="s">
        <v>78</v>
      </c>
      <c r="D6" s="34">
        <v>8.8000000000000007</v>
      </c>
      <c r="F6" s="22" t="s">
        <v>10</v>
      </c>
      <c r="G6" s="19">
        <f>VLOOKUP(G3,table,6,FALSE)</f>
        <v>8</v>
      </c>
      <c r="H6" s="2"/>
      <c r="J6" s="22" t="s">
        <v>10</v>
      </c>
      <c r="K6" s="2">
        <f>VLOOKUP(K3,table,6,FALSE)</f>
        <v>12</v>
      </c>
      <c r="L6" s="19">
        <f>VLOOKUP(L3,table1,6,FALSE)</f>
        <v>9</v>
      </c>
      <c r="M6" s="2"/>
      <c r="O6" s="33">
        <v>140</v>
      </c>
      <c r="P6" s="10">
        <v>43</v>
      </c>
      <c r="Q6" s="11">
        <v>33.700000000000003</v>
      </c>
      <c r="R6" s="10">
        <v>140</v>
      </c>
      <c r="S6" s="10">
        <v>140</v>
      </c>
      <c r="T6" s="10">
        <v>7</v>
      </c>
      <c r="U6" s="10">
        <v>12</v>
      </c>
      <c r="V6" s="10">
        <v>24</v>
      </c>
      <c r="W6" s="10">
        <v>92</v>
      </c>
      <c r="X6" s="10">
        <v>1510</v>
      </c>
      <c r="Y6" s="10">
        <v>216</v>
      </c>
      <c r="Z6" s="12">
        <v>5.93</v>
      </c>
      <c r="AA6" s="10">
        <v>550</v>
      </c>
      <c r="AB6" s="11">
        <v>78.5</v>
      </c>
      <c r="AC6" s="12">
        <v>3.58</v>
      </c>
      <c r="AE6" s="10">
        <v>120</v>
      </c>
      <c r="AF6" s="11">
        <v>13.2</v>
      </c>
      <c r="AG6" s="11">
        <v>10.4</v>
      </c>
      <c r="AH6" s="10">
        <v>120</v>
      </c>
      <c r="AI6" s="10">
        <v>64</v>
      </c>
      <c r="AJ6" s="11">
        <v>4.4000000000000004</v>
      </c>
      <c r="AK6" s="10">
        <v>7</v>
      </c>
      <c r="AL6" s="11">
        <v>6.3</v>
      </c>
      <c r="AM6" s="11">
        <v>13.3</v>
      </c>
      <c r="AN6" s="10">
        <v>93</v>
      </c>
      <c r="AO6" s="10">
        <v>318</v>
      </c>
      <c r="AP6" s="10">
        <v>53</v>
      </c>
      <c r="AQ6" s="11">
        <v>4.9000000000000004</v>
      </c>
      <c r="AR6" s="11">
        <v>27.7</v>
      </c>
      <c r="AS6" s="12">
        <v>8.65</v>
      </c>
      <c r="AT6" s="12">
        <v>1.45</v>
      </c>
    </row>
    <row r="7" spans="1:46" ht="21" thickBot="1" x14ac:dyDescent="0.35">
      <c r="A7" s="41" t="s">
        <v>77</v>
      </c>
      <c r="B7" s="42">
        <f>IF(B5=B1,3.7,IF(B5=B2,4.4,5.2))</f>
        <v>3.7</v>
      </c>
      <c r="C7" s="27" t="s">
        <v>78</v>
      </c>
      <c r="D7" s="34">
        <v>10.9</v>
      </c>
      <c r="F7" s="41" t="s">
        <v>11</v>
      </c>
      <c r="G7" s="27">
        <f>VLOOKUP(G3,table,8,FALSE)</f>
        <v>12.7</v>
      </c>
      <c r="H7" s="2"/>
      <c r="J7" s="22" t="s">
        <v>11</v>
      </c>
      <c r="K7" s="2">
        <f>VLOOKUP(K3,table,8,FALSE)</f>
        <v>19</v>
      </c>
      <c r="L7" s="19">
        <f>VLOOKUP(L3,table1,7,FALSE)</f>
        <v>15</v>
      </c>
      <c r="M7" s="2"/>
      <c r="O7" s="33">
        <v>160</v>
      </c>
      <c r="P7" s="11">
        <v>54.3</v>
      </c>
      <c r="Q7" s="11">
        <v>42.6</v>
      </c>
      <c r="R7" s="10">
        <v>160</v>
      </c>
      <c r="S7" s="10">
        <v>160</v>
      </c>
      <c r="T7" s="10">
        <v>8</v>
      </c>
      <c r="U7" s="10">
        <v>13</v>
      </c>
      <c r="V7" s="10">
        <v>28</v>
      </c>
      <c r="W7" s="10">
        <v>104</v>
      </c>
      <c r="X7" s="10">
        <v>2490</v>
      </c>
      <c r="Y7" s="10">
        <v>311</v>
      </c>
      <c r="Z7" s="12">
        <v>6.78</v>
      </c>
      <c r="AA7" s="10">
        <v>889</v>
      </c>
      <c r="AB7" s="10">
        <v>111</v>
      </c>
      <c r="AC7" s="12">
        <v>4.05</v>
      </c>
      <c r="AE7" s="10">
        <v>140</v>
      </c>
      <c r="AF7" s="11">
        <v>16.399999999999999</v>
      </c>
      <c r="AG7" s="11">
        <v>12.9</v>
      </c>
      <c r="AH7" s="10">
        <v>140</v>
      </c>
      <c r="AI7" s="10">
        <v>73</v>
      </c>
      <c r="AJ7" s="11">
        <v>4.7</v>
      </c>
      <c r="AK7" s="10">
        <v>7</v>
      </c>
      <c r="AL7" s="11">
        <v>6.9</v>
      </c>
      <c r="AM7" s="11">
        <v>13.9</v>
      </c>
      <c r="AN7" s="10">
        <v>112</v>
      </c>
      <c r="AO7" s="10">
        <v>541</v>
      </c>
      <c r="AP7" s="11">
        <v>77.3</v>
      </c>
      <c r="AQ7" s="12">
        <v>5.74</v>
      </c>
      <c r="AR7" s="11">
        <v>44.9</v>
      </c>
      <c r="AS7" s="11">
        <v>12.3</v>
      </c>
      <c r="AT7" s="12">
        <v>1.65</v>
      </c>
    </row>
    <row r="8" spans="1:46" ht="18.600000000000001" thickBot="1" x14ac:dyDescent="0.35">
      <c r="H8" s="2"/>
      <c r="J8" s="50" t="s">
        <v>43</v>
      </c>
      <c r="K8" s="51">
        <f>VLOOKUP(K3,table,9,FALSE)</f>
        <v>43</v>
      </c>
      <c r="L8" s="27">
        <f>VLOOKUP(L3,table1,8,FALSE)</f>
        <v>33</v>
      </c>
      <c r="M8" s="2"/>
      <c r="O8" s="33">
        <v>180</v>
      </c>
      <c r="P8" s="11">
        <v>65.3</v>
      </c>
      <c r="Q8" s="11">
        <v>51.2</v>
      </c>
      <c r="R8" s="10">
        <v>180</v>
      </c>
      <c r="S8" s="10">
        <v>180</v>
      </c>
      <c r="T8" s="11">
        <v>8.5</v>
      </c>
      <c r="U8" s="10">
        <v>14</v>
      </c>
      <c r="V8" s="10">
        <v>29</v>
      </c>
      <c r="W8" s="10">
        <v>122</v>
      </c>
      <c r="X8" s="10">
        <v>3830</v>
      </c>
      <c r="Y8" s="10">
        <v>426</v>
      </c>
      <c r="Z8" s="12">
        <v>7.66</v>
      </c>
      <c r="AA8" s="10">
        <v>1360</v>
      </c>
      <c r="AB8" s="10">
        <v>151</v>
      </c>
      <c r="AC8" s="12">
        <v>4.57</v>
      </c>
      <c r="AE8" s="10">
        <v>160</v>
      </c>
      <c r="AF8" s="11">
        <v>20.100000000000001</v>
      </c>
      <c r="AG8" s="11">
        <v>15.8</v>
      </c>
      <c r="AH8" s="10">
        <v>160</v>
      </c>
      <c r="AI8" s="10">
        <v>82</v>
      </c>
      <c r="AJ8" s="10">
        <v>5</v>
      </c>
      <c r="AK8" s="10">
        <v>9</v>
      </c>
      <c r="AL8" s="11">
        <v>7.4</v>
      </c>
      <c r="AM8" s="11">
        <v>16.399999999999999</v>
      </c>
      <c r="AN8" s="10">
        <v>127</v>
      </c>
      <c r="AO8" s="10">
        <v>869</v>
      </c>
      <c r="AP8" s="10">
        <v>109</v>
      </c>
      <c r="AQ8" s="12">
        <v>6.58</v>
      </c>
      <c r="AR8" s="11">
        <v>68.3</v>
      </c>
      <c r="AS8" s="11">
        <v>16.7</v>
      </c>
      <c r="AT8" s="12">
        <v>1.84</v>
      </c>
    </row>
    <row r="9" spans="1:46" ht="20.399999999999999" x14ac:dyDescent="0.3">
      <c r="A9" s="39" t="s">
        <v>88</v>
      </c>
      <c r="B9" s="43">
        <f>ROUND(((F11/(0.1*(G4-G7)))+(F12/2)),2)</f>
        <v>36.06</v>
      </c>
      <c r="C9" s="18" t="s">
        <v>6</v>
      </c>
      <c r="J9" s="2"/>
      <c r="K9" s="2"/>
      <c r="L9" s="2"/>
      <c r="M9" s="2"/>
      <c r="O9" s="33">
        <v>200</v>
      </c>
      <c r="P9" s="11">
        <v>78.099999999999994</v>
      </c>
      <c r="Q9" s="11">
        <v>61.3</v>
      </c>
      <c r="R9" s="10">
        <v>200</v>
      </c>
      <c r="S9" s="10">
        <v>200</v>
      </c>
      <c r="T9" s="10">
        <v>9</v>
      </c>
      <c r="U9" s="10">
        <v>15</v>
      </c>
      <c r="V9" s="10">
        <v>33</v>
      </c>
      <c r="W9" s="10">
        <v>134</v>
      </c>
      <c r="X9" s="10">
        <v>5700</v>
      </c>
      <c r="Y9" s="10">
        <v>570</v>
      </c>
      <c r="Z9" s="12">
        <v>8.5399999999999991</v>
      </c>
      <c r="AA9" s="10">
        <v>2000</v>
      </c>
      <c r="AB9" s="10">
        <v>200</v>
      </c>
      <c r="AC9" s="12">
        <v>5.07</v>
      </c>
      <c r="AE9" s="10">
        <v>180</v>
      </c>
      <c r="AF9" s="11">
        <v>23.9</v>
      </c>
      <c r="AG9" s="11">
        <v>18.8</v>
      </c>
      <c r="AH9" s="10">
        <v>180</v>
      </c>
      <c r="AI9" s="10">
        <v>91</v>
      </c>
      <c r="AJ9" s="11">
        <v>5.3</v>
      </c>
      <c r="AK9" s="10">
        <v>9</v>
      </c>
      <c r="AL9" s="10">
        <v>8</v>
      </c>
      <c r="AM9" s="10">
        <v>17</v>
      </c>
      <c r="AN9" s="10">
        <v>146</v>
      </c>
      <c r="AO9" s="10">
        <v>1320</v>
      </c>
      <c r="AP9" s="10">
        <v>146</v>
      </c>
      <c r="AQ9" s="12">
        <v>7.42</v>
      </c>
      <c r="AR9" s="10">
        <v>101</v>
      </c>
      <c r="AS9" s="11">
        <v>22.2</v>
      </c>
      <c r="AT9" s="12">
        <v>2.0499999999999998</v>
      </c>
    </row>
    <row r="10" spans="1:46" ht="21" thickBot="1" x14ac:dyDescent="0.35">
      <c r="A10" s="41" t="s">
        <v>89</v>
      </c>
      <c r="B10" s="42">
        <f>ROUND(ABS(-1*(F11/(0.1*(G4-G7)))+(F12/2)),2)</f>
        <v>38.06</v>
      </c>
      <c r="C10" s="27" t="s">
        <v>6</v>
      </c>
      <c r="E10" s="35" t="s">
        <v>126</v>
      </c>
      <c r="H10" s="2"/>
      <c r="I10" s="2"/>
      <c r="J10" s="2"/>
      <c r="K10" s="2"/>
      <c r="L10" s="2"/>
      <c r="M10" s="2"/>
      <c r="O10" s="33">
        <v>220</v>
      </c>
      <c r="P10" s="10">
        <v>91</v>
      </c>
      <c r="Q10" s="11">
        <v>71.5</v>
      </c>
      <c r="R10" s="10">
        <v>220</v>
      </c>
      <c r="S10" s="10">
        <v>220</v>
      </c>
      <c r="T10" s="11">
        <v>9.5</v>
      </c>
      <c r="U10" s="10">
        <v>16</v>
      </c>
      <c r="V10" s="10">
        <v>34</v>
      </c>
      <c r="W10" s="10">
        <v>152</v>
      </c>
      <c r="X10" s="10">
        <v>8090</v>
      </c>
      <c r="Y10" s="10">
        <v>736</v>
      </c>
      <c r="Z10" s="12">
        <v>9.43</v>
      </c>
      <c r="AA10" s="10">
        <v>2840</v>
      </c>
      <c r="AB10" s="10">
        <v>258</v>
      </c>
      <c r="AC10" s="12">
        <v>5.59</v>
      </c>
      <c r="AE10" s="10">
        <v>200</v>
      </c>
      <c r="AF10" s="11">
        <v>28.5</v>
      </c>
      <c r="AG10" s="11">
        <v>22.4</v>
      </c>
      <c r="AH10" s="10">
        <v>200</v>
      </c>
      <c r="AI10" s="10">
        <v>100</v>
      </c>
      <c r="AJ10" s="11">
        <v>5.6</v>
      </c>
      <c r="AK10" s="10">
        <v>12</v>
      </c>
      <c r="AL10" s="11">
        <v>8.5</v>
      </c>
      <c r="AM10" s="11">
        <v>20.5</v>
      </c>
      <c r="AN10" s="10">
        <v>159</v>
      </c>
      <c r="AO10" s="10">
        <v>1940</v>
      </c>
      <c r="AP10" s="10">
        <v>194</v>
      </c>
      <c r="AQ10" s="12">
        <v>8.26</v>
      </c>
      <c r="AR10" s="10">
        <v>142</v>
      </c>
      <c r="AS10" s="11">
        <v>28.5</v>
      </c>
      <c r="AT10" s="12">
        <v>2.2400000000000002</v>
      </c>
    </row>
    <row r="11" spans="1:46" ht="20.399999999999999" x14ac:dyDescent="0.3">
      <c r="B11" s="37"/>
      <c r="E11" s="39" t="s">
        <v>79</v>
      </c>
      <c r="F11" s="45">
        <v>1287</v>
      </c>
      <c r="G11" s="18" t="s">
        <v>4</v>
      </c>
      <c r="O11" s="33">
        <v>240</v>
      </c>
      <c r="P11" s="10">
        <v>106</v>
      </c>
      <c r="Q11" s="11">
        <v>83.2</v>
      </c>
      <c r="R11" s="10">
        <v>240</v>
      </c>
      <c r="S11" s="10">
        <v>240</v>
      </c>
      <c r="T11" s="10">
        <v>10</v>
      </c>
      <c r="U11" s="10">
        <v>17</v>
      </c>
      <c r="V11" s="10">
        <v>38</v>
      </c>
      <c r="W11" s="10">
        <v>164</v>
      </c>
      <c r="X11" s="10">
        <v>11260</v>
      </c>
      <c r="Y11" s="10">
        <v>938</v>
      </c>
      <c r="Z11" s="11">
        <v>10.3</v>
      </c>
      <c r="AA11" s="10">
        <v>3920</v>
      </c>
      <c r="AB11" s="10">
        <v>327</v>
      </c>
      <c r="AC11" s="12">
        <v>6.08</v>
      </c>
      <c r="AE11" s="10">
        <v>220</v>
      </c>
      <c r="AF11" s="11">
        <v>33.4</v>
      </c>
      <c r="AG11" s="11">
        <v>26.2</v>
      </c>
      <c r="AH11" s="10">
        <v>220</v>
      </c>
      <c r="AI11" s="10">
        <v>110</v>
      </c>
      <c r="AJ11" s="11">
        <v>5.9</v>
      </c>
      <c r="AK11" s="10">
        <v>12</v>
      </c>
      <c r="AL11" s="11">
        <v>9.1999999999999993</v>
      </c>
      <c r="AM11" s="11">
        <v>21.2</v>
      </c>
      <c r="AN11" s="10">
        <v>177</v>
      </c>
      <c r="AO11" s="10">
        <v>2770</v>
      </c>
      <c r="AP11" s="10">
        <v>252</v>
      </c>
      <c r="AQ11" s="12">
        <v>9.11</v>
      </c>
      <c r="AR11" s="10">
        <v>205</v>
      </c>
      <c r="AS11" s="11">
        <v>37.299999999999997</v>
      </c>
      <c r="AT11" s="12">
        <v>2.48</v>
      </c>
    </row>
    <row r="12" spans="1:46" ht="18.600000000000001" thickBot="1" x14ac:dyDescent="0.35">
      <c r="A12" s="104" t="s">
        <v>37</v>
      </c>
      <c r="B12" s="104"/>
      <c r="C12" s="104"/>
      <c r="E12" s="22" t="s">
        <v>5</v>
      </c>
      <c r="F12" s="36">
        <v>-2</v>
      </c>
      <c r="G12" s="19" t="s">
        <v>6</v>
      </c>
      <c r="O12" s="33">
        <v>260</v>
      </c>
      <c r="P12" s="10">
        <v>118</v>
      </c>
      <c r="Q12" s="62">
        <v>93</v>
      </c>
      <c r="R12" s="10">
        <v>260</v>
      </c>
      <c r="S12" s="10">
        <v>260</v>
      </c>
      <c r="T12" s="10">
        <v>10</v>
      </c>
      <c r="U12" s="11">
        <v>17.5</v>
      </c>
      <c r="V12" s="11">
        <v>41.5</v>
      </c>
      <c r="W12" s="10">
        <v>177</v>
      </c>
      <c r="X12" s="10">
        <v>14920</v>
      </c>
      <c r="Y12" s="10">
        <v>1150</v>
      </c>
      <c r="Z12" s="11">
        <v>11.2</v>
      </c>
      <c r="AA12" s="10">
        <v>5130</v>
      </c>
      <c r="AB12" s="10">
        <v>395</v>
      </c>
      <c r="AC12" s="12">
        <v>6.58</v>
      </c>
      <c r="AE12" s="10">
        <v>240</v>
      </c>
      <c r="AF12" s="11">
        <v>39.1</v>
      </c>
      <c r="AG12" s="11">
        <v>30.7</v>
      </c>
      <c r="AH12" s="10">
        <v>240</v>
      </c>
      <c r="AI12" s="10">
        <v>120</v>
      </c>
      <c r="AJ12" s="11">
        <v>6.2</v>
      </c>
      <c r="AK12" s="10">
        <v>15</v>
      </c>
      <c r="AL12" s="11">
        <v>9.8000000000000007</v>
      </c>
      <c r="AM12" s="11">
        <v>24.8</v>
      </c>
      <c r="AN12" s="10">
        <v>190</v>
      </c>
      <c r="AO12" s="10">
        <v>3890</v>
      </c>
      <c r="AP12" s="10">
        <v>324</v>
      </c>
      <c r="AQ12" s="12">
        <v>9.9700000000000006</v>
      </c>
      <c r="AR12" s="10">
        <v>284</v>
      </c>
      <c r="AS12" s="11">
        <v>47.3</v>
      </c>
      <c r="AT12" s="12">
        <v>2.69</v>
      </c>
    </row>
    <row r="13" spans="1:46" ht="21" thickBot="1" x14ac:dyDescent="0.35">
      <c r="A13" s="44" t="s">
        <v>168</v>
      </c>
      <c r="B13" s="45">
        <v>20</v>
      </c>
      <c r="C13" s="18" t="s">
        <v>72</v>
      </c>
      <c r="E13" s="41" t="s">
        <v>80</v>
      </c>
      <c r="F13" s="52">
        <v>5.92</v>
      </c>
      <c r="G13" s="27" t="s">
        <v>6</v>
      </c>
      <c r="O13" s="33">
        <v>280</v>
      </c>
      <c r="P13" s="10">
        <v>131</v>
      </c>
      <c r="Q13" s="10">
        <v>103</v>
      </c>
      <c r="R13" s="10">
        <v>280</v>
      </c>
      <c r="S13" s="10">
        <v>280</v>
      </c>
      <c r="T13" s="11">
        <v>10.5</v>
      </c>
      <c r="U13" s="10">
        <v>18</v>
      </c>
      <c r="V13" s="10">
        <v>42</v>
      </c>
      <c r="W13" s="10">
        <v>196</v>
      </c>
      <c r="X13" s="10">
        <v>19270</v>
      </c>
      <c r="Y13" s="10">
        <v>1380</v>
      </c>
      <c r="Z13" s="11">
        <v>12.1</v>
      </c>
      <c r="AA13" s="10">
        <v>6590</v>
      </c>
      <c r="AB13" s="10">
        <v>471</v>
      </c>
      <c r="AC13" s="12">
        <v>7.09</v>
      </c>
      <c r="AE13" s="10">
        <v>270</v>
      </c>
      <c r="AF13" s="11">
        <v>45.9</v>
      </c>
      <c r="AG13" s="11">
        <v>36.1</v>
      </c>
      <c r="AH13" s="10">
        <v>270</v>
      </c>
      <c r="AI13" s="10">
        <v>135</v>
      </c>
      <c r="AJ13" s="11">
        <v>6.6</v>
      </c>
      <c r="AK13" s="10">
        <v>15</v>
      </c>
      <c r="AL13" s="11">
        <v>10.199999999999999</v>
      </c>
      <c r="AM13" s="11">
        <v>25.2</v>
      </c>
      <c r="AN13" s="10">
        <v>219</v>
      </c>
      <c r="AO13" s="10">
        <v>5790</v>
      </c>
      <c r="AP13" s="10">
        <v>429</v>
      </c>
      <c r="AQ13" s="11">
        <v>11.2</v>
      </c>
      <c r="AR13" s="10">
        <v>420</v>
      </c>
      <c r="AS13" s="11">
        <v>62.2</v>
      </c>
      <c r="AT13" s="12">
        <v>3.02</v>
      </c>
    </row>
    <row r="14" spans="1:46" x14ac:dyDescent="0.3">
      <c r="A14" s="22" t="s">
        <v>39</v>
      </c>
      <c r="B14" s="36">
        <v>10.9</v>
      </c>
      <c r="C14" s="19" t="s">
        <v>75</v>
      </c>
      <c r="O14" s="33">
        <v>300</v>
      </c>
      <c r="P14" s="10">
        <v>149</v>
      </c>
      <c r="Q14" s="10">
        <v>117</v>
      </c>
      <c r="R14" s="10">
        <v>300</v>
      </c>
      <c r="S14" s="10">
        <v>300</v>
      </c>
      <c r="T14" s="10">
        <v>11</v>
      </c>
      <c r="U14" s="10">
        <v>19</v>
      </c>
      <c r="V14" s="10">
        <v>46</v>
      </c>
      <c r="W14" s="10">
        <v>208</v>
      </c>
      <c r="X14" s="10">
        <v>25170</v>
      </c>
      <c r="Y14" s="10">
        <v>1680</v>
      </c>
      <c r="Z14" s="10">
        <v>13</v>
      </c>
      <c r="AA14" s="10">
        <v>8560</v>
      </c>
      <c r="AB14" s="10">
        <v>571</v>
      </c>
      <c r="AC14" s="12">
        <v>7.58</v>
      </c>
      <c r="AE14" s="10">
        <v>300</v>
      </c>
      <c r="AF14" s="11">
        <v>53.8</v>
      </c>
      <c r="AG14" s="11">
        <v>42.2</v>
      </c>
      <c r="AH14" s="10">
        <v>300</v>
      </c>
      <c r="AI14" s="10">
        <v>150</v>
      </c>
      <c r="AJ14" s="11">
        <v>7.1</v>
      </c>
      <c r="AK14" s="10">
        <v>15</v>
      </c>
      <c r="AL14" s="11">
        <v>10.7</v>
      </c>
      <c r="AM14" s="11">
        <v>25.7</v>
      </c>
      <c r="AN14" s="10">
        <v>248</v>
      </c>
      <c r="AO14" s="10">
        <v>8360</v>
      </c>
      <c r="AP14" s="10">
        <v>557</v>
      </c>
      <c r="AQ14" s="11">
        <v>12.5</v>
      </c>
      <c r="AR14" s="10">
        <v>604</v>
      </c>
      <c r="AS14" s="11">
        <v>80.5</v>
      </c>
      <c r="AT14" s="12">
        <v>3.35</v>
      </c>
    </row>
    <row r="15" spans="1:46" ht="20.399999999999999" x14ac:dyDescent="0.3">
      <c r="A15" s="22" t="s">
        <v>77</v>
      </c>
      <c r="B15" s="2">
        <f>IF(B14=D1,4,IF(B14=D2,4,IF(OR(B14=D3,B14=D4),5,IF(B14=D5,6,IF(B14=D6,8,IF(B14=D7,10))))))</f>
        <v>10</v>
      </c>
      <c r="C15" s="19" t="s">
        <v>78</v>
      </c>
      <c r="O15" s="33">
        <v>320</v>
      </c>
      <c r="P15" s="10">
        <v>161</v>
      </c>
      <c r="Q15" s="10">
        <v>127</v>
      </c>
      <c r="R15" s="10">
        <v>320</v>
      </c>
      <c r="S15" s="10">
        <v>300</v>
      </c>
      <c r="T15" s="11">
        <v>11.5</v>
      </c>
      <c r="U15" s="11">
        <v>20.5</v>
      </c>
      <c r="V15" s="11">
        <v>47.5</v>
      </c>
      <c r="W15" s="10">
        <v>225</v>
      </c>
      <c r="X15" s="10">
        <v>30820</v>
      </c>
      <c r="Y15" s="10">
        <v>1930</v>
      </c>
      <c r="Z15" s="11">
        <v>13.8</v>
      </c>
      <c r="AA15" s="10">
        <v>9240</v>
      </c>
      <c r="AB15" s="10">
        <v>616</v>
      </c>
      <c r="AC15" s="12">
        <v>7.57</v>
      </c>
      <c r="AE15" s="10">
        <v>330</v>
      </c>
      <c r="AF15" s="11">
        <v>62.6</v>
      </c>
      <c r="AG15" s="11">
        <v>49.1</v>
      </c>
      <c r="AH15" s="10">
        <v>330</v>
      </c>
      <c r="AI15" s="10">
        <v>160</v>
      </c>
      <c r="AJ15" s="11">
        <v>7.5</v>
      </c>
      <c r="AK15" s="10">
        <v>18</v>
      </c>
      <c r="AL15" s="11">
        <v>11.5</v>
      </c>
      <c r="AM15" s="11">
        <v>29.5</v>
      </c>
      <c r="AN15" s="10">
        <v>271</v>
      </c>
      <c r="AO15" s="10">
        <v>11770</v>
      </c>
      <c r="AP15" s="10">
        <v>713</v>
      </c>
      <c r="AQ15" s="11">
        <v>13.7</v>
      </c>
      <c r="AR15" s="10">
        <v>788</v>
      </c>
      <c r="AS15" s="11">
        <v>98.5</v>
      </c>
      <c r="AT15" s="12">
        <v>3.55</v>
      </c>
    </row>
    <row r="16" spans="1:46" ht="20.399999999999999" x14ac:dyDescent="0.3">
      <c r="A16" s="22" t="s">
        <v>76</v>
      </c>
      <c r="B16" s="2">
        <f>IF(B14=D1,2.4,IF(B14=D2,3.2,IF(B14=D3,3,IF(B14=D4,4,IF(B14=D5,4.8,IF(B14=D6,6.4,IF(B14=D7,9)))))))</f>
        <v>9</v>
      </c>
      <c r="C16" s="19" t="s">
        <v>78</v>
      </c>
      <c r="E16" s="104" t="s">
        <v>49</v>
      </c>
      <c r="F16" s="104"/>
      <c r="H16" s="2"/>
      <c r="I16" s="2"/>
      <c r="J16" s="2"/>
      <c r="K16" s="2"/>
      <c r="L16" s="2"/>
      <c r="M16" s="2"/>
      <c r="O16" s="33">
        <v>340</v>
      </c>
      <c r="P16" s="10">
        <v>171</v>
      </c>
      <c r="Q16" s="10">
        <v>134</v>
      </c>
      <c r="R16" s="10">
        <v>340</v>
      </c>
      <c r="S16" s="10">
        <v>300</v>
      </c>
      <c r="T16" s="10">
        <v>12</v>
      </c>
      <c r="U16" s="11">
        <v>21.5</v>
      </c>
      <c r="V16" s="11">
        <v>48.5</v>
      </c>
      <c r="W16" s="10">
        <v>243</v>
      </c>
      <c r="X16" s="10">
        <v>36660</v>
      </c>
      <c r="Y16" s="10">
        <v>2160</v>
      </c>
      <c r="Z16" s="11">
        <v>14.6</v>
      </c>
      <c r="AA16" s="10">
        <v>9690</v>
      </c>
      <c r="AB16" s="10">
        <v>646</v>
      </c>
      <c r="AC16" s="12">
        <v>7.53</v>
      </c>
      <c r="AE16" s="10">
        <v>360</v>
      </c>
      <c r="AF16" s="11">
        <v>72.7</v>
      </c>
      <c r="AG16" s="11">
        <v>57.1</v>
      </c>
      <c r="AH16" s="10">
        <v>360</v>
      </c>
      <c r="AI16" s="10">
        <v>170</v>
      </c>
      <c r="AJ16" s="10">
        <v>8</v>
      </c>
      <c r="AK16" s="10">
        <v>18</v>
      </c>
      <c r="AL16" s="11">
        <v>12.7</v>
      </c>
      <c r="AM16" s="11">
        <v>30.7</v>
      </c>
      <c r="AN16" s="10">
        <v>298</v>
      </c>
      <c r="AO16" s="10">
        <v>16270</v>
      </c>
      <c r="AP16" s="10">
        <v>904</v>
      </c>
      <c r="AQ16" s="10">
        <v>15</v>
      </c>
      <c r="AR16" s="10">
        <v>1040</v>
      </c>
      <c r="AS16" s="10">
        <v>123</v>
      </c>
      <c r="AT16" s="12">
        <v>3.79</v>
      </c>
    </row>
    <row r="17" spans="1:46" x14ac:dyDescent="0.3">
      <c r="A17" s="22" t="s">
        <v>36</v>
      </c>
      <c r="B17" s="36" t="s">
        <v>43</v>
      </c>
      <c r="C17" s="19" t="s">
        <v>73</v>
      </c>
      <c r="E17" s="104"/>
      <c r="F17" s="104"/>
      <c r="H17" s="2"/>
      <c r="I17" s="2"/>
      <c r="J17" s="2"/>
      <c r="K17" s="2"/>
      <c r="L17" s="2"/>
      <c r="M17" s="2"/>
      <c r="O17" s="33">
        <v>360</v>
      </c>
      <c r="P17" s="10">
        <v>181</v>
      </c>
      <c r="Q17" s="10">
        <v>142</v>
      </c>
      <c r="R17" s="10">
        <v>360</v>
      </c>
      <c r="S17" s="10">
        <v>300</v>
      </c>
      <c r="T17" s="11">
        <v>12.5</v>
      </c>
      <c r="U17" s="11">
        <v>22.5</v>
      </c>
      <c r="V17" s="11">
        <v>49.5</v>
      </c>
      <c r="W17" s="10">
        <v>261</v>
      </c>
      <c r="X17" s="10">
        <v>43190</v>
      </c>
      <c r="Y17" s="10">
        <v>2400</v>
      </c>
      <c r="Z17" s="11">
        <v>15.6</v>
      </c>
      <c r="AA17" s="10">
        <v>10140</v>
      </c>
      <c r="AB17" s="10">
        <v>676</v>
      </c>
      <c r="AC17" s="12">
        <v>7.49</v>
      </c>
      <c r="AE17" s="10">
        <v>400</v>
      </c>
      <c r="AF17" s="11">
        <v>84.5</v>
      </c>
      <c r="AG17" s="11">
        <v>66.3</v>
      </c>
      <c r="AH17" s="10">
        <v>400</v>
      </c>
      <c r="AI17" s="10">
        <v>180</v>
      </c>
      <c r="AJ17" s="11">
        <v>8.6</v>
      </c>
      <c r="AK17" s="10">
        <v>21</v>
      </c>
      <c r="AL17" s="11">
        <v>13.5</v>
      </c>
      <c r="AM17" s="11">
        <v>34.5</v>
      </c>
      <c r="AN17" s="10">
        <v>331</v>
      </c>
      <c r="AO17" s="10">
        <v>23130</v>
      </c>
      <c r="AP17" s="10">
        <v>1160</v>
      </c>
      <c r="AQ17" s="11">
        <v>16.5</v>
      </c>
      <c r="AR17" s="10">
        <v>1320</v>
      </c>
      <c r="AS17" s="10">
        <v>146</v>
      </c>
      <c r="AT17" s="12">
        <v>3.95</v>
      </c>
    </row>
    <row r="18" spans="1:46" x14ac:dyDescent="0.3">
      <c r="A18" s="22" t="s">
        <v>52</v>
      </c>
      <c r="B18" s="36">
        <v>6</v>
      </c>
      <c r="C18" s="19" t="s">
        <v>73</v>
      </c>
      <c r="E18" s="96" t="s">
        <v>50</v>
      </c>
      <c r="F18" s="96"/>
      <c r="H18" s="2"/>
      <c r="I18" s="2"/>
      <c r="J18" s="96" t="s">
        <v>53</v>
      </c>
      <c r="K18" s="96"/>
      <c r="L18" s="2"/>
      <c r="M18" s="2"/>
      <c r="O18" s="33">
        <v>400</v>
      </c>
      <c r="P18" s="10">
        <v>198</v>
      </c>
      <c r="Q18" s="10">
        <v>155</v>
      </c>
      <c r="R18" s="10">
        <v>400</v>
      </c>
      <c r="S18" s="10">
        <v>300</v>
      </c>
      <c r="T18" s="11">
        <v>13.5</v>
      </c>
      <c r="U18" s="10">
        <v>24</v>
      </c>
      <c r="V18" s="10">
        <v>51</v>
      </c>
      <c r="W18" s="10">
        <v>298</v>
      </c>
      <c r="X18" s="10">
        <v>57680</v>
      </c>
      <c r="Y18" s="10">
        <v>2880</v>
      </c>
      <c r="Z18" s="11">
        <v>17.100000000000001</v>
      </c>
      <c r="AA18" s="10">
        <v>10820</v>
      </c>
      <c r="AB18" s="10">
        <v>721</v>
      </c>
      <c r="AC18" s="11">
        <v>7.4</v>
      </c>
      <c r="AE18" s="10">
        <v>450</v>
      </c>
      <c r="AF18" s="11">
        <v>98.8</v>
      </c>
      <c r="AG18" s="11">
        <v>77.599999999999994</v>
      </c>
      <c r="AH18" s="10">
        <v>450</v>
      </c>
      <c r="AI18" s="10">
        <v>190</v>
      </c>
      <c r="AJ18" s="11">
        <v>9.4</v>
      </c>
      <c r="AK18" s="10">
        <v>21</v>
      </c>
      <c r="AL18" s="11">
        <v>14.6</v>
      </c>
      <c r="AM18" s="11">
        <v>35.6</v>
      </c>
      <c r="AN18" s="10">
        <v>378</v>
      </c>
      <c r="AO18" s="10">
        <v>33740</v>
      </c>
      <c r="AP18" s="10">
        <v>1500</v>
      </c>
      <c r="AQ18" s="11">
        <v>18.5</v>
      </c>
      <c r="AR18" s="10">
        <v>1680</v>
      </c>
      <c r="AS18" s="10">
        <v>176</v>
      </c>
      <c r="AT18" s="12">
        <v>4.12</v>
      </c>
    </row>
    <row r="19" spans="1:46" ht="20.399999999999999" x14ac:dyDescent="0.3">
      <c r="A19" s="22" t="s">
        <v>90</v>
      </c>
      <c r="B19" s="37">
        <f>ROUND(0.25*(F11/(0.1*(G4-G7))+(F12/2)),2)</f>
        <v>9.01</v>
      </c>
      <c r="C19" s="19" t="s">
        <v>44</v>
      </c>
      <c r="E19" s="106" t="s">
        <v>91</v>
      </c>
      <c r="F19" s="106"/>
      <c r="G19" s="2">
        <f>B19</f>
        <v>9.01</v>
      </c>
      <c r="H19" s="34" t="str">
        <f>IF(G19&lt;=B30,"Safe","Unsafe")</f>
        <v>Safe</v>
      </c>
      <c r="I19" s="2"/>
      <c r="J19" s="96" t="s">
        <v>56</v>
      </c>
      <c r="K19" s="96"/>
      <c r="L19" s="2"/>
      <c r="M19" s="2"/>
      <c r="O19" s="33">
        <v>450</v>
      </c>
      <c r="P19" s="10">
        <v>218</v>
      </c>
      <c r="Q19" s="10">
        <v>171</v>
      </c>
      <c r="R19" s="10">
        <v>450</v>
      </c>
      <c r="S19" s="10">
        <v>300</v>
      </c>
      <c r="T19" s="10">
        <v>14</v>
      </c>
      <c r="U19" s="10">
        <v>26</v>
      </c>
      <c r="V19" s="10">
        <v>53</v>
      </c>
      <c r="W19" s="10">
        <v>344</v>
      </c>
      <c r="X19" s="10">
        <v>79890</v>
      </c>
      <c r="Y19" s="10">
        <v>3550</v>
      </c>
      <c r="Z19" s="11">
        <v>19.100000000000001</v>
      </c>
      <c r="AA19" s="10">
        <v>11720</v>
      </c>
      <c r="AB19" s="10">
        <v>781</v>
      </c>
      <c r="AC19" s="12">
        <v>7.33</v>
      </c>
      <c r="AE19" s="10">
        <v>500</v>
      </c>
      <c r="AF19" s="10">
        <v>116</v>
      </c>
      <c r="AG19" s="11">
        <v>90.7</v>
      </c>
      <c r="AH19" s="10">
        <v>500</v>
      </c>
      <c r="AI19" s="10">
        <v>200</v>
      </c>
      <c r="AJ19" s="11">
        <v>10.199999999999999</v>
      </c>
      <c r="AK19" s="10">
        <v>21</v>
      </c>
      <c r="AL19" s="10">
        <v>16</v>
      </c>
      <c r="AM19" s="10">
        <v>37</v>
      </c>
      <c r="AN19" s="10">
        <v>426</v>
      </c>
      <c r="AO19" s="10">
        <v>48200</v>
      </c>
      <c r="AP19" s="10">
        <v>1930</v>
      </c>
      <c r="AQ19" s="11">
        <v>20.399999999999999</v>
      </c>
      <c r="AR19" s="10">
        <v>2140</v>
      </c>
      <c r="AS19" s="10">
        <v>214</v>
      </c>
      <c r="AT19" s="12">
        <v>4.3099999999999996</v>
      </c>
    </row>
    <row r="20" spans="1:46" ht="20.25" customHeight="1" x14ac:dyDescent="0.3">
      <c r="A20" s="46" t="s">
        <v>45</v>
      </c>
      <c r="B20" s="37">
        <f>2.5*B13*0.1</f>
        <v>5</v>
      </c>
      <c r="C20" s="19" t="s">
        <v>31</v>
      </c>
      <c r="E20" s="106" t="s">
        <v>92</v>
      </c>
      <c r="F20" s="106"/>
      <c r="G20" s="2">
        <f>G19+B34</f>
        <v>13.36</v>
      </c>
      <c r="H20" s="34" t="str">
        <f>IF(G20&lt;=B30,"Safe","Unsafe")</f>
        <v>Safe</v>
      </c>
      <c r="I20" s="2"/>
      <c r="J20" s="2" t="s">
        <v>93</v>
      </c>
      <c r="K20" s="2">
        <f>ROUND(0.85*6.25*(0.1*K7)^2*B6,2)</f>
        <v>46.03</v>
      </c>
      <c r="L20" s="2" t="s">
        <v>44</v>
      </c>
      <c r="M20" s="34" t="str">
        <f>IF(B9&lt;=K20,"Safe","Unsafe")</f>
        <v>Safe</v>
      </c>
      <c r="O20" s="33">
        <v>500</v>
      </c>
      <c r="P20" s="10">
        <v>239</v>
      </c>
      <c r="Q20" s="10">
        <v>187</v>
      </c>
      <c r="R20" s="10">
        <v>500</v>
      </c>
      <c r="S20" s="10">
        <v>300</v>
      </c>
      <c r="T20" s="11">
        <v>14.5</v>
      </c>
      <c r="U20" s="10">
        <v>28</v>
      </c>
      <c r="V20" s="10">
        <v>655</v>
      </c>
      <c r="W20" s="10">
        <v>390</v>
      </c>
      <c r="X20" s="10">
        <v>107200</v>
      </c>
      <c r="Y20" s="10">
        <v>4290</v>
      </c>
      <c r="Z20" s="11">
        <v>21.2</v>
      </c>
      <c r="AA20" s="10">
        <v>12620</v>
      </c>
      <c r="AB20" s="10">
        <v>842</v>
      </c>
      <c r="AC20" s="12">
        <v>7.27</v>
      </c>
      <c r="AE20" s="10">
        <v>550</v>
      </c>
      <c r="AF20" s="10">
        <v>134</v>
      </c>
      <c r="AG20" s="10">
        <v>106</v>
      </c>
      <c r="AH20" s="10">
        <v>550</v>
      </c>
      <c r="AI20" s="10">
        <v>210</v>
      </c>
      <c r="AJ20" s="11">
        <v>11.1</v>
      </c>
      <c r="AK20" s="10">
        <v>24</v>
      </c>
      <c r="AL20" s="11">
        <v>17.2</v>
      </c>
      <c r="AM20" s="11">
        <v>41.2</v>
      </c>
      <c r="AN20" s="10">
        <v>467</v>
      </c>
      <c r="AO20" s="10">
        <v>67120</v>
      </c>
      <c r="AP20" s="10">
        <v>2440</v>
      </c>
      <c r="AQ20" s="11">
        <v>22.3</v>
      </c>
      <c r="AR20" s="10">
        <v>2670</v>
      </c>
      <c r="AS20" s="10">
        <v>254</v>
      </c>
      <c r="AT20" s="12">
        <v>4.45</v>
      </c>
    </row>
    <row r="21" spans="1:46" ht="18.75" customHeight="1" thickBot="1" x14ac:dyDescent="0.35">
      <c r="A21" s="47" t="s">
        <v>46</v>
      </c>
      <c r="B21" s="42">
        <f>4*0.1*B13</f>
        <v>8</v>
      </c>
      <c r="C21" s="27" t="s">
        <v>31</v>
      </c>
      <c r="H21" s="2"/>
      <c r="J21" s="2"/>
      <c r="K21" s="2"/>
      <c r="L21" s="2"/>
      <c r="M21" s="2"/>
      <c r="O21" s="33">
        <v>550</v>
      </c>
      <c r="P21" s="10">
        <v>254</v>
      </c>
      <c r="Q21" s="10">
        <v>199</v>
      </c>
      <c r="R21" s="10">
        <v>550</v>
      </c>
      <c r="S21" s="10">
        <v>300</v>
      </c>
      <c r="T21" s="10">
        <v>15</v>
      </c>
      <c r="U21" s="10">
        <v>29</v>
      </c>
      <c r="V21" s="10">
        <v>56</v>
      </c>
      <c r="W21" s="10">
        <v>438</v>
      </c>
      <c r="X21" s="10">
        <v>136700</v>
      </c>
      <c r="Y21" s="10">
        <v>4970</v>
      </c>
      <c r="Z21" s="11">
        <v>23.2</v>
      </c>
      <c r="AA21" s="10">
        <v>13080</v>
      </c>
      <c r="AB21" s="10">
        <v>872</v>
      </c>
      <c r="AC21" s="12">
        <v>7.17</v>
      </c>
      <c r="AE21" s="10">
        <v>600</v>
      </c>
      <c r="AF21" s="10">
        <v>156</v>
      </c>
      <c r="AG21" s="10">
        <v>122</v>
      </c>
      <c r="AH21" s="10">
        <v>600</v>
      </c>
      <c r="AI21" s="10">
        <v>220</v>
      </c>
      <c r="AJ21" s="10">
        <v>12</v>
      </c>
      <c r="AK21" s="10">
        <v>24</v>
      </c>
      <c r="AL21" s="10">
        <v>19</v>
      </c>
      <c r="AM21" s="10">
        <v>43</v>
      </c>
      <c r="AN21" s="10">
        <v>514</v>
      </c>
      <c r="AO21" s="10">
        <v>92080</v>
      </c>
      <c r="AP21" s="10">
        <v>3070</v>
      </c>
      <c r="AQ21" s="11">
        <v>24.3</v>
      </c>
      <c r="AR21" s="10">
        <v>3390</v>
      </c>
      <c r="AS21" s="10">
        <v>308</v>
      </c>
      <c r="AT21" s="12">
        <v>4.66</v>
      </c>
    </row>
    <row r="22" spans="1:46" ht="18.600000000000001" thickBot="1" x14ac:dyDescent="0.35">
      <c r="E22" s="96" t="s">
        <v>54</v>
      </c>
      <c r="F22" s="96"/>
      <c r="H22" s="2"/>
      <c r="J22" s="96" t="s">
        <v>58</v>
      </c>
      <c r="K22" s="96"/>
      <c r="L22" s="96"/>
      <c r="M22" s="2"/>
      <c r="O22" s="33">
        <v>600</v>
      </c>
      <c r="P22" s="10">
        <v>270</v>
      </c>
      <c r="Q22" s="10">
        <v>212</v>
      </c>
      <c r="R22" s="10">
        <v>600</v>
      </c>
      <c r="S22" s="10">
        <v>300</v>
      </c>
      <c r="T22" s="11">
        <v>15.5</v>
      </c>
      <c r="U22" s="10">
        <v>30</v>
      </c>
      <c r="V22" s="10">
        <v>57</v>
      </c>
      <c r="W22" s="10">
        <v>486</v>
      </c>
      <c r="X22" s="10">
        <v>171000</v>
      </c>
      <c r="Y22" s="10">
        <v>5700</v>
      </c>
      <c r="Z22" s="11">
        <v>25.2</v>
      </c>
      <c r="AA22" s="10">
        <v>13530</v>
      </c>
      <c r="AB22" s="10">
        <v>902</v>
      </c>
      <c r="AC22" s="12">
        <v>7.08</v>
      </c>
    </row>
    <row r="23" spans="1:46" ht="22.5" customHeight="1" x14ac:dyDescent="0.3">
      <c r="A23" s="48" t="s">
        <v>166</v>
      </c>
      <c r="B23" s="40">
        <v>1.2</v>
      </c>
      <c r="C23" s="18" t="s">
        <v>31</v>
      </c>
      <c r="E23" s="2" t="s">
        <v>96</v>
      </c>
      <c r="F23" s="2">
        <f>((F13/B18)/B31)^2+((B19+B34)/(B30))^2</f>
        <v>0.95777719827748586</v>
      </c>
      <c r="G23" s="34" t="str">
        <f>IF(F23&lt;=1,"Safe","Unsafe")</f>
        <v>Safe</v>
      </c>
      <c r="H23" s="2"/>
      <c r="J23" s="2" t="s">
        <v>97</v>
      </c>
      <c r="K23" s="2">
        <f>0.95*(0.1*G7+5*2*0.1*K7)*0.1*K6*B6</f>
        <v>55.45872</v>
      </c>
      <c r="L23" s="2" t="s">
        <v>44</v>
      </c>
      <c r="M23" s="34" t="str">
        <f>IF(B10&lt;=K23,"Safe","Unsafe")</f>
        <v>Safe</v>
      </c>
      <c r="O23" s="33">
        <v>650</v>
      </c>
      <c r="P23" s="10">
        <v>286</v>
      </c>
      <c r="Q23" s="10">
        <v>225</v>
      </c>
      <c r="R23" s="10">
        <v>650</v>
      </c>
      <c r="S23" s="10">
        <v>300</v>
      </c>
      <c r="T23" s="10">
        <v>16</v>
      </c>
      <c r="U23" s="10">
        <v>31</v>
      </c>
      <c r="V23" s="10">
        <v>58</v>
      </c>
      <c r="W23" s="10">
        <v>534</v>
      </c>
      <c r="X23" s="10">
        <v>210600</v>
      </c>
      <c r="Y23" s="10">
        <v>6480</v>
      </c>
      <c r="Z23" s="11">
        <v>27.1</v>
      </c>
      <c r="AA23" s="10">
        <v>13980</v>
      </c>
      <c r="AB23" s="10">
        <v>932</v>
      </c>
      <c r="AC23" s="12">
        <v>6.99</v>
      </c>
    </row>
    <row r="24" spans="1:46" ht="18.75" customHeight="1" thickBot="1" x14ac:dyDescent="0.35">
      <c r="A24" s="47" t="s">
        <v>167</v>
      </c>
      <c r="B24" s="49">
        <v>0.8</v>
      </c>
      <c r="C24" s="27" t="s">
        <v>31</v>
      </c>
      <c r="H24" s="2"/>
      <c r="I24" s="2"/>
      <c r="J24" s="2"/>
      <c r="K24" s="2"/>
      <c r="L24" s="2"/>
      <c r="M24" s="2"/>
      <c r="O24" s="33">
        <v>700</v>
      </c>
      <c r="P24" s="10">
        <v>306</v>
      </c>
      <c r="Q24" s="10">
        <v>241</v>
      </c>
      <c r="R24" s="10">
        <v>700</v>
      </c>
      <c r="S24" s="10">
        <v>300</v>
      </c>
      <c r="T24" s="10">
        <v>17</v>
      </c>
      <c r="U24" s="10">
        <v>32</v>
      </c>
      <c r="V24" s="10">
        <v>59</v>
      </c>
      <c r="W24" s="10">
        <v>582</v>
      </c>
      <c r="X24" s="10">
        <v>256900</v>
      </c>
      <c r="Y24" s="10">
        <v>7340</v>
      </c>
      <c r="Z24" s="10">
        <v>29</v>
      </c>
      <c r="AA24" s="10">
        <v>14440</v>
      </c>
      <c r="AB24" s="10">
        <v>963</v>
      </c>
      <c r="AC24" s="12">
        <v>6.87</v>
      </c>
    </row>
    <row r="25" spans="1:46" ht="18.600000000000001" thickBot="1" x14ac:dyDescent="0.35">
      <c r="E25" s="96" t="s">
        <v>55</v>
      </c>
      <c r="F25" s="96"/>
      <c r="G25" s="96"/>
      <c r="H25" s="2"/>
      <c r="I25" s="2"/>
      <c r="J25" s="96" t="s">
        <v>59</v>
      </c>
      <c r="K25" s="96"/>
      <c r="L25" s="96"/>
      <c r="M25" s="2"/>
      <c r="O25" s="33">
        <v>800</v>
      </c>
      <c r="P25" s="10">
        <v>334</v>
      </c>
      <c r="Q25" s="10">
        <v>262</v>
      </c>
      <c r="R25" s="10">
        <v>800</v>
      </c>
      <c r="S25" s="10">
        <v>300</v>
      </c>
      <c r="T25" s="11">
        <v>17.5</v>
      </c>
      <c r="U25" s="10">
        <v>33</v>
      </c>
      <c r="V25" s="10">
        <v>63</v>
      </c>
      <c r="W25" s="10">
        <v>674</v>
      </c>
      <c r="X25" s="10">
        <v>359100</v>
      </c>
      <c r="Y25" s="10">
        <v>9890</v>
      </c>
      <c r="Z25" s="11">
        <v>32.799999999999997</v>
      </c>
      <c r="AA25" s="10">
        <v>14900</v>
      </c>
      <c r="AB25" s="10">
        <v>994</v>
      </c>
      <c r="AC25" s="12">
        <v>6.68</v>
      </c>
    </row>
    <row r="26" spans="1:46" ht="20.25" customHeight="1" x14ac:dyDescent="0.3">
      <c r="A26" s="48" t="s">
        <v>34</v>
      </c>
      <c r="B26" s="40">
        <v>30</v>
      </c>
      <c r="C26" s="18" t="s">
        <v>31</v>
      </c>
      <c r="E26" s="2" t="s">
        <v>99</v>
      </c>
      <c r="F26" s="2">
        <f>SQRT((4*B38)/(0.5*B27*0.85*B6))</f>
        <v>2.4680970945191469</v>
      </c>
      <c r="G26" s="34" t="str">
        <f>IF(F26&lt;=B28,"Safe","Unsafe")</f>
        <v>Safe</v>
      </c>
      <c r="H26" s="2"/>
      <c r="J26" s="2" t="s">
        <v>97</v>
      </c>
      <c r="K26" s="2">
        <f>0.7*(0.3627*(0.1*K6)^2*(1+3*((0.1*G7+2*B28)/(0.1*K4))*((0.1*K6)/(0.1*K7))^1.5)*SQRT(2100*B6*(K7/K6)))</f>
        <v>37.798617615623947</v>
      </c>
      <c r="L26" s="2" t="s">
        <v>44</v>
      </c>
      <c r="M26" s="34" t="str">
        <f>IF(B10&lt;=K26,"Safe","Unsafe")</f>
        <v>Unsafe</v>
      </c>
      <c r="O26" s="33">
        <v>900</v>
      </c>
      <c r="P26" s="10">
        <v>371</v>
      </c>
      <c r="Q26" s="10">
        <v>291</v>
      </c>
      <c r="R26" s="10">
        <v>900</v>
      </c>
      <c r="S26" s="10">
        <v>300</v>
      </c>
      <c r="T26" s="11">
        <v>18.5</v>
      </c>
      <c r="U26" s="10">
        <v>35</v>
      </c>
      <c r="V26" s="10">
        <v>65</v>
      </c>
      <c r="W26" s="10">
        <v>770</v>
      </c>
      <c r="X26" s="10">
        <v>494100</v>
      </c>
      <c r="Y26" s="10">
        <v>10980</v>
      </c>
      <c r="Z26" s="11">
        <v>36.5</v>
      </c>
      <c r="AA26" s="10">
        <v>15820</v>
      </c>
      <c r="AB26" s="10">
        <v>1050</v>
      </c>
      <c r="AC26" s="12">
        <v>6.53</v>
      </c>
    </row>
    <row r="27" spans="1:46" x14ac:dyDescent="0.3">
      <c r="A27" s="46" t="s">
        <v>32</v>
      </c>
      <c r="B27" s="38">
        <v>15</v>
      </c>
      <c r="C27" s="19" t="s">
        <v>31</v>
      </c>
      <c r="H27" s="2"/>
      <c r="J27" s="2"/>
      <c r="K27" s="2"/>
      <c r="L27" s="2"/>
      <c r="M27" s="2"/>
      <c r="O27" s="33">
        <v>1000</v>
      </c>
      <c r="P27" s="10">
        <v>400</v>
      </c>
      <c r="Q27" s="10">
        <v>314</v>
      </c>
      <c r="R27" s="10">
        <v>1000</v>
      </c>
      <c r="S27" s="10">
        <v>300</v>
      </c>
      <c r="T27" s="10">
        <v>19</v>
      </c>
      <c r="U27" s="10">
        <v>36</v>
      </c>
      <c r="V27" s="10">
        <v>66</v>
      </c>
      <c r="W27" s="10">
        <v>868</v>
      </c>
      <c r="X27" s="10">
        <v>644700</v>
      </c>
      <c r="Y27" s="10">
        <v>12890</v>
      </c>
      <c r="Z27" s="11">
        <v>40.1</v>
      </c>
      <c r="AA27" s="10">
        <v>16280</v>
      </c>
      <c r="AB27" s="10">
        <v>1090</v>
      </c>
      <c r="AC27" s="12">
        <v>6.38</v>
      </c>
    </row>
    <row r="28" spans="1:46" ht="18.75" customHeight="1" thickBot="1" x14ac:dyDescent="0.35">
      <c r="A28" s="47" t="s">
        <v>33</v>
      </c>
      <c r="B28" s="42">
        <f>1.25*B13*0.1</f>
        <v>2.5</v>
      </c>
      <c r="C28" s="27" t="s">
        <v>31</v>
      </c>
      <c r="J28" s="96" t="s">
        <v>60</v>
      </c>
      <c r="K28" s="96"/>
      <c r="L28" s="96"/>
      <c r="M28" s="2"/>
    </row>
    <row r="29" spans="1:46" ht="21" thickBot="1" x14ac:dyDescent="0.35">
      <c r="J29" s="2" t="s">
        <v>101</v>
      </c>
      <c r="K29" s="36">
        <v>20</v>
      </c>
      <c r="L29" s="2" t="s">
        <v>44</v>
      </c>
      <c r="M29" s="2"/>
    </row>
    <row r="30" spans="1:46" ht="20.399999999999999" x14ac:dyDescent="0.3">
      <c r="A30" s="39" t="s">
        <v>98</v>
      </c>
      <c r="B30" s="43">
        <f>ROUND(IF(B17=F11, 0.7*0.66*B15*0.78*((22/7)/4)*(B13/10)^2, 0.7*0.8*B15*0.78*((22/7)/4)*(B13/10)^2),2)</f>
        <v>13.73</v>
      </c>
      <c r="C30" s="18" t="s">
        <v>44</v>
      </c>
      <c r="J30" s="2" t="s">
        <v>61</v>
      </c>
      <c r="K30" s="2" t="e">
        <f>IF(H1=#REF!,F11/(0.1*(G4-G7))," Calc. by urself")</f>
        <v>#REF!</v>
      </c>
      <c r="L30" s="2" t="s">
        <v>44</v>
      </c>
      <c r="M30" s="2"/>
    </row>
    <row r="31" spans="1:46" ht="20.399999999999999" x14ac:dyDescent="0.3">
      <c r="A31" s="22" t="s">
        <v>100</v>
      </c>
      <c r="B31" s="37">
        <f>ROUND(IF(OR(B14=D1,B14=D3,B14=D6),0.6*0.6*B15*((22/7)/4)*(0.1*B13)^2,0.6*0.5*B15*((22/7)/4)*(0.1*B13)^2),2)</f>
        <v>9.43</v>
      </c>
      <c r="C31" s="19" t="s">
        <v>44</v>
      </c>
      <c r="J31" s="2" t="s">
        <v>103</v>
      </c>
      <c r="K31" s="2">
        <f>ROUND(IF(K29&lt;=(0.4*B6*0.1*K4*0.1*K6),0.85*0.1*K4*0.1*K6*0.6*B6,0.85*0.1*K4*0.1*K6*0.6*B6*(1.4-(K29/(B6*0.1*K4*0.1*K6)))),2)</f>
        <v>88.13</v>
      </c>
      <c r="L31" s="2" t="s">
        <v>44</v>
      </c>
      <c r="M31" s="2" t="e">
        <f>IF(K30&lt;=K31,"Safe","Unsafe")</f>
        <v>#REF!</v>
      </c>
    </row>
    <row r="32" spans="1:46" x14ac:dyDescent="0.3">
      <c r="A32" s="22" t="s">
        <v>48</v>
      </c>
      <c r="B32" s="37">
        <f>2.5*0.1*B13</f>
        <v>5</v>
      </c>
      <c r="C32" s="19" t="s">
        <v>31</v>
      </c>
    </row>
    <row r="33" spans="1:13" x14ac:dyDescent="0.3">
      <c r="A33" s="22" t="s">
        <v>9</v>
      </c>
      <c r="B33" s="37">
        <f>2.5*0.1*B13</f>
        <v>5</v>
      </c>
      <c r="C33" s="19" t="s">
        <v>31</v>
      </c>
    </row>
    <row r="34" spans="1:13" ht="18.75" customHeight="1" thickBot="1" x14ac:dyDescent="0.35">
      <c r="A34" s="47" t="s">
        <v>47</v>
      </c>
      <c r="B34" s="42">
        <f>ROUND((((0.5-((0.5*B27*(B28)^4)/(30*B32*(B33^2)*0.78*((22/7)/4)*(0.1*B13)^2)))/(((3*B32)/(4*B33))*((B32/(4*B33))+1)+((0.5*B27*(B28)^4)/(30*B32*(B33^2)*0.78*((22/7)/4)*(0.1*B13)^2)))))*B19,2)</f>
        <v>4.3499999999999996</v>
      </c>
      <c r="C34" s="27" t="s">
        <v>44</v>
      </c>
    </row>
    <row r="35" spans="1:13" ht="18.600000000000001" thickBot="1" x14ac:dyDescent="0.35"/>
    <row r="36" spans="1:13" ht="20.399999999999999" x14ac:dyDescent="0.3">
      <c r="A36" s="39" t="s">
        <v>102</v>
      </c>
      <c r="B36" s="43">
        <f>B34*B32</f>
        <v>21.75</v>
      </c>
      <c r="C36" s="18" t="s">
        <v>51</v>
      </c>
    </row>
    <row r="37" spans="1:13" ht="20.399999999999999" x14ac:dyDescent="0.3">
      <c r="A37" s="22" t="s">
        <v>104</v>
      </c>
      <c r="B37" s="37">
        <f>(B19*B33)-(B34*B32)</f>
        <v>23.299999999999997</v>
      </c>
      <c r="C37" s="19" t="s">
        <v>51</v>
      </c>
    </row>
    <row r="38" spans="1:13" ht="21" thickBot="1" x14ac:dyDescent="0.35">
      <c r="A38" s="41" t="s">
        <v>105</v>
      </c>
      <c r="B38" s="42">
        <f>MAX(B36,B37)</f>
        <v>23.299999999999997</v>
      </c>
      <c r="C38" s="27" t="s">
        <v>51</v>
      </c>
    </row>
    <row r="43" spans="1:13" x14ac:dyDescent="0.3">
      <c r="M43" s="2"/>
    </row>
    <row r="44" spans="1:13" x14ac:dyDescent="0.3">
      <c r="M44" s="2"/>
    </row>
    <row r="45" spans="1:13" x14ac:dyDescent="0.3">
      <c r="M45" s="2"/>
    </row>
    <row r="46" spans="1:13" x14ac:dyDescent="0.3">
      <c r="M46" s="2"/>
    </row>
    <row r="47" spans="1:13" x14ac:dyDescent="0.3">
      <c r="M47" s="2"/>
    </row>
    <row r="48" spans="1:13" x14ac:dyDescent="0.3">
      <c r="M48" s="2"/>
    </row>
    <row r="49" spans="13:13" x14ac:dyDescent="0.3">
      <c r="M49" s="2"/>
    </row>
    <row r="50" spans="13:13" x14ac:dyDescent="0.3">
      <c r="M50" s="2"/>
    </row>
    <row r="51" spans="13:13" x14ac:dyDescent="0.3">
      <c r="M51" s="2"/>
    </row>
  </sheetData>
  <mergeCells count="23">
    <mergeCell ref="J25:L25"/>
    <mergeCell ref="A12:C12"/>
    <mergeCell ref="B5:C5"/>
    <mergeCell ref="AO2:AQ2"/>
    <mergeCell ref="AR2:AT2"/>
    <mergeCell ref="X2:Z2"/>
    <mergeCell ref="AA2:AC2"/>
    <mergeCell ref="J28:L28"/>
    <mergeCell ref="J18:K18"/>
    <mergeCell ref="J19:K19"/>
    <mergeCell ref="E22:F22"/>
    <mergeCell ref="AJ1:AK1"/>
    <mergeCell ref="T1:U1"/>
    <mergeCell ref="AH2:AN2"/>
    <mergeCell ref="F1:G1"/>
    <mergeCell ref="J1:L1"/>
    <mergeCell ref="E16:F17"/>
    <mergeCell ref="E18:F18"/>
    <mergeCell ref="E25:G25"/>
    <mergeCell ref="R2:W2"/>
    <mergeCell ref="E20:F20"/>
    <mergeCell ref="E19:F19"/>
    <mergeCell ref="J22:L22"/>
  </mergeCells>
  <phoneticPr fontId="7" type="noConversion"/>
  <conditionalFormatting sqref="H19:H20 M20 M23 M26 G23 G26 M31">
    <cfRule type="cellIs" dxfId="54" priority="2" operator="equal">
      <formula>"Safe"</formula>
    </cfRule>
  </conditionalFormatting>
  <conditionalFormatting sqref="H19:H20 M20 M23 M26 G23 G26 M31">
    <cfRule type="cellIs" dxfId="53" priority="1" operator="equal">
      <formula>"Unsafe"</formula>
    </cfRule>
  </conditionalFormatting>
  <dataValidations count="5">
    <dataValidation type="list" allowBlank="1" showInputMessage="1" showErrorMessage="1" sqref="B17" xr:uid="{543885B2-6DF1-488B-AD7C-DB8C7B73DB3B}">
      <formula1>$A$1:$A$3</formula1>
    </dataValidation>
    <dataValidation type="list" allowBlank="1" showInputMessage="1" showErrorMessage="1" sqref="B14" xr:uid="{541864E9-E243-4766-B85C-05E8FD6F40D9}">
      <formula1>$D$1:$D$7</formula1>
    </dataValidation>
    <dataValidation type="list" allowBlank="1" showInputMessage="1" showErrorMessage="1" sqref="G3 K3" xr:uid="{4F05A9F3-2CAE-4F1D-B325-BD9B7A928D2D}">
      <formula1>$AE$4:$AE$21</formula1>
    </dataValidation>
    <dataValidation type="list" allowBlank="1" showInputMessage="1" showErrorMessage="1" sqref="H3 L3" xr:uid="{22F2BE7A-1D3E-4B23-9154-27A34E26474B}">
      <formula1>$O$4:$O$27</formula1>
    </dataValidation>
    <dataValidation type="list" allowBlank="1" showInputMessage="1" showErrorMessage="1" sqref="B5" xr:uid="{23C21FCD-9B50-4944-BB1F-71E895F3E3A1}">
      <formula1>$B$1:$B$3</formula1>
    </dataValidation>
  </dataValidations>
  <pageMargins left="0.25" right="0.25" top="0.75" bottom="0.75" header="0.3" footer="0.3"/>
  <pageSetup paperSize="8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A575-7C31-4903-8071-FB74FDC552B2}">
  <sheetPr>
    <pageSetUpPr fitToPage="1"/>
  </sheetPr>
  <dimension ref="A1:AU50"/>
  <sheetViews>
    <sheetView showGridLines="0" tabSelected="1" topLeftCell="A25" zoomScaleNormal="100" zoomScaleSheetLayoutView="40" workbookViewId="0">
      <selection activeCell="J37" sqref="J37"/>
    </sheetView>
  </sheetViews>
  <sheetFormatPr defaultColWidth="9" defaultRowHeight="18" x14ac:dyDescent="0.3"/>
  <cols>
    <col min="1" max="1" width="10.44140625" style="79" bestFit="1" customWidth="1"/>
    <col min="2" max="2" width="9.44140625" style="79" customWidth="1"/>
    <col min="3" max="4" width="9" style="79"/>
    <col min="5" max="5" width="10.109375" style="79" customWidth="1"/>
    <col min="6" max="6" width="9.33203125" style="79" customWidth="1"/>
    <col min="7" max="7" width="10.109375" style="79" bestFit="1" customWidth="1"/>
    <col min="8" max="8" width="9.77734375" style="79" bestFit="1" customWidth="1"/>
    <col min="9" max="10" width="9" style="80"/>
    <col min="11" max="11" width="10.21875" style="80" customWidth="1"/>
    <col min="12" max="12" width="12.44140625" style="80" customWidth="1"/>
    <col min="13" max="14" width="9" style="80"/>
    <col min="15" max="16384" width="9" style="79"/>
  </cols>
  <sheetData>
    <row r="1" spans="1:47" x14ac:dyDescent="0.3">
      <c r="A1" s="78">
        <v>37</v>
      </c>
      <c r="B1" s="78" t="s">
        <v>41</v>
      </c>
      <c r="C1" s="78" t="s">
        <v>136</v>
      </c>
      <c r="D1" s="78">
        <v>4.5999999999999996</v>
      </c>
      <c r="E1" s="111" t="s">
        <v>7</v>
      </c>
      <c r="F1" s="111"/>
      <c r="G1" s="111"/>
      <c r="I1" s="111" t="s">
        <v>140</v>
      </c>
      <c r="J1" s="111"/>
      <c r="K1" s="111"/>
      <c r="N1" s="79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</row>
    <row r="2" spans="1:47" ht="20.399999999999999" x14ac:dyDescent="0.3">
      <c r="A2" s="78">
        <v>44</v>
      </c>
      <c r="B2" s="78" t="s">
        <v>42</v>
      </c>
      <c r="C2" s="78" t="s">
        <v>137</v>
      </c>
      <c r="D2" s="78">
        <v>4.8</v>
      </c>
      <c r="E2" s="79" t="s">
        <v>219</v>
      </c>
      <c r="F2" s="81">
        <v>600</v>
      </c>
      <c r="G2" s="79" t="s">
        <v>72</v>
      </c>
      <c r="I2" s="79" t="s">
        <v>219</v>
      </c>
      <c r="J2" s="81">
        <v>900</v>
      </c>
      <c r="K2" s="79" t="s">
        <v>72</v>
      </c>
      <c r="M2" s="79"/>
      <c r="N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</row>
    <row r="3" spans="1:47" x14ac:dyDescent="0.3">
      <c r="A3" s="78">
        <v>52</v>
      </c>
      <c r="B3" s="78" t="s">
        <v>43</v>
      </c>
      <c r="D3" s="78">
        <v>5.6</v>
      </c>
      <c r="E3" s="79" t="s">
        <v>9</v>
      </c>
      <c r="F3" s="81">
        <v>300</v>
      </c>
      <c r="G3" s="79" t="s">
        <v>72</v>
      </c>
      <c r="I3" s="79" t="s">
        <v>9</v>
      </c>
      <c r="J3" s="81">
        <v>400</v>
      </c>
      <c r="K3" s="79" t="s">
        <v>72</v>
      </c>
      <c r="N3" s="79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</row>
    <row r="4" spans="1:47" x14ac:dyDescent="0.3">
      <c r="D4" s="78">
        <v>5.8</v>
      </c>
      <c r="E4" s="79" t="s">
        <v>10</v>
      </c>
      <c r="F4" s="81">
        <v>8</v>
      </c>
      <c r="G4" s="79" t="s">
        <v>72</v>
      </c>
      <c r="I4" s="79" t="s">
        <v>10</v>
      </c>
      <c r="J4" s="81">
        <v>10</v>
      </c>
      <c r="K4" s="79" t="s">
        <v>72</v>
      </c>
      <c r="N4" s="79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</row>
    <row r="5" spans="1:47" x14ac:dyDescent="0.3">
      <c r="A5" s="79" t="s">
        <v>173</v>
      </c>
      <c r="B5" s="112">
        <v>37</v>
      </c>
      <c r="C5" s="112"/>
      <c r="D5" s="78">
        <v>6.8</v>
      </c>
      <c r="E5" s="79" t="s">
        <v>11</v>
      </c>
      <c r="F5" s="81">
        <v>20</v>
      </c>
      <c r="G5" s="79" t="s">
        <v>72</v>
      </c>
      <c r="I5" s="79" t="s">
        <v>11</v>
      </c>
      <c r="J5" s="81">
        <v>20</v>
      </c>
      <c r="K5" s="79" t="s">
        <v>72</v>
      </c>
      <c r="N5" s="79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</row>
    <row r="6" spans="1:47" ht="20.399999999999999" x14ac:dyDescent="0.3">
      <c r="A6" s="79" t="s">
        <v>177</v>
      </c>
      <c r="B6" s="79">
        <f>IF(B5=A1,2.4,IF(B5=A2,2.8,3.6))</f>
        <v>2.4</v>
      </c>
      <c r="C6" s="79" t="s">
        <v>178</v>
      </c>
      <c r="D6" s="78">
        <v>8.8000000000000007</v>
      </c>
      <c r="I6" s="77" t="s">
        <v>43</v>
      </c>
      <c r="J6" s="81">
        <v>450</v>
      </c>
      <c r="K6" s="79" t="s">
        <v>72</v>
      </c>
      <c r="N6" s="79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</row>
    <row r="7" spans="1:47" ht="20.399999999999999" x14ac:dyDescent="0.3">
      <c r="A7" s="79" t="s">
        <v>180</v>
      </c>
      <c r="B7" s="79">
        <f>IF(B5=A1,3.7,IF(B5=A2,4.4,5.2))</f>
        <v>3.7</v>
      </c>
      <c r="C7" s="79" t="s">
        <v>178</v>
      </c>
      <c r="D7" s="78">
        <v>10.9</v>
      </c>
      <c r="N7" s="79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</row>
    <row r="8" spans="1:47" x14ac:dyDescent="0.3">
      <c r="N8" s="79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</row>
    <row r="9" spans="1:47" ht="20.399999999999999" x14ac:dyDescent="0.3">
      <c r="A9" s="79" t="s">
        <v>183</v>
      </c>
      <c r="B9" s="79">
        <f>ROUND(((G10/(0.1*(F2+F5)))+(G11/2)),2)</f>
        <v>174.47</v>
      </c>
      <c r="C9" s="79" t="s">
        <v>6</v>
      </c>
      <c r="F9" s="82" t="s">
        <v>126</v>
      </c>
      <c r="I9" s="79"/>
      <c r="J9" s="79"/>
      <c r="M9" s="79"/>
      <c r="N9" s="79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</row>
    <row r="10" spans="1:47" ht="20.399999999999999" x14ac:dyDescent="0.3">
      <c r="A10" s="79" t="s">
        <v>186</v>
      </c>
      <c r="B10" s="79">
        <f>ROUND(ABS(-1*(G10/(0.1*(F2+F5)))+(G11/2)),2)</f>
        <v>167.47</v>
      </c>
      <c r="C10" s="79" t="s">
        <v>6</v>
      </c>
      <c r="F10" s="86" t="s">
        <v>227</v>
      </c>
      <c r="G10" s="81">
        <v>10600</v>
      </c>
      <c r="H10" s="79" t="s">
        <v>51</v>
      </c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</row>
    <row r="11" spans="1:47" x14ac:dyDescent="0.35">
      <c r="F11" s="86" t="s">
        <v>5</v>
      </c>
      <c r="G11" s="81">
        <v>7</v>
      </c>
      <c r="H11" s="79" t="s">
        <v>6</v>
      </c>
      <c r="P11" s="83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</row>
    <row r="12" spans="1:47" ht="20.399999999999999" x14ac:dyDescent="0.3">
      <c r="A12" s="111" t="s">
        <v>37</v>
      </c>
      <c r="B12" s="111"/>
      <c r="C12" s="111"/>
      <c r="F12" s="86" t="s">
        <v>228</v>
      </c>
      <c r="G12" s="81">
        <v>15</v>
      </c>
      <c r="H12" s="79" t="s">
        <v>6</v>
      </c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</row>
    <row r="13" spans="1:47" x14ac:dyDescent="0.3">
      <c r="A13" s="84" t="s">
        <v>168</v>
      </c>
      <c r="B13" s="81">
        <v>30</v>
      </c>
      <c r="C13" s="79" t="s">
        <v>72</v>
      </c>
      <c r="D13" s="87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</row>
    <row r="14" spans="1:47" x14ac:dyDescent="0.3">
      <c r="A14" s="79" t="s">
        <v>39</v>
      </c>
      <c r="B14" s="81">
        <v>10.9</v>
      </c>
      <c r="C14" s="79" t="s">
        <v>75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</row>
    <row r="15" spans="1:47" ht="20.399999999999999" x14ac:dyDescent="0.3">
      <c r="A15" s="79" t="s">
        <v>221</v>
      </c>
      <c r="B15" s="79">
        <f>IF(B14=D1,4,IF(B14=D2,4,IF(OR(B14=D3,B14=D4),5,IF(B14=D5,6,IF(B14=D6,8,IF(B14=D7,10))))))</f>
        <v>10</v>
      </c>
      <c r="C15" s="79" t="s">
        <v>178</v>
      </c>
      <c r="G15" s="82"/>
      <c r="I15" s="79"/>
      <c r="J15" s="79"/>
      <c r="M15" s="79"/>
      <c r="N15" s="79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</row>
    <row r="16" spans="1:47" ht="20.399999999999999" x14ac:dyDescent="0.3">
      <c r="A16" s="79" t="s">
        <v>220</v>
      </c>
      <c r="B16" s="79">
        <f>IF(B14=D1,2.4,IF(B14=D2,3.2,IF(B14=D3,3,IF(B14=D4,4,IF(B14=D5,4.8,IF(B14=D6,6.4,IF(B14=D7,9)))))))</f>
        <v>9</v>
      </c>
      <c r="C16" s="79" t="s">
        <v>178</v>
      </c>
      <c r="F16" s="64" t="s">
        <v>49</v>
      </c>
      <c r="G16" s="82"/>
      <c r="I16" s="79"/>
      <c r="J16" s="79"/>
      <c r="K16" s="79"/>
      <c r="L16" s="79"/>
      <c r="M16" s="79"/>
      <c r="N16" s="79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</row>
    <row r="17" spans="1:47" x14ac:dyDescent="0.3">
      <c r="A17" s="79" t="s">
        <v>36</v>
      </c>
      <c r="B17" s="81" t="s">
        <v>43</v>
      </c>
      <c r="C17" s="79" t="s">
        <v>73</v>
      </c>
      <c r="F17" s="110" t="s">
        <v>50</v>
      </c>
      <c r="G17" s="110"/>
      <c r="I17" s="79"/>
      <c r="J17" s="79"/>
      <c r="K17" s="110" t="s">
        <v>231</v>
      </c>
      <c r="L17" s="110"/>
      <c r="M17" s="79"/>
      <c r="N17" s="79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</row>
    <row r="18" spans="1:47" ht="21" thickBot="1" x14ac:dyDescent="0.35">
      <c r="A18" s="79" t="s">
        <v>52</v>
      </c>
      <c r="B18" s="81">
        <v>8</v>
      </c>
      <c r="C18" s="79" t="s">
        <v>73</v>
      </c>
      <c r="F18" s="79" t="s">
        <v>222</v>
      </c>
      <c r="G18" s="79">
        <f>B19</f>
        <v>42.74</v>
      </c>
      <c r="H18" s="79" t="s">
        <v>44</v>
      </c>
      <c r="I18" s="88" t="str">
        <f>IF(G18&lt;=B33,"Safe","Unsafe")</f>
        <v>Unsafe</v>
      </c>
      <c r="J18" s="79"/>
      <c r="K18" s="110" t="s">
        <v>56</v>
      </c>
      <c r="L18" s="110"/>
      <c r="M18" s="79"/>
      <c r="N18" s="79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</row>
    <row r="19" spans="1:47" ht="21" thickBot="1" x14ac:dyDescent="0.35">
      <c r="A19" s="79" t="s">
        <v>223</v>
      </c>
      <c r="B19" s="79">
        <f>ROUND(0.25*(G10/(0.1*(F2+F5))),2)</f>
        <v>42.74</v>
      </c>
      <c r="C19" s="79" t="s">
        <v>44</v>
      </c>
      <c r="F19" s="79" t="s">
        <v>224</v>
      </c>
      <c r="G19" s="79">
        <f>G18+B39</f>
        <v>65.41</v>
      </c>
      <c r="H19" s="79" t="s">
        <v>44</v>
      </c>
      <c r="I19" s="78" t="str">
        <f>IF(G19&lt;=B33,"Safe","Unsafe")</f>
        <v>Unsafe</v>
      </c>
      <c r="J19" s="79"/>
      <c r="K19" s="79" t="s">
        <v>197</v>
      </c>
      <c r="L19" s="79">
        <f>ROUND(0.85*6.25*(0.1*J5)^2*B6,2)</f>
        <v>51</v>
      </c>
      <c r="M19" s="79" t="s">
        <v>44</v>
      </c>
      <c r="N19" s="88" t="str">
        <f>IF(B9&lt;=L19,"Safe","Unsafe")</f>
        <v>Unsafe</v>
      </c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</row>
    <row r="20" spans="1:47" x14ac:dyDescent="0.3">
      <c r="A20" s="79" t="s">
        <v>217</v>
      </c>
      <c r="B20" s="79">
        <f>2.5*B13*0.1</f>
        <v>7.5</v>
      </c>
      <c r="C20" s="79" t="s">
        <v>31</v>
      </c>
      <c r="I20" s="79"/>
      <c r="K20" s="109" t="str">
        <f>IF(N19=C2,"Use Doubler Plate","")</f>
        <v>Use Doubler Plate</v>
      </c>
      <c r="L20" s="109"/>
      <c r="M20" s="109"/>
      <c r="N20" s="109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</row>
    <row r="21" spans="1:47" ht="20.399999999999999" x14ac:dyDescent="0.3">
      <c r="A21" s="79" t="s">
        <v>218</v>
      </c>
      <c r="B21" s="79">
        <f>4*0.1*B13</f>
        <v>12</v>
      </c>
      <c r="C21" s="79" t="s">
        <v>31</v>
      </c>
      <c r="F21" s="110" t="s">
        <v>54</v>
      </c>
      <c r="G21" s="110"/>
      <c r="I21" s="79"/>
      <c r="K21" s="79" t="s">
        <v>225</v>
      </c>
      <c r="L21" s="81">
        <v>3</v>
      </c>
      <c r="M21" s="79" t="s">
        <v>31</v>
      </c>
      <c r="N21" s="79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</row>
    <row r="22" spans="1:47" ht="20.399999999999999" x14ac:dyDescent="0.3">
      <c r="F22" s="79" t="s">
        <v>226</v>
      </c>
      <c r="G22" s="79">
        <f>((G12/B18)/B34)^2+((B19+B39)/(B33))^2</f>
        <v>4.4916793775156316</v>
      </c>
      <c r="H22" s="78" t="str">
        <f>IF(G22&lt;=1,"Safe","Unsafe")</f>
        <v>Unsafe</v>
      </c>
      <c r="I22" s="79"/>
      <c r="K22" s="79" t="s">
        <v>197</v>
      </c>
      <c r="L22" s="79">
        <f>0.85*6.25*(J5*0.1+L21)^2*B6</f>
        <v>318.75</v>
      </c>
      <c r="M22" s="79" t="s">
        <v>44</v>
      </c>
      <c r="N22" s="78" t="str">
        <f>IF(B9&lt;=L22,"Safe","Unsafe")</f>
        <v>Safe</v>
      </c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</row>
    <row r="23" spans="1:47" x14ac:dyDescent="0.3">
      <c r="A23" s="111" t="s">
        <v>230</v>
      </c>
      <c r="B23" s="111"/>
      <c r="C23" s="111"/>
      <c r="I23" s="79"/>
      <c r="J23" s="79"/>
      <c r="K23" s="79"/>
      <c r="L23" s="79"/>
      <c r="M23" s="79"/>
      <c r="N23" s="79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</row>
    <row r="24" spans="1:47" ht="20.399999999999999" x14ac:dyDescent="0.3">
      <c r="A24" s="79" t="s">
        <v>236</v>
      </c>
      <c r="B24" s="81">
        <v>3</v>
      </c>
      <c r="C24" s="79" t="s">
        <v>31</v>
      </c>
      <c r="F24" s="110" t="s">
        <v>55</v>
      </c>
      <c r="G24" s="110"/>
      <c r="H24" s="110"/>
      <c r="I24" s="79"/>
      <c r="J24" s="79"/>
      <c r="K24" s="110" t="s">
        <v>58</v>
      </c>
      <c r="L24" s="110"/>
      <c r="M24" s="79"/>
      <c r="N24" s="79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</row>
    <row r="25" spans="1:47" ht="21" thickBot="1" x14ac:dyDescent="0.35">
      <c r="A25" s="79" t="s">
        <v>237</v>
      </c>
      <c r="B25" s="81">
        <v>3</v>
      </c>
      <c r="C25" s="79" t="s">
        <v>31</v>
      </c>
      <c r="F25" s="79" t="s">
        <v>196</v>
      </c>
      <c r="G25" s="79">
        <f>SQRT((4*MAX(B40,B41))/(0.5*B29*0.85*B6))</f>
        <v>6.6671568447245084</v>
      </c>
      <c r="H25" s="79" t="s">
        <v>31</v>
      </c>
      <c r="I25" s="78"/>
      <c r="K25" s="79" t="s">
        <v>201</v>
      </c>
      <c r="L25" s="79">
        <f>0.95*(0.1*F5+5*0.1*J6)*0.1*J4*B6</f>
        <v>517.55999999999995</v>
      </c>
      <c r="M25" s="79" t="s">
        <v>44</v>
      </c>
      <c r="N25" s="88" t="str">
        <f>IF(B10&lt;=L25,"Safe","Unsafe")</f>
        <v>Safe</v>
      </c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</row>
    <row r="26" spans="1:47" x14ac:dyDescent="0.3">
      <c r="B26" s="81"/>
      <c r="C26" s="81"/>
      <c r="F26" s="79" t="str">
        <f>IF(G25&gt;B30,"tp = ","")</f>
        <v xml:space="preserve">tp = </v>
      </c>
      <c r="G26" s="79">
        <f>IF(G25&gt;B30,G25,"")</f>
        <v>6.6671568447245084</v>
      </c>
      <c r="H26" s="79" t="str">
        <f>IF(G25&gt;B30,"cm","")</f>
        <v>cm</v>
      </c>
      <c r="I26" s="79"/>
      <c r="K26" s="109" t="str">
        <f>IF(N25=C2,"Use Doubler Plate","")</f>
        <v/>
      </c>
      <c r="L26" s="109"/>
      <c r="M26" s="109"/>
      <c r="N26" s="109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</row>
    <row r="27" spans="1:47" ht="20.399999999999999" x14ac:dyDescent="0.3">
      <c r="A27" s="111" t="s">
        <v>215</v>
      </c>
      <c r="B27" s="111"/>
      <c r="C27" s="111"/>
      <c r="K27" s="79" t="s">
        <v>225</v>
      </c>
      <c r="L27" s="81">
        <v>3</v>
      </c>
      <c r="M27" s="79" t="s">
        <v>31</v>
      </c>
      <c r="N27" s="79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</row>
    <row r="28" spans="1:47" ht="20.399999999999999" x14ac:dyDescent="0.3">
      <c r="A28" s="79" t="s">
        <v>155</v>
      </c>
      <c r="B28" s="81">
        <v>70</v>
      </c>
      <c r="C28" s="79" t="s">
        <v>31</v>
      </c>
      <c r="F28" s="110" t="s">
        <v>233</v>
      </c>
      <c r="G28" s="110"/>
      <c r="K28" s="79" t="s">
        <v>201</v>
      </c>
      <c r="L28" s="79">
        <f>0.95*(0.1*F5+5*0.1*J6)*(0.1*J4+L27)*B6</f>
        <v>2070.2399999999998</v>
      </c>
      <c r="M28" s="79" t="s">
        <v>44</v>
      </c>
      <c r="N28" s="78" t="str">
        <f>IF(B10&lt;=L28,"Safe","Unsafe")</f>
        <v>Safe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</row>
    <row r="29" spans="1:47" ht="20.399999999999999" thickBot="1" x14ac:dyDescent="0.35">
      <c r="A29" s="79" t="s">
        <v>156</v>
      </c>
      <c r="B29" s="81">
        <v>15</v>
      </c>
      <c r="C29" s="79" t="s">
        <v>31</v>
      </c>
      <c r="F29" s="79" t="s">
        <v>234</v>
      </c>
      <c r="G29" s="79">
        <f>MAX(B9,B10)/(B24*(0.1*F3+2*0.4*0.1*F3))</f>
        <v>1.0769753086419753</v>
      </c>
      <c r="H29" s="79" t="s">
        <v>178</v>
      </c>
      <c r="I29" s="88" t="str">
        <f>IF(G29&lt;=0.7*0.4*B7,"Safe","Unsafe")</f>
        <v>Unsafe</v>
      </c>
      <c r="K29" s="79"/>
      <c r="L29" s="79"/>
      <c r="M29" s="79"/>
      <c r="N29" s="79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</row>
    <row r="30" spans="1:47" x14ac:dyDescent="0.3">
      <c r="A30" s="79" t="s">
        <v>232</v>
      </c>
      <c r="B30" s="81">
        <v>2</v>
      </c>
      <c r="C30" s="79" t="s">
        <v>31</v>
      </c>
      <c r="F30" s="111" t="str">
        <f>IF(I29="Unsafe","Use full penetration groove weld","")</f>
        <v>Use full penetration groove weld</v>
      </c>
      <c r="G30" s="111"/>
      <c r="H30" s="111"/>
      <c r="I30" s="111"/>
      <c r="K30" s="110" t="s">
        <v>59</v>
      </c>
      <c r="L30" s="110"/>
      <c r="M30" s="79"/>
      <c r="N30" s="79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</row>
    <row r="31" spans="1:47" ht="21" thickBot="1" x14ac:dyDescent="0.4">
      <c r="J31" s="85"/>
      <c r="K31" s="79" t="s">
        <v>201</v>
      </c>
      <c r="L31" s="79">
        <f>0.7*(0.3627*(0.1*J4)^2*(1+3*((0.1*F5+2*B30)/(0.1*J2))*((0.1*J4)/(0.1*J5))^1.5)*SQRT(2100*B6*(J5/J4)))</f>
        <v>27.292793891765765</v>
      </c>
      <c r="M31" s="79" t="s">
        <v>44</v>
      </c>
      <c r="N31" s="88" t="str">
        <f>IF(B10&lt;=L31,"Safe","Unsafe")</f>
        <v>Unsafe</v>
      </c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</row>
    <row r="32" spans="1:47" ht="19.8" x14ac:dyDescent="0.35">
      <c r="A32" s="111" t="s">
        <v>229</v>
      </c>
      <c r="B32" s="111"/>
      <c r="C32" s="111"/>
      <c r="F32" s="79" t="s">
        <v>235</v>
      </c>
      <c r="G32" s="79">
        <f>G12/(B25*(2*0.8*0.1*F2))</f>
        <v>5.2083333333333322E-2</v>
      </c>
      <c r="H32" s="79" t="s">
        <v>178</v>
      </c>
      <c r="I32" s="78" t="str">
        <f>IF(G32&lt;=0.7*0.4*B7,"Safe","Unsafe")</f>
        <v>Safe</v>
      </c>
      <c r="J32" s="85"/>
      <c r="K32" s="109" t="str">
        <f>IF(N31=C2,"Use Doubler Plate","")</f>
        <v>Use Doubler Plate</v>
      </c>
      <c r="L32" s="109"/>
      <c r="M32" s="109"/>
      <c r="N32" s="109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</row>
    <row r="33" spans="1:47" ht="20.399999999999999" x14ac:dyDescent="0.35">
      <c r="A33" s="79" t="s">
        <v>199</v>
      </c>
      <c r="B33" s="79">
        <f>ROUND(IF(B17=G10, 0.7*0.66*B15*0.78*((22/7)/4)*(B13/10)^2, 0.7*0.8*B15*0.78*((22/7)/4)*(B13/10)^2),2)</f>
        <v>30.89</v>
      </c>
      <c r="C33" s="79" t="s">
        <v>44</v>
      </c>
      <c r="J33" s="85"/>
      <c r="K33" s="79" t="s">
        <v>225</v>
      </c>
      <c r="L33" s="81">
        <v>3</v>
      </c>
      <c r="M33" s="79" t="s">
        <v>31</v>
      </c>
      <c r="N33" s="79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</row>
    <row r="34" spans="1:47" ht="20.399999999999999" x14ac:dyDescent="0.35">
      <c r="A34" s="79" t="s">
        <v>200</v>
      </c>
      <c r="B34" s="79">
        <f>ROUND(IF(OR(B14=D1,B14=D3,B14=D6),0.6*0.6*B15*((22/7)/4)*(0.1*B13)^2,0.6*0.5*B15*((22/7)/4)*(0.1*B13)^2),2)</f>
        <v>21.21</v>
      </c>
      <c r="C34" s="79" t="s">
        <v>44</v>
      </c>
      <c r="J34" s="85"/>
      <c r="K34" s="79" t="s">
        <v>201</v>
      </c>
      <c r="L34" s="79">
        <f>0.7*(0.3627*(0.1*J4+L33)^2*(1+3*((0.1*F5+2*B30)/(0.1*J2))*((0.1*J4+L33)/(0.1*J5))^1.5)*SQRT(2100*B6*(J5/(J4+10*L33))))</f>
        <v>319.27900207414018</v>
      </c>
      <c r="M34" s="79" t="s">
        <v>44</v>
      </c>
      <c r="N34" s="78" t="str">
        <f>IF(B10&lt;=L34,"Safe","Unsafe")</f>
        <v>Safe</v>
      </c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</row>
    <row r="35" spans="1:47" x14ac:dyDescent="0.35">
      <c r="J35" s="85"/>
      <c r="K35" s="79"/>
      <c r="L35" s="79"/>
      <c r="M35" s="79"/>
      <c r="N35" s="79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</row>
    <row r="36" spans="1:47" x14ac:dyDescent="0.35">
      <c r="A36" s="111" t="s">
        <v>216</v>
      </c>
      <c r="B36" s="111"/>
      <c r="C36" s="111"/>
      <c r="J36" s="85"/>
      <c r="K36" s="110" t="s">
        <v>60</v>
      </c>
      <c r="L36" s="110"/>
      <c r="M36" s="79"/>
      <c r="N36" s="79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</row>
    <row r="37" spans="1:47" ht="20.399999999999999" x14ac:dyDescent="0.35">
      <c r="A37" s="79" t="s">
        <v>163</v>
      </c>
      <c r="B37" s="79">
        <f>2.5*0.1*B13</f>
        <v>7.5</v>
      </c>
      <c r="C37" s="79" t="s">
        <v>31</v>
      </c>
      <c r="J37" s="85"/>
      <c r="K37" s="79" t="s">
        <v>210</v>
      </c>
      <c r="L37" s="81">
        <v>0</v>
      </c>
      <c r="M37" s="79" t="s">
        <v>44</v>
      </c>
      <c r="N37" s="79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</row>
    <row r="38" spans="1:47" x14ac:dyDescent="0.35">
      <c r="A38" s="79" t="s">
        <v>159</v>
      </c>
      <c r="B38" s="79">
        <f>2.5*0.1*B13</f>
        <v>7.5</v>
      </c>
      <c r="C38" s="79" t="s">
        <v>31</v>
      </c>
      <c r="J38" s="85"/>
      <c r="K38" s="79" t="s">
        <v>61</v>
      </c>
      <c r="L38" s="79">
        <f>G10/(0.1*(F2+F5))</f>
        <v>170.96774193548387</v>
      </c>
      <c r="M38" s="79" t="s">
        <v>44</v>
      </c>
      <c r="N38" s="79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</row>
    <row r="39" spans="1:47" ht="21" thickBot="1" x14ac:dyDescent="0.4">
      <c r="A39" s="79" t="s">
        <v>149</v>
      </c>
      <c r="B39" s="79">
        <f>ROUND((((0.5-((0.5*B29*(B30)^4)/(30*B37*(B38^2)*0.78*((22/7)/4)*(0.1*B13)^2)))/(((3*B37)/(4*B38))*((B37/(4*B38))+1)+((0.5*B29*(B30)^4)/(30*B37*(B38^2)*0.78*((22/7)/4)*(0.1*B13)^2)))))*B19,2)</f>
        <v>22.67</v>
      </c>
      <c r="C39" s="79" t="s">
        <v>44</v>
      </c>
      <c r="J39" s="85"/>
      <c r="K39" s="79" t="s">
        <v>212</v>
      </c>
      <c r="L39" s="79">
        <f>ROUND(IF(L37&lt;=(0.4*B6*0.1*J2*0.1*J4),0.85*0.1*J2*0.1*J4*0.6*B6,0.85*0.1*J2*0.1*J4*0.6*B6*(1.4-(L37/(B6*0.1*J2*0.1*J4)))),2)</f>
        <v>110.16</v>
      </c>
      <c r="M39" s="79" t="s">
        <v>44</v>
      </c>
      <c r="N39" s="88" t="str">
        <f>IF(L38&lt;=L39,"Safe","Unsafe")</f>
        <v>Unsafe</v>
      </c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</row>
    <row r="40" spans="1:47" ht="20.399999999999999" x14ac:dyDescent="0.35">
      <c r="A40" s="79" t="s">
        <v>190</v>
      </c>
      <c r="B40" s="79">
        <f>B39*B37</f>
        <v>170.02500000000001</v>
      </c>
      <c r="C40" s="79" t="s">
        <v>51</v>
      </c>
      <c r="J40" s="85"/>
      <c r="K40" s="109" t="str">
        <f>IF(N39=C2,"Use Doubler Plate","")</f>
        <v>Use Doubler Plate</v>
      </c>
      <c r="L40" s="109"/>
      <c r="M40" s="109"/>
      <c r="N40" s="109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</row>
    <row r="41" spans="1:47" ht="20.399999999999999" x14ac:dyDescent="0.35">
      <c r="A41" s="79" t="s">
        <v>193</v>
      </c>
      <c r="B41" s="79">
        <f>(B19*B38)-(B39*B37)</f>
        <v>150.52500000000001</v>
      </c>
      <c r="C41" s="79" t="s">
        <v>51</v>
      </c>
      <c r="J41" s="85"/>
      <c r="K41" s="79" t="s">
        <v>225</v>
      </c>
      <c r="L41" s="81">
        <v>3</v>
      </c>
      <c r="M41" s="79" t="s">
        <v>31</v>
      </c>
      <c r="N41" s="79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</row>
    <row r="42" spans="1:47" ht="20.399999999999999" x14ac:dyDescent="0.35">
      <c r="J42" s="85"/>
      <c r="K42" s="79" t="s">
        <v>212</v>
      </c>
      <c r="L42" s="79">
        <f>ROUND(IF(L37&lt;=(0.4*B6*0.1*J2*(0.1*J4+L41)),0.85*0.1*J2*(0.1*J4+L41)*0.6*B6,0.85*0.1*J2*(0.1*J4+L41)*0.6*B6*(1.4-(L37/(B6*0.1*J2*(0.1*J4+L41))))),2)</f>
        <v>440.64</v>
      </c>
      <c r="M42" s="79" t="s">
        <v>44</v>
      </c>
      <c r="N42" s="78" t="str">
        <f>IF(L38&lt;=L42,"Safe","Unsafe")</f>
        <v>Safe</v>
      </c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</row>
    <row r="43" spans="1:47" x14ac:dyDescent="0.35">
      <c r="J43" s="85"/>
      <c r="K43" s="85"/>
      <c r="L43" s="85"/>
      <c r="M43" s="85"/>
      <c r="N43" s="79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</row>
    <row r="44" spans="1:47" x14ac:dyDescent="0.35">
      <c r="J44" s="85"/>
      <c r="K44" s="85"/>
      <c r="L44" s="85"/>
      <c r="M44" s="85"/>
      <c r="N44" s="79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</row>
    <row r="45" spans="1:47" x14ac:dyDescent="0.3">
      <c r="N45" s="79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</row>
    <row r="46" spans="1:47" x14ac:dyDescent="0.3">
      <c r="N46" s="79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</row>
    <row r="47" spans="1:47" x14ac:dyDescent="0.3">
      <c r="N47" s="79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</row>
    <row r="48" spans="1:47" x14ac:dyDescent="0.3">
      <c r="N48" s="79"/>
    </row>
    <row r="49" spans="14:14" x14ac:dyDescent="0.3">
      <c r="N49" s="79"/>
    </row>
    <row r="50" spans="14:14" x14ac:dyDescent="0.3">
      <c r="N50" s="79"/>
    </row>
  </sheetData>
  <mergeCells count="22">
    <mergeCell ref="A36:C36"/>
    <mergeCell ref="A23:C23"/>
    <mergeCell ref="I1:K1"/>
    <mergeCell ref="E1:G1"/>
    <mergeCell ref="F30:I30"/>
    <mergeCell ref="F28:G28"/>
    <mergeCell ref="B5:C5"/>
    <mergeCell ref="A12:C12"/>
    <mergeCell ref="A27:C27"/>
    <mergeCell ref="A32:C32"/>
    <mergeCell ref="F17:G17"/>
    <mergeCell ref="F21:G21"/>
    <mergeCell ref="K17:L17"/>
    <mergeCell ref="K18:L18"/>
    <mergeCell ref="K20:N20"/>
    <mergeCell ref="F24:H24"/>
    <mergeCell ref="K40:N40"/>
    <mergeCell ref="K24:L24"/>
    <mergeCell ref="K26:N26"/>
    <mergeCell ref="K30:L30"/>
    <mergeCell ref="K32:N32"/>
    <mergeCell ref="K36:L36"/>
  </mergeCells>
  <conditionalFormatting sqref="I18:I19 H22 I25">
    <cfRule type="cellIs" dxfId="52" priority="14" operator="equal">
      <formula>"Safe"</formula>
    </cfRule>
  </conditionalFormatting>
  <conditionalFormatting sqref="I18:I19 H22 I25">
    <cfRule type="cellIs" dxfId="51" priority="13" operator="equal">
      <formula>"Unsafe"</formula>
    </cfRule>
  </conditionalFormatting>
  <conditionalFormatting sqref="N19 N25 N31 N39">
    <cfRule type="cellIs" dxfId="50" priority="12" operator="equal">
      <formula>"Safe"</formula>
    </cfRule>
  </conditionalFormatting>
  <conditionalFormatting sqref="N19 N25 N31 N39">
    <cfRule type="cellIs" dxfId="49" priority="11" operator="equal">
      <formula>"Unsafe"</formula>
    </cfRule>
  </conditionalFormatting>
  <conditionalFormatting sqref="N22">
    <cfRule type="cellIs" dxfId="48" priority="10" operator="equal">
      <formula>"Safe"</formula>
    </cfRule>
  </conditionalFormatting>
  <conditionalFormatting sqref="N22">
    <cfRule type="cellIs" dxfId="47" priority="9" operator="equal">
      <formula>"Unsafe"</formula>
    </cfRule>
  </conditionalFormatting>
  <conditionalFormatting sqref="N28 N34 N42">
    <cfRule type="cellIs" dxfId="46" priority="7" operator="equal">
      <formula>"unsafe"</formula>
    </cfRule>
    <cfRule type="cellIs" dxfId="45" priority="8" operator="equal">
      <formula>"safe"</formula>
    </cfRule>
  </conditionalFormatting>
  <conditionalFormatting sqref="K20:N20 K26:N26 K32:N32 K40:N40">
    <cfRule type="cellIs" dxfId="44" priority="6" operator="equal">
      <formula>"use doubler plate"</formula>
    </cfRule>
  </conditionalFormatting>
  <conditionalFormatting sqref="I29">
    <cfRule type="cellIs" dxfId="43" priority="5" operator="equal">
      <formula>"Safe"</formula>
    </cfRule>
  </conditionalFormatting>
  <conditionalFormatting sqref="I29">
    <cfRule type="cellIs" dxfId="42" priority="4" operator="equal">
      <formula>"Unsafe"</formula>
    </cfRule>
  </conditionalFormatting>
  <conditionalFormatting sqref="I32">
    <cfRule type="cellIs" dxfId="41" priority="3" operator="equal">
      <formula>"Safe"</formula>
    </cfRule>
  </conditionalFormatting>
  <conditionalFormatting sqref="I32">
    <cfRule type="cellIs" dxfId="40" priority="2" operator="equal">
      <formula>"Unsafe"</formula>
    </cfRule>
  </conditionalFormatting>
  <conditionalFormatting sqref="F30:I30">
    <cfRule type="cellIs" dxfId="39" priority="1" operator="equal">
      <formula>"Use full penetration groove weld"</formula>
    </cfRule>
  </conditionalFormatting>
  <dataValidations count="3">
    <dataValidation type="list" allowBlank="1" showInputMessage="1" showErrorMessage="1" sqref="B17" xr:uid="{99333A8F-61DB-4B3C-97A1-99E6BE0D214C}">
      <formula1>$B$1:$B$3</formula1>
    </dataValidation>
    <dataValidation type="list" allowBlank="1" showInputMessage="1" showErrorMessage="1" sqref="B5" xr:uid="{C9D62034-0BCD-4FA6-A97D-860B55A0188C}">
      <formula1>$A$1:$A$3</formula1>
    </dataValidation>
    <dataValidation type="list" allowBlank="1" showInputMessage="1" showErrorMessage="1" sqref="B14" xr:uid="{B2FA03C4-F809-4E7E-AA0F-B1BFAF5A91E7}">
      <formula1>$D$1:$D$7</formula1>
    </dataValidation>
  </dataValidations>
  <pageMargins left="0.7" right="0.7" top="0.75" bottom="0.75" header="0.3" footer="0.3"/>
  <pageSetup paperSize="8"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6B4B-3798-477F-8E62-9476ADD0864A}">
  <dimension ref="A1:AV46"/>
  <sheetViews>
    <sheetView topLeftCell="A35" workbookViewId="0">
      <selection activeCell="Q12" sqref="Q12"/>
    </sheetView>
  </sheetViews>
  <sheetFormatPr defaultColWidth="9" defaultRowHeight="18" x14ac:dyDescent="0.3"/>
  <cols>
    <col min="1" max="1" width="9" style="2"/>
    <col min="2" max="2" width="10.6640625" style="2" customWidth="1"/>
    <col min="3" max="3" width="7.77734375" style="2" customWidth="1"/>
    <col min="4" max="4" width="6.109375" style="2" customWidth="1"/>
    <col min="5" max="5" width="8.77734375" style="2" customWidth="1"/>
    <col min="6" max="6" width="10.33203125" style="2" customWidth="1"/>
    <col min="7" max="7" width="16.77734375" style="2" customWidth="1"/>
    <col min="8" max="11" width="9" style="2"/>
    <col min="12" max="12" width="10.44140625" style="2" customWidth="1"/>
    <col min="13" max="13" width="16.109375" style="2" customWidth="1"/>
    <col min="14" max="16384" width="9" style="2"/>
  </cols>
  <sheetData>
    <row r="1" spans="1:48" x14ac:dyDescent="0.3">
      <c r="B1" s="2">
        <v>37</v>
      </c>
      <c r="C1" s="2" t="s">
        <v>41</v>
      </c>
      <c r="F1" s="2">
        <v>4.5999999999999996</v>
      </c>
      <c r="H1" s="117" t="s">
        <v>7</v>
      </c>
      <c r="I1" s="117"/>
      <c r="L1" s="113" t="s">
        <v>57</v>
      </c>
      <c r="M1" s="114"/>
      <c r="N1" s="115"/>
      <c r="V1" s="125" t="s">
        <v>35</v>
      </c>
      <c r="W1" s="125"/>
      <c r="AL1" s="125" t="s">
        <v>12</v>
      </c>
      <c r="AM1" s="125"/>
    </row>
    <row r="2" spans="1:48" ht="36" x14ac:dyDescent="0.3">
      <c r="B2" s="2">
        <v>44</v>
      </c>
      <c r="C2" s="2" t="s">
        <v>42</v>
      </c>
      <c r="F2" s="2">
        <v>4.8</v>
      </c>
      <c r="H2" s="6" t="s">
        <v>36</v>
      </c>
      <c r="I2" s="4" t="s">
        <v>12</v>
      </c>
      <c r="L2" s="6" t="s">
        <v>36</v>
      </c>
      <c r="M2" s="4" t="s">
        <v>12</v>
      </c>
      <c r="N2" s="4" t="s">
        <v>35</v>
      </c>
      <c r="Q2" s="7" t="s">
        <v>13</v>
      </c>
      <c r="R2" s="7" t="s">
        <v>14</v>
      </c>
      <c r="S2" s="7" t="s">
        <v>15</v>
      </c>
      <c r="T2" s="105" t="s">
        <v>16</v>
      </c>
      <c r="U2" s="105"/>
      <c r="V2" s="105"/>
      <c r="W2" s="105"/>
      <c r="X2" s="105"/>
      <c r="Y2" s="105"/>
      <c r="Z2" s="105" t="s">
        <v>17</v>
      </c>
      <c r="AA2" s="105"/>
      <c r="AB2" s="105"/>
      <c r="AC2" s="105" t="s">
        <v>18</v>
      </c>
      <c r="AD2" s="105"/>
      <c r="AE2" s="105"/>
      <c r="AG2" s="7" t="s">
        <v>13</v>
      </c>
      <c r="AH2" s="7" t="s">
        <v>14</v>
      </c>
      <c r="AI2" s="7" t="s">
        <v>15</v>
      </c>
      <c r="AJ2" s="98" t="s">
        <v>16</v>
      </c>
      <c r="AK2" s="99"/>
      <c r="AL2" s="99"/>
      <c r="AM2" s="99"/>
      <c r="AN2" s="99"/>
      <c r="AO2" s="99"/>
      <c r="AP2" s="100"/>
      <c r="AQ2" s="98" t="s">
        <v>17</v>
      </c>
      <c r="AR2" s="99"/>
      <c r="AS2" s="100"/>
      <c r="AT2" s="98" t="s">
        <v>18</v>
      </c>
      <c r="AU2" s="99"/>
      <c r="AV2" s="100"/>
    </row>
    <row r="3" spans="1:48" ht="40.200000000000003" x14ac:dyDescent="0.3">
      <c r="B3" s="2">
        <v>52</v>
      </c>
      <c r="C3" s="2" t="s">
        <v>43</v>
      </c>
      <c r="F3" s="2">
        <v>5.6</v>
      </c>
      <c r="H3" s="8" t="s">
        <v>40</v>
      </c>
      <c r="I3" s="3">
        <v>270</v>
      </c>
      <c r="L3" s="8" t="s">
        <v>40</v>
      </c>
      <c r="M3" s="3">
        <v>270</v>
      </c>
      <c r="N3" s="3">
        <v>200</v>
      </c>
      <c r="Q3" s="7" t="s">
        <v>19</v>
      </c>
      <c r="R3" s="7" t="s">
        <v>81</v>
      </c>
      <c r="S3" s="7" t="s">
        <v>21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23</v>
      </c>
      <c r="Y3" s="7" t="s">
        <v>24</v>
      </c>
      <c r="Z3" s="7" t="s">
        <v>82</v>
      </c>
      <c r="AA3" s="7" t="s">
        <v>83</v>
      </c>
      <c r="AB3" s="7" t="s">
        <v>84</v>
      </c>
      <c r="AC3" s="7" t="s">
        <v>85</v>
      </c>
      <c r="AD3" s="7" t="s">
        <v>86</v>
      </c>
      <c r="AE3" s="7" t="s">
        <v>87</v>
      </c>
      <c r="AG3" s="7" t="s">
        <v>19</v>
      </c>
      <c r="AH3" s="7" t="s">
        <v>81</v>
      </c>
      <c r="AI3" s="7" t="s">
        <v>21</v>
      </c>
      <c r="AJ3" s="7" t="s">
        <v>8</v>
      </c>
      <c r="AK3" s="7" t="s">
        <v>9</v>
      </c>
      <c r="AL3" s="7" t="s">
        <v>10</v>
      </c>
      <c r="AM3" s="7" t="s">
        <v>22</v>
      </c>
      <c r="AN3" s="7" t="s">
        <v>11</v>
      </c>
      <c r="AO3" s="7" t="s">
        <v>23</v>
      </c>
      <c r="AP3" s="7" t="s">
        <v>24</v>
      </c>
      <c r="AQ3" s="7" t="s">
        <v>82</v>
      </c>
      <c r="AR3" s="7" t="s">
        <v>83</v>
      </c>
      <c r="AS3" s="7" t="s">
        <v>84</v>
      </c>
      <c r="AT3" s="7" t="s">
        <v>85</v>
      </c>
      <c r="AU3" s="7" t="s">
        <v>86</v>
      </c>
      <c r="AV3" s="7" t="s">
        <v>87</v>
      </c>
    </row>
    <row r="4" spans="1:48" x14ac:dyDescent="0.3">
      <c r="F4" s="2">
        <v>5.8</v>
      </c>
      <c r="H4" s="9" t="s">
        <v>8</v>
      </c>
      <c r="I4" s="3">
        <f>VLOOKUP(I3,table,4,FALSE)</f>
        <v>270</v>
      </c>
      <c r="L4" s="9" t="s">
        <v>8</v>
      </c>
      <c r="M4" s="3">
        <f>VLOOKUP(M3,table,4,FALSE)</f>
        <v>270</v>
      </c>
      <c r="N4" s="3">
        <f>VLOOKUP(N3,table1,4,FALSE)</f>
        <v>200</v>
      </c>
      <c r="Q4" s="10">
        <v>100</v>
      </c>
      <c r="R4" s="10">
        <v>26</v>
      </c>
      <c r="S4" s="11">
        <v>20.399999999999999</v>
      </c>
      <c r="T4" s="10">
        <v>100</v>
      </c>
      <c r="U4" s="10">
        <v>100</v>
      </c>
      <c r="V4" s="10">
        <v>6</v>
      </c>
      <c r="W4" s="10">
        <v>10</v>
      </c>
      <c r="X4" s="10">
        <v>22</v>
      </c>
      <c r="Y4" s="10">
        <v>56</v>
      </c>
      <c r="Z4" s="10">
        <v>450</v>
      </c>
      <c r="AA4" s="11">
        <v>89.9</v>
      </c>
      <c r="AB4" s="12">
        <v>4.16</v>
      </c>
      <c r="AC4" s="10">
        <v>167</v>
      </c>
      <c r="AD4" s="11">
        <v>33.5</v>
      </c>
      <c r="AE4" s="12">
        <v>2.5299999999999998</v>
      </c>
      <c r="AG4" s="10">
        <v>80</v>
      </c>
      <c r="AH4" s="12">
        <v>7.64</v>
      </c>
      <c r="AI4" s="10">
        <v>6</v>
      </c>
      <c r="AJ4" s="10">
        <v>80</v>
      </c>
      <c r="AK4" s="10">
        <v>46</v>
      </c>
      <c r="AL4" s="11">
        <v>3.8</v>
      </c>
      <c r="AM4" s="10">
        <v>5</v>
      </c>
      <c r="AN4" s="11">
        <v>5.2</v>
      </c>
      <c r="AO4" s="11">
        <v>10.199999999999999</v>
      </c>
      <c r="AP4" s="10">
        <v>59</v>
      </c>
      <c r="AQ4" s="11">
        <v>80.099999999999994</v>
      </c>
      <c r="AR4" s="10">
        <v>20</v>
      </c>
      <c r="AS4" s="12">
        <v>3.24</v>
      </c>
      <c r="AT4" s="12">
        <v>8.49</v>
      </c>
      <c r="AU4" s="12">
        <v>3.69</v>
      </c>
      <c r="AV4" s="12">
        <v>1.05</v>
      </c>
    </row>
    <row r="5" spans="1:48" x14ac:dyDescent="0.3">
      <c r="A5" s="141" t="s">
        <v>0</v>
      </c>
      <c r="B5" s="141"/>
      <c r="C5" s="125" t="s">
        <v>1</v>
      </c>
      <c r="D5" s="125"/>
      <c r="E5" s="142" t="s">
        <v>2</v>
      </c>
      <c r="F5" s="2">
        <v>6.8</v>
      </c>
      <c r="H5" s="9" t="s">
        <v>9</v>
      </c>
      <c r="I5" s="3">
        <f>VLOOKUP(I3,table,5,FALSE)</f>
        <v>135</v>
      </c>
      <c r="L5" s="9" t="s">
        <v>9</v>
      </c>
      <c r="M5" s="3">
        <f>VLOOKUP(M3,table,5,FALSE)</f>
        <v>135</v>
      </c>
      <c r="N5" s="3">
        <f>VLOOKUP(N3,table1,5,FALSE)</f>
        <v>200</v>
      </c>
      <c r="Q5" s="10">
        <v>120</v>
      </c>
      <c r="R5" s="10">
        <v>34</v>
      </c>
      <c r="S5" s="11">
        <v>26.7</v>
      </c>
      <c r="T5" s="10">
        <v>120</v>
      </c>
      <c r="U5" s="10">
        <v>120</v>
      </c>
      <c r="V5" s="11">
        <v>6.5</v>
      </c>
      <c r="W5" s="10">
        <v>11</v>
      </c>
      <c r="X5" s="10">
        <v>23</v>
      </c>
      <c r="Y5" s="10">
        <v>74</v>
      </c>
      <c r="Z5" s="10">
        <v>864</v>
      </c>
      <c r="AA5" s="10">
        <v>144</v>
      </c>
      <c r="AB5" s="12">
        <v>5.04</v>
      </c>
      <c r="AC5" s="10">
        <v>318</v>
      </c>
      <c r="AD5" s="11">
        <v>52.9</v>
      </c>
      <c r="AE5" s="12">
        <v>3.06</v>
      </c>
      <c r="AG5" s="10">
        <v>100</v>
      </c>
      <c r="AH5" s="11">
        <v>10.3</v>
      </c>
      <c r="AI5" s="11">
        <v>8.1</v>
      </c>
      <c r="AJ5" s="10">
        <v>100</v>
      </c>
      <c r="AK5" s="10">
        <v>55</v>
      </c>
      <c r="AL5" s="11">
        <v>4.0999999999999996</v>
      </c>
      <c r="AM5" s="10">
        <v>7</v>
      </c>
      <c r="AN5" s="11">
        <v>5.7</v>
      </c>
      <c r="AO5" s="11">
        <v>12.7</v>
      </c>
      <c r="AP5" s="10">
        <v>74</v>
      </c>
      <c r="AQ5" s="10">
        <v>171</v>
      </c>
      <c r="AR5" s="11">
        <v>34.200000000000003</v>
      </c>
      <c r="AS5" s="12">
        <v>4.07</v>
      </c>
      <c r="AT5" s="11">
        <v>15.9</v>
      </c>
      <c r="AU5" s="12">
        <v>5.79</v>
      </c>
      <c r="AV5" s="12">
        <v>1.24</v>
      </c>
    </row>
    <row r="6" spans="1:48" x14ac:dyDescent="0.3">
      <c r="A6" s="141"/>
      <c r="B6" s="141"/>
      <c r="C6" s="125"/>
      <c r="D6" s="125"/>
      <c r="E6" s="143"/>
      <c r="F6" s="2">
        <v>8.8000000000000007</v>
      </c>
      <c r="H6" s="9" t="s">
        <v>10</v>
      </c>
      <c r="I6" s="3">
        <f>VLOOKUP(I3,table,6,FALSE)</f>
        <v>6.6</v>
      </c>
      <c r="L6" s="9" t="s">
        <v>10</v>
      </c>
      <c r="M6" s="3">
        <f>VLOOKUP(M3,table,6,FALSE)</f>
        <v>6.6</v>
      </c>
      <c r="N6" s="3">
        <f>VLOOKUP(N3,table1,6,FALSE)</f>
        <v>9</v>
      </c>
      <c r="Q6" s="10">
        <v>140</v>
      </c>
      <c r="R6" s="10">
        <v>43</v>
      </c>
      <c r="S6" s="11">
        <v>33.700000000000003</v>
      </c>
      <c r="T6" s="10">
        <v>140</v>
      </c>
      <c r="U6" s="10">
        <v>140</v>
      </c>
      <c r="V6" s="10">
        <v>7</v>
      </c>
      <c r="W6" s="10">
        <v>12</v>
      </c>
      <c r="X6" s="10">
        <v>24</v>
      </c>
      <c r="Y6" s="10">
        <v>92</v>
      </c>
      <c r="Z6" s="10">
        <v>1510</v>
      </c>
      <c r="AA6" s="10">
        <v>216</v>
      </c>
      <c r="AB6" s="12">
        <v>5.93</v>
      </c>
      <c r="AC6" s="10">
        <v>550</v>
      </c>
      <c r="AD6" s="11">
        <v>78.5</v>
      </c>
      <c r="AE6" s="12">
        <v>3.58</v>
      </c>
      <c r="AG6" s="10">
        <v>120</v>
      </c>
      <c r="AH6" s="11">
        <v>13.2</v>
      </c>
      <c r="AI6" s="11">
        <v>10.4</v>
      </c>
      <c r="AJ6" s="10">
        <v>120</v>
      </c>
      <c r="AK6" s="10">
        <v>64</v>
      </c>
      <c r="AL6" s="11">
        <v>4.4000000000000004</v>
      </c>
      <c r="AM6" s="10">
        <v>7</v>
      </c>
      <c r="AN6" s="11">
        <v>6.3</v>
      </c>
      <c r="AO6" s="11">
        <v>13.3</v>
      </c>
      <c r="AP6" s="10">
        <v>93</v>
      </c>
      <c r="AQ6" s="10">
        <v>318</v>
      </c>
      <c r="AR6" s="10">
        <v>53</v>
      </c>
      <c r="AS6" s="11">
        <v>4.9000000000000004</v>
      </c>
      <c r="AT6" s="11">
        <v>27.7</v>
      </c>
      <c r="AU6" s="12">
        <v>8.65</v>
      </c>
      <c r="AV6" s="12">
        <v>1.45</v>
      </c>
    </row>
    <row r="7" spans="1:48" x14ac:dyDescent="0.3">
      <c r="A7" s="123" t="s">
        <v>3</v>
      </c>
      <c r="B7" s="124"/>
      <c r="C7" s="126">
        <v>37</v>
      </c>
      <c r="D7" s="126"/>
      <c r="E7" s="126"/>
      <c r="F7" s="2">
        <v>10.9</v>
      </c>
      <c r="H7" s="9" t="s">
        <v>11</v>
      </c>
      <c r="I7" s="3">
        <f>VLOOKUP(I3,table,8,FALSE)</f>
        <v>10.199999999999999</v>
      </c>
      <c r="L7" s="9" t="s">
        <v>11</v>
      </c>
      <c r="M7" s="3">
        <f>VLOOKUP(M3,table,8,FALSE)</f>
        <v>10.199999999999999</v>
      </c>
      <c r="N7" s="3">
        <f>VLOOKUP(N3,table1,7,FALSE)</f>
        <v>15</v>
      </c>
      <c r="Q7" s="10">
        <v>160</v>
      </c>
      <c r="R7" s="11">
        <v>54.3</v>
      </c>
      <c r="S7" s="11">
        <v>42.6</v>
      </c>
      <c r="T7" s="10">
        <v>160</v>
      </c>
      <c r="U7" s="10">
        <v>160</v>
      </c>
      <c r="V7" s="10">
        <v>8</v>
      </c>
      <c r="W7" s="10">
        <v>13</v>
      </c>
      <c r="X7" s="10">
        <v>28</v>
      </c>
      <c r="Y7" s="10">
        <v>104</v>
      </c>
      <c r="Z7" s="10">
        <v>2490</v>
      </c>
      <c r="AA7" s="10">
        <v>311</v>
      </c>
      <c r="AB7" s="12">
        <v>6.78</v>
      </c>
      <c r="AC7" s="10">
        <v>889</v>
      </c>
      <c r="AD7" s="10">
        <v>111</v>
      </c>
      <c r="AE7" s="12">
        <v>4.05</v>
      </c>
      <c r="AG7" s="10">
        <v>140</v>
      </c>
      <c r="AH7" s="11">
        <v>16.399999999999999</v>
      </c>
      <c r="AI7" s="11">
        <v>12.9</v>
      </c>
      <c r="AJ7" s="10">
        <v>140</v>
      </c>
      <c r="AK7" s="10">
        <v>73</v>
      </c>
      <c r="AL7" s="11">
        <v>4.7</v>
      </c>
      <c r="AM7" s="10">
        <v>7</v>
      </c>
      <c r="AN7" s="11">
        <v>6.9</v>
      </c>
      <c r="AO7" s="11">
        <v>13.9</v>
      </c>
      <c r="AP7" s="10">
        <v>112</v>
      </c>
      <c r="AQ7" s="10">
        <v>541</v>
      </c>
      <c r="AR7" s="11">
        <v>77.3</v>
      </c>
      <c r="AS7" s="12">
        <v>5.74</v>
      </c>
      <c r="AT7" s="11">
        <v>44.9</v>
      </c>
      <c r="AU7" s="11">
        <v>12.3</v>
      </c>
      <c r="AV7" s="12">
        <v>1.65</v>
      </c>
    </row>
    <row r="8" spans="1:48" ht="20.399999999999999" x14ac:dyDescent="0.3">
      <c r="A8" s="123" t="s">
        <v>76</v>
      </c>
      <c r="B8" s="124"/>
      <c r="C8" s="97">
        <f>IF(C7=B1,2.4,IF(C7=B2,2.8,3.6))</f>
        <v>2.4</v>
      </c>
      <c r="D8" s="97"/>
      <c r="E8" s="3" t="s">
        <v>78</v>
      </c>
      <c r="J8" s="1"/>
      <c r="K8" s="1"/>
      <c r="L8" s="13" t="s">
        <v>43</v>
      </c>
      <c r="M8" s="3">
        <f>VLOOKUP(M3,table,9,FALSE)</f>
        <v>25.2</v>
      </c>
      <c r="N8" s="3">
        <f>VLOOKUP(N3,table1,8,FALSE)</f>
        <v>33</v>
      </c>
      <c r="Q8" s="10">
        <v>180</v>
      </c>
      <c r="R8" s="11">
        <v>65.3</v>
      </c>
      <c r="S8" s="11">
        <v>51.2</v>
      </c>
      <c r="T8" s="10">
        <v>180</v>
      </c>
      <c r="U8" s="10">
        <v>180</v>
      </c>
      <c r="V8" s="11">
        <v>8.5</v>
      </c>
      <c r="W8" s="10">
        <v>14</v>
      </c>
      <c r="X8" s="10">
        <v>29</v>
      </c>
      <c r="Y8" s="10">
        <v>122</v>
      </c>
      <c r="Z8" s="10">
        <v>3830</v>
      </c>
      <c r="AA8" s="10">
        <v>426</v>
      </c>
      <c r="AB8" s="12">
        <v>7.66</v>
      </c>
      <c r="AC8" s="10">
        <v>1360</v>
      </c>
      <c r="AD8" s="10">
        <v>151</v>
      </c>
      <c r="AE8" s="12">
        <v>4.57</v>
      </c>
      <c r="AG8" s="10">
        <v>160</v>
      </c>
      <c r="AH8" s="11">
        <v>20.100000000000001</v>
      </c>
      <c r="AI8" s="11">
        <v>15.8</v>
      </c>
      <c r="AJ8" s="10">
        <v>160</v>
      </c>
      <c r="AK8" s="10">
        <v>82</v>
      </c>
      <c r="AL8" s="10">
        <v>5</v>
      </c>
      <c r="AM8" s="10">
        <v>9</v>
      </c>
      <c r="AN8" s="11">
        <v>7.4</v>
      </c>
      <c r="AO8" s="11">
        <v>16.399999999999999</v>
      </c>
      <c r="AP8" s="10">
        <v>127</v>
      </c>
      <c r="AQ8" s="10">
        <v>869</v>
      </c>
      <c r="AR8" s="10">
        <v>109</v>
      </c>
      <c r="AS8" s="12">
        <v>6.58</v>
      </c>
      <c r="AT8" s="11">
        <v>68.3</v>
      </c>
      <c r="AU8" s="11">
        <v>16.7</v>
      </c>
      <c r="AV8" s="12">
        <v>1.84</v>
      </c>
    </row>
    <row r="9" spans="1:48" ht="20.399999999999999" x14ac:dyDescent="0.3">
      <c r="A9" s="123" t="s">
        <v>77</v>
      </c>
      <c r="B9" s="124"/>
      <c r="C9" s="97">
        <f>IF(C7=B1,3.7,IF(C7=B2,4.4,5.2))</f>
        <v>3.7</v>
      </c>
      <c r="D9" s="97"/>
      <c r="E9" s="3" t="s">
        <v>78</v>
      </c>
      <c r="Q9" s="10">
        <v>200</v>
      </c>
      <c r="R9" s="11">
        <v>78.099999999999994</v>
      </c>
      <c r="S9" s="11">
        <v>61.3</v>
      </c>
      <c r="T9" s="10">
        <v>200</v>
      </c>
      <c r="U9" s="10">
        <v>200</v>
      </c>
      <c r="V9" s="10">
        <v>9</v>
      </c>
      <c r="W9" s="10">
        <v>15</v>
      </c>
      <c r="X9" s="10">
        <v>33</v>
      </c>
      <c r="Y9" s="10">
        <v>134</v>
      </c>
      <c r="Z9" s="10">
        <v>5700</v>
      </c>
      <c r="AA9" s="10">
        <v>570</v>
      </c>
      <c r="AB9" s="12">
        <v>8.5399999999999991</v>
      </c>
      <c r="AC9" s="10">
        <v>2000</v>
      </c>
      <c r="AD9" s="10">
        <v>200</v>
      </c>
      <c r="AE9" s="12">
        <v>5.07</v>
      </c>
      <c r="AG9" s="10">
        <v>180</v>
      </c>
      <c r="AH9" s="11">
        <v>23.9</v>
      </c>
      <c r="AI9" s="11">
        <v>18.8</v>
      </c>
      <c r="AJ9" s="10">
        <v>180</v>
      </c>
      <c r="AK9" s="10">
        <v>91</v>
      </c>
      <c r="AL9" s="11">
        <v>5.3</v>
      </c>
      <c r="AM9" s="10">
        <v>9</v>
      </c>
      <c r="AN9" s="10">
        <v>8</v>
      </c>
      <c r="AO9" s="10">
        <v>17</v>
      </c>
      <c r="AP9" s="10">
        <v>146</v>
      </c>
      <c r="AQ9" s="10">
        <v>1320</v>
      </c>
      <c r="AR9" s="10">
        <v>146</v>
      </c>
      <c r="AS9" s="12">
        <v>7.42</v>
      </c>
      <c r="AT9" s="10">
        <v>101</v>
      </c>
      <c r="AU9" s="11">
        <v>22.2</v>
      </c>
      <c r="AV9" s="12">
        <v>2.0499999999999998</v>
      </c>
    </row>
    <row r="10" spans="1:48" ht="20.399999999999999" x14ac:dyDescent="0.3">
      <c r="A10" s="123" t="s">
        <v>88</v>
      </c>
      <c r="B10" s="124"/>
      <c r="C10" s="97">
        <f>ROUND(((H11/(0.1*(I4-I7)))+(H12/2)),2)</f>
        <v>49.04</v>
      </c>
      <c r="D10" s="97"/>
      <c r="E10" s="3" t="s">
        <v>6</v>
      </c>
      <c r="G10" s="30" t="s">
        <v>126</v>
      </c>
      <c r="Q10" s="10">
        <v>220</v>
      </c>
      <c r="R10" s="10">
        <v>91</v>
      </c>
      <c r="S10" s="11">
        <v>71.5</v>
      </c>
      <c r="T10" s="10">
        <v>220</v>
      </c>
      <c r="U10" s="10">
        <v>220</v>
      </c>
      <c r="V10" s="11">
        <v>9.5</v>
      </c>
      <c r="W10" s="10">
        <v>16</v>
      </c>
      <c r="X10" s="10">
        <v>34</v>
      </c>
      <c r="Y10" s="10">
        <v>152</v>
      </c>
      <c r="Z10" s="10">
        <v>8090</v>
      </c>
      <c r="AA10" s="10">
        <v>736</v>
      </c>
      <c r="AB10" s="12">
        <v>9.43</v>
      </c>
      <c r="AC10" s="10">
        <v>2840</v>
      </c>
      <c r="AD10" s="10">
        <v>258</v>
      </c>
      <c r="AE10" s="12">
        <v>5.59</v>
      </c>
      <c r="AG10" s="10">
        <v>200</v>
      </c>
      <c r="AH10" s="11">
        <v>28.5</v>
      </c>
      <c r="AI10" s="11">
        <v>22.4</v>
      </c>
      <c r="AJ10" s="10">
        <v>200</v>
      </c>
      <c r="AK10" s="10">
        <v>100</v>
      </c>
      <c r="AL10" s="11">
        <v>5.6</v>
      </c>
      <c r="AM10" s="10">
        <v>12</v>
      </c>
      <c r="AN10" s="11">
        <v>8.5</v>
      </c>
      <c r="AO10" s="11">
        <v>20.5</v>
      </c>
      <c r="AP10" s="10">
        <v>159</v>
      </c>
      <c r="AQ10" s="10">
        <v>1940</v>
      </c>
      <c r="AR10" s="10">
        <v>194</v>
      </c>
      <c r="AS10" s="12">
        <v>8.26</v>
      </c>
      <c r="AT10" s="10">
        <v>142</v>
      </c>
      <c r="AU10" s="11">
        <v>28.5</v>
      </c>
      <c r="AV10" s="12">
        <v>2.2400000000000002</v>
      </c>
    </row>
    <row r="11" spans="1:48" ht="20.399999999999999" x14ac:dyDescent="0.3">
      <c r="A11" s="123" t="s">
        <v>89</v>
      </c>
      <c r="B11" s="124"/>
      <c r="C11" s="97">
        <f>ROUND(ABS(-1*(H11/(0.1*(I4-I7)))+(H12/2)),2)</f>
        <v>50.04</v>
      </c>
      <c r="D11" s="97"/>
      <c r="E11" s="3" t="s">
        <v>6</v>
      </c>
      <c r="G11" s="29" t="s">
        <v>79</v>
      </c>
      <c r="H11" s="5">
        <v>1287</v>
      </c>
      <c r="I11" s="3" t="s">
        <v>4</v>
      </c>
      <c r="Q11" s="10">
        <v>240</v>
      </c>
      <c r="R11" s="10">
        <v>106</v>
      </c>
      <c r="S11" s="11">
        <v>83.2</v>
      </c>
      <c r="T11" s="10">
        <v>240</v>
      </c>
      <c r="U11" s="10">
        <v>240</v>
      </c>
      <c r="V11" s="10">
        <v>10</v>
      </c>
      <c r="W11" s="10">
        <v>17</v>
      </c>
      <c r="X11" s="10">
        <v>38</v>
      </c>
      <c r="Y11" s="10">
        <v>164</v>
      </c>
      <c r="Z11" s="10">
        <v>11260</v>
      </c>
      <c r="AA11" s="10">
        <v>938</v>
      </c>
      <c r="AB11" s="11">
        <v>10.3</v>
      </c>
      <c r="AC11" s="10">
        <v>3920</v>
      </c>
      <c r="AD11" s="10">
        <v>327</v>
      </c>
      <c r="AE11" s="12">
        <v>6.08</v>
      </c>
      <c r="AG11" s="10">
        <v>220</v>
      </c>
      <c r="AH11" s="11">
        <v>33.4</v>
      </c>
      <c r="AI11" s="11">
        <v>26.2</v>
      </c>
      <c r="AJ11" s="10">
        <v>220</v>
      </c>
      <c r="AK11" s="10">
        <v>110</v>
      </c>
      <c r="AL11" s="11">
        <v>5.9</v>
      </c>
      <c r="AM11" s="10">
        <v>12</v>
      </c>
      <c r="AN11" s="11">
        <v>9.1999999999999993</v>
      </c>
      <c r="AO11" s="11">
        <v>21.2</v>
      </c>
      <c r="AP11" s="10">
        <v>177</v>
      </c>
      <c r="AQ11" s="10">
        <v>2770</v>
      </c>
      <c r="AR11" s="10">
        <v>252</v>
      </c>
      <c r="AS11" s="12">
        <v>9.11</v>
      </c>
      <c r="AT11" s="10">
        <v>205</v>
      </c>
      <c r="AU11" s="11">
        <v>37.299999999999997</v>
      </c>
      <c r="AV11" s="12">
        <v>2.48</v>
      </c>
    </row>
    <row r="12" spans="1:48" x14ac:dyDescent="0.3">
      <c r="A12" s="133" t="s">
        <v>37</v>
      </c>
      <c r="B12" s="134"/>
      <c r="C12" s="14" t="s">
        <v>38</v>
      </c>
      <c r="D12" s="5">
        <v>16</v>
      </c>
      <c r="E12" s="3" t="s">
        <v>72</v>
      </c>
      <c r="G12" s="29" t="s">
        <v>5</v>
      </c>
      <c r="H12" s="5">
        <v>-1</v>
      </c>
      <c r="I12" s="3" t="s">
        <v>6</v>
      </c>
      <c r="Q12" s="62">
        <v>260</v>
      </c>
      <c r="R12" s="10">
        <v>118</v>
      </c>
      <c r="S12" s="10">
        <v>93</v>
      </c>
      <c r="T12" s="10">
        <v>260</v>
      </c>
      <c r="U12" s="10">
        <v>260</v>
      </c>
      <c r="V12" s="10">
        <v>10</v>
      </c>
      <c r="W12" s="11">
        <v>17.5</v>
      </c>
      <c r="X12" s="11">
        <v>41.5</v>
      </c>
      <c r="Y12" s="10">
        <v>177</v>
      </c>
      <c r="Z12" s="10">
        <v>14920</v>
      </c>
      <c r="AA12" s="10">
        <v>1150</v>
      </c>
      <c r="AB12" s="11">
        <v>11.2</v>
      </c>
      <c r="AC12" s="10">
        <v>5130</v>
      </c>
      <c r="AD12" s="10">
        <v>395</v>
      </c>
      <c r="AE12" s="12">
        <v>6.58</v>
      </c>
      <c r="AG12" s="10">
        <v>240</v>
      </c>
      <c r="AH12" s="11">
        <v>39.1</v>
      </c>
      <c r="AI12" s="11">
        <v>30.7</v>
      </c>
      <c r="AJ12" s="10">
        <v>240</v>
      </c>
      <c r="AK12" s="10">
        <v>120</v>
      </c>
      <c r="AL12" s="11">
        <v>6.2</v>
      </c>
      <c r="AM12" s="10">
        <v>15</v>
      </c>
      <c r="AN12" s="11">
        <v>9.8000000000000007</v>
      </c>
      <c r="AO12" s="11">
        <v>24.8</v>
      </c>
      <c r="AP12" s="10">
        <v>190</v>
      </c>
      <c r="AQ12" s="10">
        <v>3890</v>
      </c>
      <c r="AR12" s="10">
        <v>324</v>
      </c>
      <c r="AS12" s="12">
        <v>9.9700000000000006</v>
      </c>
      <c r="AT12" s="10">
        <v>284</v>
      </c>
      <c r="AU12" s="11">
        <v>47.3</v>
      </c>
      <c r="AV12" s="12">
        <v>2.69</v>
      </c>
    </row>
    <row r="13" spans="1:48" ht="20.399999999999999" x14ac:dyDescent="0.3">
      <c r="A13" s="135"/>
      <c r="B13" s="136"/>
      <c r="C13" s="3" t="s">
        <v>39</v>
      </c>
      <c r="D13" s="5">
        <v>10.9</v>
      </c>
      <c r="E13" s="3" t="s">
        <v>73</v>
      </c>
      <c r="G13" s="29" t="s">
        <v>80</v>
      </c>
      <c r="H13" s="5">
        <v>5.92</v>
      </c>
      <c r="I13" s="3" t="s">
        <v>6</v>
      </c>
      <c r="Q13" s="10">
        <v>280</v>
      </c>
      <c r="R13" s="10">
        <v>131</v>
      </c>
      <c r="S13" s="10">
        <v>103</v>
      </c>
      <c r="T13" s="10">
        <v>280</v>
      </c>
      <c r="U13" s="10">
        <v>280</v>
      </c>
      <c r="V13" s="11">
        <v>10.5</v>
      </c>
      <c r="W13" s="10">
        <v>18</v>
      </c>
      <c r="X13" s="10">
        <v>42</v>
      </c>
      <c r="Y13" s="10">
        <v>196</v>
      </c>
      <c r="Z13" s="10">
        <v>19270</v>
      </c>
      <c r="AA13" s="10">
        <v>1380</v>
      </c>
      <c r="AB13" s="11">
        <v>12.1</v>
      </c>
      <c r="AC13" s="10">
        <v>6590</v>
      </c>
      <c r="AD13" s="10">
        <v>471</v>
      </c>
      <c r="AE13" s="12">
        <v>7.09</v>
      </c>
      <c r="AG13" s="10">
        <v>270</v>
      </c>
      <c r="AH13" s="11">
        <v>45.9</v>
      </c>
      <c r="AI13" s="11">
        <v>36.1</v>
      </c>
      <c r="AJ13" s="10">
        <v>270</v>
      </c>
      <c r="AK13" s="10">
        <v>135</v>
      </c>
      <c r="AL13" s="11">
        <v>6.6</v>
      </c>
      <c r="AM13" s="10">
        <v>15</v>
      </c>
      <c r="AN13" s="11">
        <v>10.199999999999999</v>
      </c>
      <c r="AO13" s="11">
        <v>25.2</v>
      </c>
      <c r="AP13" s="10">
        <v>219</v>
      </c>
      <c r="AQ13" s="10">
        <v>5790</v>
      </c>
      <c r="AR13" s="10">
        <v>429</v>
      </c>
      <c r="AS13" s="11">
        <v>11.2</v>
      </c>
      <c r="AT13" s="10">
        <v>420</v>
      </c>
      <c r="AU13" s="11">
        <v>62.2</v>
      </c>
      <c r="AV13" s="12">
        <v>3.02</v>
      </c>
    </row>
    <row r="14" spans="1:48" ht="20.399999999999999" x14ac:dyDescent="0.3">
      <c r="A14" s="135"/>
      <c r="B14" s="136"/>
      <c r="C14" s="3" t="s">
        <v>77</v>
      </c>
      <c r="D14" s="3">
        <f>IF(D13=F1,4,IF(D13=F2,4,IF(OR(D13=F3,D13=F4),5,IF(D13=F5,6,IF(D13=F6,8,IF(D13=F7,10))))))</f>
        <v>10</v>
      </c>
      <c r="E14" s="3" t="s">
        <v>78</v>
      </c>
      <c r="Q14" s="10">
        <v>300</v>
      </c>
      <c r="R14" s="10">
        <v>149</v>
      </c>
      <c r="S14" s="10">
        <v>117</v>
      </c>
      <c r="T14" s="10">
        <v>300</v>
      </c>
      <c r="U14" s="10">
        <v>300</v>
      </c>
      <c r="V14" s="10">
        <v>11</v>
      </c>
      <c r="W14" s="10">
        <v>19</v>
      </c>
      <c r="X14" s="10">
        <v>46</v>
      </c>
      <c r="Y14" s="10">
        <v>208</v>
      </c>
      <c r="Z14" s="10">
        <v>25170</v>
      </c>
      <c r="AA14" s="10">
        <v>1680</v>
      </c>
      <c r="AB14" s="10">
        <v>13</v>
      </c>
      <c r="AC14" s="10">
        <v>8560</v>
      </c>
      <c r="AD14" s="10">
        <v>571</v>
      </c>
      <c r="AE14" s="12">
        <v>7.58</v>
      </c>
      <c r="AG14" s="10">
        <v>300</v>
      </c>
      <c r="AH14" s="11">
        <v>53.8</v>
      </c>
      <c r="AI14" s="11">
        <v>42.2</v>
      </c>
      <c r="AJ14" s="10">
        <v>300</v>
      </c>
      <c r="AK14" s="10">
        <v>150</v>
      </c>
      <c r="AL14" s="11">
        <v>7.1</v>
      </c>
      <c r="AM14" s="10">
        <v>15</v>
      </c>
      <c r="AN14" s="11">
        <v>10.7</v>
      </c>
      <c r="AO14" s="11">
        <v>25.7</v>
      </c>
      <c r="AP14" s="10">
        <v>248</v>
      </c>
      <c r="AQ14" s="10">
        <v>8360</v>
      </c>
      <c r="AR14" s="10">
        <v>557</v>
      </c>
      <c r="AS14" s="11">
        <v>12.5</v>
      </c>
      <c r="AT14" s="10">
        <v>604</v>
      </c>
      <c r="AU14" s="11">
        <v>80.5</v>
      </c>
      <c r="AV14" s="12">
        <v>3.35</v>
      </c>
    </row>
    <row r="15" spans="1:48" ht="20.399999999999999" x14ac:dyDescent="0.3">
      <c r="A15" s="135"/>
      <c r="B15" s="136"/>
      <c r="C15" s="3" t="s">
        <v>76</v>
      </c>
      <c r="D15" s="3">
        <f>IF(D13=F1,2.4,IF(D13=F2,3.2,IF(D13=F3,3,IF(D13=F4,4,IF(D13=F5,4.8,IF(D13=F6,6.4,IF(D13=F7,9)))))))</f>
        <v>9</v>
      </c>
      <c r="E15" s="3" t="s">
        <v>78</v>
      </c>
      <c r="Q15" s="10">
        <v>320</v>
      </c>
      <c r="R15" s="10">
        <v>161</v>
      </c>
      <c r="S15" s="10">
        <v>127</v>
      </c>
      <c r="T15" s="10">
        <v>320</v>
      </c>
      <c r="U15" s="10">
        <v>300</v>
      </c>
      <c r="V15" s="11">
        <v>11.5</v>
      </c>
      <c r="W15" s="11">
        <v>20.5</v>
      </c>
      <c r="X15" s="11">
        <v>47.5</v>
      </c>
      <c r="Y15" s="10">
        <v>225</v>
      </c>
      <c r="Z15" s="10">
        <v>30820</v>
      </c>
      <c r="AA15" s="10">
        <v>1930</v>
      </c>
      <c r="AB15" s="11">
        <v>13.8</v>
      </c>
      <c r="AC15" s="10">
        <v>9240</v>
      </c>
      <c r="AD15" s="10">
        <v>616</v>
      </c>
      <c r="AE15" s="12">
        <v>7.57</v>
      </c>
      <c r="AG15" s="10">
        <v>330</v>
      </c>
      <c r="AH15" s="11">
        <v>62.6</v>
      </c>
      <c r="AI15" s="11">
        <v>49.1</v>
      </c>
      <c r="AJ15" s="10">
        <v>330</v>
      </c>
      <c r="AK15" s="10">
        <v>160</v>
      </c>
      <c r="AL15" s="11">
        <v>7.5</v>
      </c>
      <c r="AM15" s="10">
        <v>18</v>
      </c>
      <c r="AN15" s="11">
        <v>11.5</v>
      </c>
      <c r="AO15" s="11">
        <v>29.5</v>
      </c>
      <c r="AP15" s="10">
        <v>271</v>
      </c>
      <c r="AQ15" s="10">
        <v>11770</v>
      </c>
      <c r="AR15" s="10">
        <v>713</v>
      </c>
      <c r="AS15" s="11">
        <v>13.7</v>
      </c>
      <c r="AT15" s="10">
        <v>788</v>
      </c>
      <c r="AU15" s="11">
        <v>98.5</v>
      </c>
      <c r="AV15" s="12">
        <v>3.55</v>
      </c>
    </row>
    <row r="16" spans="1:48" x14ac:dyDescent="0.3">
      <c r="A16" s="135"/>
      <c r="B16" s="136"/>
      <c r="C16" s="9" t="s">
        <v>36</v>
      </c>
      <c r="D16" s="5" t="s">
        <v>43</v>
      </c>
      <c r="E16" s="3" t="s">
        <v>73</v>
      </c>
      <c r="G16" s="118" t="s">
        <v>49</v>
      </c>
      <c r="H16" s="118"/>
      <c r="Q16" s="10">
        <v>340</v>
      </c>
      <c r="R16" s="10">
        <v>171</v>
      </c>
      <c r="S16" s="10">
        <v>134</v>
      </c>
      <c r="T16" s="10">
        <v>340</v>
      </c>
      <c r="U16" s="10">
        <v>300</v>
      </c>
      <c r="V16" s="10">
        <v>12</v>
      </c>
      <c r="W16" s="11">
        <v>21.5</v>
      </c>
      <c r="X16" s="11">
        <v>48.5</v>
      </c>
      <c r="Y16" s="10">
        <v>243</v>
      </c>
      <c r="Z16" s="10">
        <v>36660</v>
      </c>
      <c r="AA16" s="10">
        <v>2160</v>
      </c>
      <c r="AB16" s="11">
        <v>14.6</v>
      </c>
      <c r="AC16" s="10">
        <v>9690</v>
      </c>
      <c r="AD16" s="10">
        <v>646</v>
      </c>
      <c r="AE16" s="12">
        <v>7.53</v>
      </c>
      <c r="AG16" s="10">
        <v>360</v>
      </c>
      <c r="AH16" s="11">
        <v>72.7</v>
      </c>
      <c r="AI16" s="11">
        <v>57.1</v>
      </c>
      <c r="AJ16" s="10">
        <v>360</v>
      </c>
      <c r="AK16" s="10">
        <v>170</v>
      </c>
      <c r="AL16" s="10">
        <v>8</v>
      </c>
      <c r="AM16" s="10">
        <v>18</v>
      </c>
      <c r="AN16" s="11">
        <v>12.7</v>
      </c>
      <c r="AO16" s="11">
        <v>30.7</v>
      </c>
      <c r="AP16" s="10">
        <v>298</v>
      </c>
      <c r="AQ16" s="10">
        <v>16270</v>
      </c>
      <c r="AR16" s="10">
        <v>904</v>
      </c>
      <c r="AS16" s="10">
        <v>15</v>
      </c>
      <c r="AT16" s="10">
        <v>1040</v>
      </c>
      <c r="AU16" s="10">
        <v>123</v>
      </c>
      <c r="AV16" s="12">
        <v>3.79</v>
      </c>
    </row>
    <row r="17" spans="1:48" x14ac:dyDescent="0.3">
      <c r="A17" s="137"/>
      <c r="B17" s="138"/>
      <c r="C17" s="9" t="s">
        <v>52</v>
      </c>
      <c r="D17" s="5">
        <f>_xlfn.CEILING.MATH((0.1*I4-2*0.1*I7)/C20)</f>
        <v>4</v>
      </c>
      <c r="E17" s="3" t="s">
        <v>71</v>
      </c>
      <c r="F17" s="2" t="s">
        <v>63</v>
      </c>
      <c r="G17" s="118"/>
      <c r="H17" s="118"/>
      <c r="Q17" s="10">
        <v>360</v>
      </c>
      <c r="R17" s="10">
        <v>181</v>
      </c>
      <c r="S17" s="10">
        <v>142</v>
      </c>
      <c r="T17" s="10">
        <v>360</v>
      </c>
      <c r="U17" s="10">
        <v>300</v>
      </c>
      <c r="V17" s="11">
        <v>12.5</v>
      </c>
      <c r="W17" s="11">
        <v>22.5</v>
      </c>
      <c r="X17" s="11">
        <v>49.5</v>
      </c>
      <c r="Y17" s="10">
        <v>261</v>
      </c>
      <c r="Z17" s="10">
        <v>43190</v>
      </c>
      <c r="AA17" s="10">
        <v>2400</v>
      </c>
      <c r="AB17" s="11">
        <v>15.6</v>
      </c>
      <c r="AC17" s="10">
        <v>10140</v>
      </c>
      <c r="AD17" s="10">
        <v>676</v>
      </c>
      <c r="AE17" s="12">
        <v>7.49</v>
      </c>
      <c r="AG17" s="10">
        <v>400</v>
      </c>
      <c r="AH17" s="11">
        <v>84.5</v>
      </c>
      <c r="AI17" s="11">
        <v>66.3</v>
      </c>
      <c r="AJ17" s="10">
        <v>400</v>
      </c>
      <c r="AK17" s="10">
        <v>180</v>
      </c>
      <c r="AL17" s="11">
        <v>8.6</v>
      </c>
      <c r="AM17" s="10">
        <v>21</v>
      </c>
      <c r="AN17" s="11">
        <v>13.5</v>
      </c>
      <c r="AO17" s="11">
        <v>34.5</v>
      </c>
      <c r="AP17" s="10">
        <v>331</v>
      </c>
      <c r="AQ17" s="10">
        <v>23130</v>
      </c>
      <c r="AR17" s="10">
        <v>1160</v>
      </c>
      <c r="AS17" s="11">
        <v>16.5</v>
      </c>
      <c r="AT17" s="10">
        <v>1320</v>
      </c>
      <c r="AU17" s="10">
        <v>146</v>
      </c>
      <c r="AV17" s="12">
        <v>3.95</v>
      </c>
    </row>
    <row r="18" spans="1:48" ht="21" thickBot="1" x14ac:dyDescent="0.35">
      <c r="A18" s="116" t="s">
        <v>90</v>
      </c>
      <c r="B18" s="116"/>
      <c r="C18" s="97">
        <f>ROUND(0.25*(H11/(0.1*(I4-I7))+(H12/2)),2)</f>
        <v>12.26</v>
      </c>
      <c r="D18" s="97"/>
      <c r="E18" s="3" t="s">
        <v>44</v>
      </c>
      <c r="Q18" s="10">
        <v>400</v>
      </c>
      <c r="R18" s="10">
        <v>198</v>
      </c>
      <c r="S18" s="10">
        <v>155</v>
      </c>
      <c r="T18" s="10">
        <v>400</v>
      </c>
      <c r="U18" s="10">
        <v>300</v>
      </c>
      <c r="V18" s="11">
        <v>13.5</v>
      </c>
      <c r="W18" s="10">
        <v>24</v>
      </c>
      <c r="X18" s="10">
        <v>51</v>
      </c>
      <c r="Y18" s="10">
        <v>298</v>
      </c>
      <c r="Z18" s="10">
        <v>57680</v>
      </c>
      <c r="AA18" s="10">
        <v>2880</v>
      </c>
      <c r="AB18" s="11">
        <v>17.100000000000001</v>
      </c>
      <c r="AC18" s="10">
        <v>10820</v>
      </c>
      <c r="AD18" s="10">
        <v>721</v>
      </c>
      <c r="AE18" s="11">
        <v>7.4</v>
      </c>
      <c r="AG18" s="10">
        <v>450</v>
      </c>
      <c r="AH18" s="11">
        <v>98.8</v>
      </c>
      <c r="AI18" s="11">
        <v>77.599999999999994</v>
      </c>
      <c r="AJ18" s="10">
        <v>450</v>
      </c>
      <c r="AK18" s="10">
        <v>190</v>
      </c>
      <c r="AL18" s="11">
        <v>9.4</v>
      </c>
      <c r="AM18" s="10">
        <v>21</v>
      </c>
      <c r="AN18" s="11">
        <v>14.6</v>
      </c>
      <c r="AO18" s="11">
        <v>35.6</v>
      </c>
      <c r="AP18" s="10">
        <v>378</v>
      </c>
      <c r="AQ18" s="10">
        <v>33740</v>
      </c>
      <c r="AR18" s="10">
        <v>1500</v>
      </c>
      <c r="AS18" s="11">
        <v>18.5</v>
      </c>
      <c r="AT18" s="10">
        <v>1680</v>
      </c>
      <c r="AU18" s="10">
        <v>176</v>
      </c>
      <c r="AV18" s="12">
        <v>4.12</v>
      </c>
    </row>
    <row r="19" spans="1:48" x14ac:dyDescent="0.3">
      <c r="A19" s="116" t="s">
        <v>45</v>
      </c>
      <c r="B19" s="116"/>
      <c r="C19" s="97">
        <f>MAX(0.5*C21,1.5*0.1*D12)</f>
        <v>3.12</v>
      </c>
      <c r="D19" s="97"/>
      <c r="E19" s="3" t="s">
        <v>31</v>
      </c>
      <c r="G19" s="119" t="s">
        <v>62</v>
      </c>
      <c r="H19" s="120"/>
      <c r="I19" s="120"/>
      <c r="J19" s="129"/>
      <c r="L19" s="140" t="s">
        <v>54</v>
      </c>
      <c r="M19" s="140"/>
      <c r="Q19" s="10">
        <v>450</v>
      </c>
      <c r="R19" s="10">
        <v>218</v>
      </c>
      <c r="S19" s="10">
        <v>171</v>
      </c>
      <c r="T19" s="10">
        <v>450</v>
      </c>
      <c r="U19" s="10">
        <v>300</v>
      </c>
      <c r="V19" s="10">
        <v>14</v>
      </c>
      <c r="W19" s="10">
        <v>26</v>
      </c>
      <c r="X19" s="10">
        <v>53</v>
      </c>
      <c r="Y19" s="10">
        <v>344</v>
      </c>
      <c r="Z19" s="10">
        <v>79890</v>
      </c>
      <c r="AA19" s="10">
        <v>3550</v>
      </c>
      <c r="AB19" s="11">
        <v>19.100000000000001</v>
      </c>
      <c r="AC19" s="10">
        <v>11720</v>
      </c>
      <c r="AD19" s="10">
        <v>781</v>
      </c>
      <c r="AE19" s="12">
        <v>7.33</v>
      </c>
      <c r="AG19" s="10">
        <v>500</v>
      </c>
      <c r="AH19" s="10">
        <v>116</v>
      </c>
      <c r="AI19" s="11">
        <v>90.7</v>
      </c>
      <c r="AJ19" s="10">
        <v>500</v>
      </c>
      <c r="AK19" s="10">
        <v>200</v>
      </c>
      <c r="AL19" s="11">
        <v>10.199999999999999</v>
      </c>
      <c r="AM19" s="10">
        <v>21</v>
      </c>
      <c r="AN19" s="10">
        <v>16</v>
      </c>
      <c r="AO19" s="10">
        <v>37</v>
      </c>
      <c r="AP19" s="10">
        <v>426</v>
      </c>
      <c r="AQ19" s="10">
        <v>48200</v>
      </c>
      <c r="AR19" s="10">
        <v>1930</v>
      </c>
      <c r="AS19" s="11">
        <v>20.399999999999999</v>
      </c>
      <c r="AT19" s="10">
        <v>2140</v>
      </c>
      <c r="AU19" s="10">
        <v>214</v>
      </c>
      <c r="AV19" s="12">
        <v>4.3099999999999996</v>
      </c>
    </row>
    <row r="20" spans="1:48" ht="20.399999999999999" x14ac:dyDescent="0.3">
      <c r="A20" s="116" t="s">
        <v>46</v>
      </c>
      <c r="B20" s="116"/>
      <c r="C20" s="97">
        <f>4*0.1*D12</f>
        <v>6.4</v>
      </c>
      <c r="D20" s="97"/>
      <c r="E20" s="3" t="s">
        <v>31</v>
      </c>
      <c r="G20" s="20" t="s">
        <v>106</v>
      </c>
      <c r="H20" s="3">
        <f>MIN(0.1*I7,D26)</f>
        <v>1.02</v>
      </c>
      <c r="I20" s="3" t="s">
        <v>31</v>
      </c>
      <c r="J20" s="19"/>
      <c r="L20" s="3" t="s">
        <v>96</v>
      </c>
      <c r="M20" s="3">
        <f>((H13/D17)/C28)^2+((H46)/(C27))^2</f>
        <v>3.9967854485265555</v>
      </c>
      <c r="N20" s="3" t="str">
        <f>IF(M20&lt;=1,"Safe","Unsafe")</f>
        <v>Unsafe</v>
      </c>
      <c r="Q20" s="10">
        <v>500</v>
      </c>
      <c r="R20" s="10">
        <v>239</v>
      </c>
      <c r="S20" s="10">
        <v>187</v>
      </c>
      <c r="T20" s="10">
        <v>500</v>
      </c>
      <c r="U20" s="10">
        <v>300</v>
      </c>
      <c r="V20" s="11">
        <v>14.5</v>
      </c>
      <c r="W20" s="10">
        <v>28</v>
      </c>
      <c r="X20" s="10">
        <v>655</v>
      </c>
      <c r="Y20" s="10">
        <v>390</v>
      </c>
      <c r="Z20" s="10">
        <v>107200</v>
      </c>
      <c r="AA20" s="10">
        <v>4290</v>
      </c>
      <c r="AB20" s="11">
        <v>21.2</v>
      </c>
      <c r="AC20" s="10">
        <v>12620</v>
      </c>
      <c r="AD20" s="10">
        <v>842</v>
      </c>
      <c r="AE20" s="12">
        <v>7.27</v>
      </c>
      <c r="AG20" s="10">
        <v>550</v>
      </c>
      <c r="AH20" s="10">
        <v>134</v>
      </c>
      <c r="AI20" s="10">
        <v>106</v>
      </c>
      <c r="AJ20" s="10">
        <v>550</v>
      </c>
      <c r="AK20" s="10">
        <v>210</v>
      </c>
      <c r="AL20" s="11">
        <v>11.1</v>
      </c>
      <c r="AM20" s="10">
        <v>24</v>
      </c>
      <c r="AN20" s="11">
        <v>17.2</v>
      </c>
      <c r="AO20" s="11">
        <v>41.2</v>
      </c>
      <c r="AP20" s="10">
        <v>467</v>
      </c>
      <c r="AQ20" s="10">
        <v>67120</v>
      </c>
      <c r="AR20" s="10">
        <v>2440</v>
      </c>
      <c r="AS20" s="11">
        <v>22.3</v>
      </c>
      <c r="AT20" s="10">
        <v>2670</v>
      </c>
      <c r="AU20" s="10">
        <v>254</v>
      </c>
      <c r="AV20" s="12">
        <v>4.45</v>
      </c>
    </row>
    <row r="21" spans="1:48" ht="20.399999999999999" x14ac:dyDescent="0.3">
      <c r="A21" s="116" t="s">
        <v>70</v>
      </c>
      <c r="B21" s="116"/>
      <c r="C21" s="131">
        <f>ROUND((0.1*I4-2*0.1*I7)/D17,2)</f>
        <v>6.24</v>
      </c>
      <c r="D21" s="132"/>
      <c r="E21" s="3" t="s">
        <v>31</v>
      </c>
      <c r="G21" s="20" t="s">
        <v>107</v>
      </c>
      <c r="H21" s="3">
        <f>MIN(D26,0.1*I6)</f>
        <v>0.66</v>
      </c>
      <c r="I21" s="3" t="s">
        <v>31</v>
      </c>
      <c r="J21" s="19"/>
      <c r="Q21" s="10">
        <v>550</v>
      </c>
      <c r="R21" s="10">
        <v>254</v>
      </c>
      <c r="S21" s="10">
        <v>199</v>
      </c>
      <c r="T21" s="10">
        <v>550</v>
      </c>
      <c r="U21" s="10">
        <v>300</v>
      </c>
      <c r="V21" s="10">
        <v>15</v>
      </c>
      <c r="W21" s="10">
        <v>29</v>
      </c>
      <c r="X21" s="10">
        <v>56</v>
      </c>
      <c r="Y21" s="10">
        <v>438</v>
      </c>
      <c r="Z21" s="10">
        <v>136700</v>
      </c>
      <c r="AA21" s="10">
        <v>4970</v>
      </c>
      <c r="AB21" s="11">
        <v>23.2</v>
      </c>
      <c r="AC21" s="10">
        <v>13080</v>
      </c>
      <c r="AD21" s="10">
        <v>872</v>
      </c>
      <c r="AE21" s="12">
        <v>7.17</v>
      </c>
      <c r="AG21" s="10">
        <v>600</v>
      </c>
      <c r="AH21" s="10">
        <v>156</v>
      </c>
      <c r="AI21" s="10">
        <v>122</v>
      </c>
      <c r="AJ21" s="10">
        <v>600</v>
      </c>
      <c r="AK21" s="10">
        <v>220</v>
      </c>
      <c r="AL21" s="10">
        <v>12</v>
      </c>
      <c r="AM21" s="10">
        <v>24</v>
      </c>
      <c r="AN21" s="10">
        <v>19</v>
      </c>
      <c r="AO21" s="10">
        <v>43</v>
      </c>
      <c r="AP21" s="10">
        <v>514</v>
      </c>
      <c r="AQ21" s="10">
        <v>92080</v>
      </c>
      <c r="AR21" s="10">
        <v>3070</v>
      </c>
      <c r="AS21" s="11">
        <v>24.3</v>
      </c>
      <c r="AT21" s="10">
        <v>3390</v>
      </c>
      <c r="AU21" s="10">
        <v>308</v>
      </c>
      <c r="AV21" s="12">
        <v>4.66</v>
      </c>
    </row>
    <row r="22" spans="1:48" ht="20.399999999999999" x14ac:dyDescent="0.3">
      <c r="A22" s="116" t="s">
        <v>94</v>
      </c>
      <c r="B22" s="116"/>
      <c r="C22" s="126">
        <v>0.8</v>
      </c>
      <c r="D22" s="126"/>
      <c r="E22" s="3" t="s">
        <v>31</v>
      </c>
      <c r="G22" s="20" t="s">
        <v>108</v>
      </c>
      <c r="H22" s="3">
        <f>H20*(0.2*I5+4*0.4*0.1*I5)</f>
        <v>49.57200000000001</v>
      </c>
      <c r="I22" s="3" t="s">
        <v>109</v>
      </c>
      <c r="J22" s="19"/>
      <c r="L22" s="147" t="s">
        <v>55</v>
      </c>
      <c r="M22" s="147"/>
      <c r="Q22" s="10">
        <v>600</v>
      </c>
      <c r="R22" s="10">
        <v>270</v>
      </c>
      <c r="S22" s="10">
        <v>212</v>
      </c>
      <c r="T22" s="10">
        <v>600</v>
      </c>
      <c r="U22" s="10">
        <v>300</v>
      </c>
      <c r="V22" s="11">
        <v>15.5</v>
      </c>
      <c r="W22" s="10">
        <v>30</v>
      </c>
      <c r="X22" s="10">
        <v>57</v>
      </c>
      <c r="Y22" s="10">
        <v>486</v>
      </c>
      <c r="Z22" s="10">
        <v>171000</v>
      </c>
      <c r="AA22" s="10">
        <v>5700</v>
      </c>
      <c r="AB22" s="11">
        <v>25.2</v>
      </c>
      <c r="AC22" s="10">
        <v>13530</v>
      </c>
      <c r="AD22" s="10">
        <v>902</v>
      </c>
      <c r="AE22" s="12">
        <v>7.08</v>
      </c>
    </row>
    <row r="23" spans="1:48" ht="20.399999999999999" x14ac:dyDescent="0.3">
      <c r="A23" s="139" t="s">
        <v>95</v>
      </c>
      <c r="B23" s="139"/>
      <c r="C23" s="126">
        <v>0.5</v>
      </c>
      <c r="D23" s="126"/>
      <c r="E23" s="16" t="s">
        <v>31</v>
      </c>
      <c r="G23" s="20" t="s">
        <v>110</v>
      </c>
      <c r="H23" s="3">
        <f>2*(H21*0.8*0.1*I4)</f>
        <v>28.512000000000004</v>
      </c>
      <c r="I23" s="3" t="s">
        <v>109</v>
      </c>
      <c r="J23" s="19"/>
      <c r="L23" s="3" t="s">
        <v>99</v>
      </c>
      <c r="M23" s="3">
        <f>SQRT((4*C34)/(C21*0.85*C8))</f>
        <v>2.7231942324321148</v>
      </c>
      <c r="N23" s="3" t="str">
        <f>IF(M23&lt;=D26,"Safe","Unsafe")</f>
        <v>Unsafe</v>
      </c>
      <c r="Q23" s="10">
        <v>650</v>
      </c>
      <c r="R23" s="10">
        <v>286</v>
      </c>
      <c r="S23" s="10">
        <v>225</v>
      </c>
      <c r="T23" s="10">
        <v>650</v>
      </c>
      <c r="U23" s="10">
        <v>300</v>
      </c>
      <c r="V23" s="10">
        <v>16</v>
      </c>
      <c r="W23" s="10">
        <v>31</v>
      </c>
      <c r="X23" s="10">
        <v>58</v>
      </c>
      <c r="Y23" s="10">
        <v>534</v>
      </c>
      <c r="Z23" s="10">
        <v>210600</v>
      </c>
      <c r="AA23" s="10">
        <v>6480</v>
      </c>
      <c r="AB23" s="11">
        <v>27.1</v>
      </c>
      <c r="AC23" s="10">
        <v>13980</v>
      </c>
      <c r="AD23" s="10">
        <v>932</v>
      </c>
      <c r="AE23" s="12">
        <v>6.99</v>
      </c>
    </row>
    <row r="24" spans="1:48" ht="21" thickBot="1" x14ac:dyDescent="0.35">
      <c r="A24" s="116" t="s">
        <v>68</v>
      </c>
      <c r="B24" s="116"/>
      <c r="C24" s="3" t="s">
        <v>69</v>
      </c>
      <c r="D24" s="5">
        <v>22</v>
      </c>
      <c r="E24" s="3" t="s">
        <v>31</v>
      </c>
      <c r="G24" s="20" t="s">
        <v>111</v>
      </c>
      <c r="H24" s="3">
        <f>H22+H23</f>
        <v>78.084000000000017</v>
      </c>
      <c r="I24" s="3" t="s">
        <v>109</v>
      </c>
      <c r="J24" s="19"/>
      <c r="Q24" s="10">
        <v>700</v>
      </c>
      <c r="R24" s="10">
        <v>306</v>
      </c>
      <c r="S24" s="10">
        <v>241</v>
      </c>
      <c r="T24" s="10">
        <v>700</v>
      </c>
      <c r="U24" s="10">
        <v>300</v>
      </c>
      <c r="V24" s="10">
        <v>17</v>
      </c>
      <c r="W24" s="10">
        <v>32</v>
      </c>
      <c r="X24" s="10">
        <v>59</v>
      </c>
      <c r="Y24" s="10">
        <v>582</v>
      </c>
      <c r="Z24" s="10">
        <v>256900</v>
      </c>
      <c r="AA24" s="10">
        <v>7340</v>
      </c>
      <c r="AB24" s="10">
        <v>29</v>
      </c>
      <c r="AC24" s="10">
        <v>14440</v>
      </c>
      <c r="AD24" s="10">
        <v>963</v>
      </c>
      <c r="AE24" s="12">
        <v>6.87</v>
      </c>
    </row>
    <row r="25" spans="1:48" ht="20.399999999999999" x14ac:dyDescent="0.3">
      <c r="A25" s="116"/>
      <c r="B25" s="116"/>
      <c r="C25" s="3" t="s">
        <v>42</v>
      </c>
      <c r="D25" s="5">
        <v>15</v>
      </c>
      <c r="E25" s="3" t="s">
        <v>31</v>
      </c>
      <c r="G25" s="20" t="s">
        <v>112</v>
      </c>
      <c r="H25" s="3">
        <f>2*((H21*2*0.8*(0.1*I4)^3)/12)+4*((H20*0.4*0.1*I5)*(0.5*0.1*I4-0.1*I7-0.5*H20)^2)+2*((H20*0.1*I5)*(0.1*0.5*I4+0.5*H20)^2)</f>
        <v>12026.526742800001</v>
      </c>
      <c r="I25" s="3" t="s">
        <v>113</v>
      </c>
      <c r="J25" s="19"/>
      <c r="L25" s="119" t="s">
        <v>53</v>
      </c>
      <c r="M25" s="120"/>
      <c r="N25" s="17"/>
      <c r="O25" s="18"/>
      <c r="Q25" s="10">
        <v>800</v>
      </c>
      <c r="R25" s="10">
        <v>334</v>
      </c>
      <c r="S25" s="10">
        <v>262</v>
      </c>
      <c r="T25" s="10">
        <v>800</v>
      </c>
      <c r="U25" s="10">
        <v>300</v>
      </c>
      <c r="V25" s="11">
        <v>17.5</v>
      </c>
      <c r="W25" s="10">
        <v>33</v>
      </c>
      <c r="X25" s="10">
        <v>63</v>
      </c>
      <c r="Y25" s="10">
        <v>674</v>
      </c>
      <c r="Z25" s="10">
        <v>359100</v>
      </c>
      <c r="AA25" s="10">
        <v>9890</v>
      </c>
      <c r="AB25" s="11">
        <v>32.799999999999997</v>
      </c>
      <c r="AC25" s="10">
        <v>14900</v>
      </c>
      <c r="AD25" s="10">
        <v>994</v>
      </c>
      <c r="AE25" s="12">
        <v>6.68</v>
      </c>
    </row>
    <row r="26" spans="1:48" ht="20.399999999999999" x14ac:dyDescent="0.3">
      <c r="A26" s="116"/>
      <c r="B26" s="116"/>
      <c r="C26" s="3" t="s">
        <v>114</v>
      </c>
      <c r="D26" s="3">
        <f>1.25*D12*0.1</f>
        <v>2</v>
      </c>
      <c r="E26" s="3" t="s">
        <v>31</v>
      </c>
      <c r="G26" s="22"/>
      <c r="J26" s="19"/>
      <c r="L26" s="121" t="s">
        <v>56</v>
      </c>
      <c r="M26" s="122"/>
      <c r="O26" s="19"/>
      <c r="Q26" s="10">
        <v>900</v>
      </c>
      <c r="R26" s="10">
        <v>371</v>
      </c>
      <c r="S26" s="10">
        <v>291</v>
      </c>
      <c r="T26" s="10">
        <v>900</v>
      </c>
      <c r="U26" s="10">
        <v>300</v>
      </c>
      <c r="V26" s="11">
        <v>18.5</v>
      </c>
      <c r="W26" s="10">
        <v>35</v>
      </c>
      <c r="X26" s="10">
        <v>65</v>
      </c>
      <c r="Y26" s="10">
        <v>770</v>
      </c>
      <c r="Z26" s="10">
        <v>494100</v>
      </c>
      <c r="AA26" s="10">
        <v>10980</v>
      </c>
      <c r="AB26" s="11">
        <v>36.5</v>
      </c>
      <c r="AC26" s="10">
        <v>15820</v>
      </c>
      <c r="AD26" s="10">
        <v>1050</v>
      </c>
      <c r="AE26" s="12">
        <v>6.53</v>
      </c>
    </row>
    <row r="27" spans="1:48" ht="20.399999999999999" x14ac:dyDescent="0.3">
      <c r="A27" s="130" t="s">
        <v>98</v>
      </c>
      <c r="B27" s="130"/>
      <c r="C27" s="97">
        <f>ROUND(IF(D16=H11, 0.7*0.66*D14*0.78*((22/7)/4)*(D12/10)^2, 0.7*0.8*D14*0.78*((22/7)/4)*(D12/10)^2),2)</f>
        <v>8.7899999999999991</v>
      </c>
      <c r="D27" s="97"/>
      <c r="E27" s="15" t="s">
        <v>44</v>
      </c>
      <c r="G27" s="26" t="s">
        <v>64</v>
      </c>
      <c r="J27" s="19"/>
      <c r="L27" s="20" t="s">
        <v>93</v>
      </c>
      <c r="M27" s="3">
        <f>0.85*6.25*(0.1*M7)^2*C8</f>
        <v>13.265099999999999</v>
      </c>
      <c r="N27" s="3" t="s">
        <v>44</v>
      </c>
      <c r="O27" s="21" t="str">
        <f>IF(C10&lt;=M27,"Safe","Unsafe")</f>
        <v>Unsafe</v>
      </c>
      <c r="Q27" s="10">
        <v>1000</v>
      </c>
      <c r="R27" s="10">
        <v>400</v>
      </c>
      <c r="S27" s="10">
        <v>314</v>
      </c>
      <c r="T27" s="10">
        <v>1000</v>
      </c>
      <c r="U27" s="10">
        <v>300</v>
      </c>
      <c r="V27" s="10">
        <v>19</v>
      </c>
      <c r="W27" s="10">
        <v>36</v>
      </c>
      <c r="X27" s="10">
        <v>66</v>
      </c>
      <c r="Y27" s="10">
        <v>868</v>
      </c>
      <c r="Z27" s="10">
        <v>644700</v>
      </c>
      <c r="AA27" s="10">
        <v>12890</v>
      </c>
      <c r="AB27" s="11">
        <v>40.1</v>
      </c>
      <c r="AC27" s="10">
        <v>16280</v>
      </c>
      <c r="AD27" s="10">
        <v>1090</v>
      </c>
      <c r="AE27" s="12">
        <v>6.38</v>
      </c>
    </row>
    <row r="28" spans="1:48" ht="20.399999999999999" x14ac:dyDescent="0.3">
      <c r="A28" s="116" t="s">
        <v>100</v>
      </c>
      <c r="B28" s="116"/>
      <c r="C28" s="97">
        <f>ROUND(IF(OR(D13=F1,D13=F3,D13=F6),0.6*0.6*D14*((22/7)/4)*(0.1*D12)^2,0.6*0.5*D14*((22/7)/4)*(0.1*D12)^2),2)</f>
        <v>6.03</v>
      </c>
      <c r="D28" s="97"/>
      <c r="E28" s="3" t="s">
        <v>44</v>
      </c>
      <c r="G28" s="20" t="s">
        <v>65</v>
      </c>
      <c r="H28" s="3">
        <f>((H11*(0.5*0.1*I4+H20))/H25)+(H12/H24)</f>
        <v>1.5410284302486776</v>
      </c>
      <c r="I28" s="3" t="str">
        <f>IF(H28&lt;=0.7*0.4*C9,"Safe","Unsafe")</f>
        <v>Unsafe</v>
      </c>
      <c r="J28" s="19"/>
      <c r="L28" s="22"/>
      <c r="O28" s="19"/>
    </row>
    <row r="29" spans="1:48" x14ac:dyDescent="0.3">
      <c r="A29" s="123" t="s">
        <v>48</v>
      </c>
      <c r="B29" s="124"/>
      <c r="C29" s="97">
        <f>2.5*0.1*D12</f>
        <v>4</v>
      </c>
      <c r="D29" s="97"/>
      <c r="E29" s="3" t="s">
        <v>31</v>
      </c>
      <c r="G29" s="22"/>
      <c r="J29" s="19"/>
      <c r="L29" s="150" t="s">
        <v>58</v>
      </c>
      <c r="M29" s="151"/>
      <c r="O29" s="19"/>
    </row>
    <row r="30" spans="1:48" ht="20.399999999999999" x14ac:dyDescent="0.3">
      <c r="A30" s="116" t="s">
        <v>9</v>
      </c>
      <c r="B30" s="116"/>
      <c r="C30" s="97">
        <f>2.5*0.1*D12</f>
        <v>4</v>
      </c>
      <c r="D30" s="97"/>
      <c r="E30" s="3" t="s">
        <v>31</v>
      </c>
      <c r="G30" s="127" t="s">
        <v>66</v>
      </c>
      <c r="H30" s="128"/>
      <c r="J30" s="19"/>
      <c r="L30" s="20" t="s">
        <v>97</v>
      </c>
      <c r="M30" s="3">
        <f>0.95*(0.1*I7+2*D26+5*2*0.1*M7)*0.1*M6*C8</f>
        <v>22.903055999999999</v>
      </c>
      <c r="N30" s="3" t="s">
        <v>44</v>
      </c>
      <c r="O30" s="21" t="str">
        <f>IF(C11&lt;=M30,"Safe","Unsafe")</f>
        <v>Unsafe</v>
      </c>
    </row>
    <row r="31" spans="1:48" ht="19.8" x14ac:dyDescent="0.3">
      <c r="A31" s="116" t="s">
        <v>47</v>
      </c>
      <c r="B31" s="116"/>
      <c r="C31" s="97">
        <f>ROUND((((0.5-((0.5*D25*(D26)^4)/(30*C29*(C30^2)*0.78*((22/7)/4)*(0.1*D12)^2)))/(((3*C29)/(4*C30))*((C29/(4*C30))+1)+((0.5*D25*(D26)^4)/(30*C29*(C30^2)*0.78*((22/7)/4)*(0.1*D12)^2)))))*C18,2)</f>
        <v>5.77</v>
      </c>
      <c r="D31" s="97"/>
      <c r="E31" s="3" t="s">
        <v>44</v>
      </c>
      <c r="G31" s="20" t="s">
        <v>65</v>
      </c>
      <c r="H31" s="3">
        <f>((H11*(0.5*0.1*0.8*I7))/H25)+(H12/H24)</f>
        <v>3.0854762620719581E-2</v>
      </c>
      <c r="I31" s="3" t="s">
        <v>78</v>
      </c>
      <c r="J31" s="19"/>
      <c r="L31" s="22"/>
      <c r="O31" s="19"/>
    </row>
    <row r="32" spans="1:48" ht="20.399999999999999" x14ac:dyDescent="0.3">
      <c r="A32" s="116" t="s">
        <v>102</v>
      </c>
      <c r="B32" s="116"/>
      <c r="C32" s="97">
        <f>ROUND(C31*C29,2)</f>
        <v>23.08</v>
      </c>
      <c r="D32" s="97"/>
      <c r="E32" s="3" t="s">
        <v>51</v>
      </c>
      <c r="G32" s="20" t="s">
        <v>67</v>
      </c>
      <c r="H32" s="3">
        <f>H13/H23</f>
        <v>0.20763187429854094</v>
      </c>
      <c r="I32" s="3" t="s">
        <v>78</v>
      </c>
      <c r="J32" s="19"/>
      <c r="L32" s="150" t="s">
        <v>59</v>
      </c>
      <c r="M32" s="151"/>
      <c r="O32" s="19"/>
    </row>
    <row r="33" spans="1:15" ht="21" thickBot="1" x14ac:dyDescent="0.35">
      <c r="A33" s="116" t="s">
        <v>104</v>
      </c>
      <c r="B33" s="116"/>
      <c r="C33" s="97">
        <f>ROUND((H45*C30)-(C31*C29),2)</f>
        <v>23.6</v>
      </c>
      <c r="D33" s="97"/>
      <c r="E33" s="3" t="s">
        <v>51</v>
      </c>
      <c r="G33" s="23" t="s">
        <v>115</v>
      </c>
      <c r="H33" s="24">
        <f>SQRT(H31^2+3*H32^2)</f>
        <v>0.36095013790073038</v>
      </c>
      <c r="I33" s="24" t="str">
        <f>IF(H33&lt;=1.1*0.7*0.4*C9,"Safe","Unsafe")</f>
        <v>Safe</v>
      </c>
      <c r="J33" s="27"/>
      <c r="L33" s="20" t="s">
        <v>97</v>
      </c>
      <c r="M33" s="3">
        <f>0.7*(0.3627*(0.1*M6)^2*(1+3*((0.1*I7+2*D26)/(0.1*M4))*((0.1*M6)/(0.1*M7))^1.5)*SQRT(2100*C8*(M7/M6)))</f>
        <v>12.594306521759311</v>
      </c>
      <c r="N33" s="3" t="s">
        <v>44</v>
      </c>
      <c r="O33" s="21" t="str">
        <f>IF(C11&lt;=M33,"Safe","Unsafe")</f>
        <v>Unsafe</v>
      </c>
    </row>
    <row r="34" spans="1:15" ht="21" thickBot="1" x14ac:dyDescent="0.35">
      <c r="A34" s="116" t="s">
        <v>105</v>
      </c>
      <c r="B34" s="116"/>
      <c r="C34" s="97">
        <f>MAX(C32,C33)</f>
        <v>23.6</v>
      </c>
      <c r="D34" s="97"/>
      <c r="E34" s="3" t="s">
        <v>51</v>
      </c>
      <c r="L34" s="22"/>
      <c r="O34" s="19"/>
    </row>
    <row r="35" spans="1:15" x14ac:dyDescent="0.3">
      <c r="G35" s="119" t="s">
        <v>50</v>
      </c>
      <c r="H35" s="120"/>
      <c r="I35" s="17"/>
      <c r="J35" s="18"/>
      <c r="L35" s="148" t="s">
        <v>60</v>
      </c>
      <c r="M35" s="149"/>
      <c r="O35" s="19"/>
    </row>
    <row r="36" spans="1:15" ht="20.399999999999999" x14ac:dyDescent="0.3">
      <c r="G36" s="20" t="s">
        <v>116</v>
      </c>
      <c r="H36" s="3">
        <f>IF(D17&lt;6,0,ROUND(0.1*0.5*I7+C19+C21+C21+C21+C21+C21,2))</f>
        <v>0</v>
      </c>
      <c r="I36" s="3" t="s">
        <v>31</v>
      </c>
      <c r="J36" s="19"/>
      <c r="L36" s="20" t="s">
        <v>101</v>
      </c>
      <c r="M36" s="5">
        <v>20</v>
      </c>
      <c r="N36" s="3" t="s">
        <v>44</v>
      </c>
      <c r="O36" s="19"/>
    </row>
    <row r="37" spans="1:15" ht="20.399999999999999" x14ac:dyDescent="0.3">
      <c r="G37" s="20" t="s">
        <v>117</v>
      </c>
      <c r="H37" s="3">
        <f>IF(D17&lt;5,0,ROUND(0.1*0.5*I7+C19+C21+C21+C21+C21,2))</f>
        <v>0</v>
      </c>
      <c r="I37" s="3" t="s">
        <v>31</v>
      </c>
      <c r="J37" s="19"/>
      <c r="L37" s="20" t="s">
        <v>61</v>
      </c>
      <c r="M37" s="3">
        <f>H11/(0.1*(I4-I7))</f>
        <v>49.538106235565813</v>
      </c>
      <c r="N37" s="3" t="s">
        <v>44</v>
      </c>
      <c r="O37" s="19"/>
    </row>
    <row r="38" spans="1:15" ht="21" thickBot="1" x14ac:dyDescent="0.35">
      <c r="G38" s="20" t="s">
        <v>118</v>
      </c>
      <c r="H38" s="3">
        <f>ROUND(0.1*0.5*I7+C19+C21+C21+C21,2)</f>
        <v>22.35</v>
      </c>
      <c r="I38" s="3" t="s">
        <v>31</v>
      </c>
      <c r="J38" s="19"/>
      <c r="L38" s="23" t="s">
        <v>103</v>
      </c>
      <c r="M38" s="24">
        <f>IF(M36&lt;=(0.4*C8*0.1*M4*0.1*M6),0.85*0.1*M4*0.1*M6*0.6*C8,0.85*0.1*M4*0.1*M6*0.6*C8*(1.4-(M36/(C8*0.1*M4*0.1*M6))))</f>
        <v>20.336351999999998</v>
      </c>
      <c r="N38" s="24" t="s">
        <v>44</v>
      </c>
      <c r="O38" s="25" t="str">
        <f>IF(M37&lt;=M38,"Safe","Unsafe")</f>
        <v>Unsafe</v>
      </c>
    </row>
    <row r="39" spans="1:15" ht="20.399999999999999" x14ac:dyDescent="0.3">
      <c r="G39" s="20" t="s">
        <v>119</v>
      </c>
      <c r="H39" s="3">
        <f>ROUND(0.1*0.5*I7+C19+C21+C21,2)</f>
        <v>16.11</v>
      </c>
      <c r="I39" s="3" t="s">
        <v>31</v>
      </c>
      <c r="J39" s="19"/>
    </row>
    <row r="40" spans="1:15" ht="20.399999999999999" x14ac:dyDescent="0.3">
      <c r="G40" s="20" t="s">
        <v>120</v>
      </c>
      <c r="H40" s="3">
        <f>ROUND(0.1*0.5*I7+C19+C21,2)</f>
        <v>9.8699999999999992</v>
      </c>
      <c r="I40" s="3" t="s">
        <v>31</v>
      </c>
      <c r="J40" s="19"/>
    </row>
    <row r="41" spans="1:15" ht="20.399999999999999" x14ac:dyDescent="0.3">
      <c r="G41" s="20" t="s">
        <v>121</v>
      </c>
      <c r="H41" s="3">
        <f>ROUND(0.1*0.5*I7+C19,2)</f>
        <v>3.63</v>
      </c>
      <c r="I41" s="3" t="s">
        <v>31</v>
      </c>
      <c r="J41" s="19"/>
    </row>
    <row r="42" spans="1:15" ht="20.399999999999999" thickBot="1" x14ac:dyDescent="0.35">
      <c r="G42" s="28" t="s">
        <v>122</v>
      </c>
      <c r="H42" s="16">
        <f>H36^2+H37^2+H38^2+H39^2+H40^2+H41^2</f>
        <v>869.64839999999992</v>
      </c>
      <c r="I42" s="16" t="s">
        <v>109</v>
      </c>
      <c r="J42" s="19"/>
    </row>
    <row r="43" spans="1:15" ht="18.600000000000001" thickBot="1" x14ac:dyDescent="0.35">
      <c r="G43" s="144" t="s">
        <v>74</v>
      </c>
      <c r="H43" s="145"/>
      <c r="I43" s="145"/>
      <c r="J43" s="146"/>
    </row>
    <row r="44" spans="1:15" ht="20.399999999999999" x14ac:dyDescent="0.3">
      <c r="G44" s="20" t="s">
        <v>123</v>
      </c>
      <c r="H44" s="3">
        <f>ROUND(((H11*H38)/(2*H42))+(H12/D17),2)</f>
        <v>16.29</v>
      </c>
      <c r="I44" s="3" t="s">
        <v>44</v>
      </c>
      <c r="J44" s="21" t="str">
        <f>IF(H44&lt;=C27,"Safe","Unsafe")</f>
        <v>Unsafe</v>
      </c>
    </row>
    <row r="45" spans="1:15" ht="20.399999999999999" x14ac:dyDescent="0.3">
      <c r="G45" s="20" t="s">
        <v>124</v>
      </c>
      <c r="H45" s="3">
        <f>ROUND(((H11*H39)/(2*H42))+(H12/D17),2)</f>
        <v>11.67</v>
      </c>
      <c r="I45" s="3" t="s">
        <v>44</v>
      </c>
      <c r="J45" s="21" t="str">
        <f>IF(H45&lt;=C27,"Safe","Unsafe")</f>
        <v>Unsafe</v>
      </c>
    </row>
    <row r="46" spans="1:15" ht="21" thickBot="1" x14ac:dyDescent="0.35">
      <c r="G46" s="23" t="s">
        <v>125</v>
      </c>
      <c r="H46" s="24">
        <f>H45+C31</f>
        <v>17.439999999999998</v>
      </c>
      <c r="I46" s="24" t="s">
        <v>44</v>
      </c>
      <c r="J46" s="25" t="str">
        <f>IF(H46&lt;=C27,"Safe","Unsafe")</f>
        <v>Unsafe</v>
      </c>
    </row>
  </sheetData>
  <mergeCells count="65">
    <mergeCell ref="C34:D34"/>
    <mergeCell ref="C33:D33"/>
    <mergeCell ref="C32:D32"/>
    <mergeCell ref="C31:D31"/>
    <mergeCell ref="C30:D30"/>
    <mergeCell ref="G43:J43"/>
    <mergeCell ref="L22:M22"/>
    <mergeCell ref="L35:M35"/>
    <mergeCell ref="L32:M32"/>
    <mergeCell ref="L29:M29"/>
    <mergeCell ref="G35:H35"/>
    <mergeCell ref="V1:W1"/>
    <mergeCell ref="AL1:AM1"/>
    <mergeCell ref="T2:Y2"/>
    <mergeCell ref="Z2:AB2"/>
    <mergeCell ref="AC2:AE2"/>
    <mergeCell ref="AJ2:AP2"/>
    <mergeCell ref="AQ2:AS2"/>
    <mergeCell ref="AT2:AV2"/>
    <mergeCell ref="A12:B17"/>
    <mergeCell ref="A23:B23"/>
    <mergeCell ref="L19:M19"/>
    <mergeCell ref="A18:B18"/>
    <mergeCell ref="A19:B19"/>
    <mergeCell ref="A20:B20"/>
    <mergeCell ref="A22:B22"/>
    <mergeCell ref="A11:B11"/>
    <mergeCell ref="A5:B6"/>
    <mergeCell ref="A10:B10"/>
    <mergeCell ref="E5:E6"/>
    <mergeCell ref="C9:D9"/>
    <mergeCell ref="C8:D8"/>
    <mergeCell ref="C23:D23"/>
    <mergeCell ref="G19:J19"/>
    <mergeCell ref="A27:B27"/>
    <mergeCell ref="A28:B28"/>
    <mergeCell ref="A29:B29"/>
    <mergeCell ref="A30:B30"/>
    <mergeCell ref="C22:D22"/>
    <mergeCell ref="C20:D20"/>
    <mergeCell ref="A21:B21"/>
    <mergeCell ref="C21:D21"/>
    <mergeCell ref="C19:D19"/>
    <mergeCell ref="C29:D29"/>
    <mergeCell ref="A31:B31"/>
    <mergeCell ref="C27:D27"/>
    <mergeCell ref="G30:H30"/>
    <mergeCell ref="A24:B26"/>
    <mergeCell ref="C28:D28"/>
    <mergeCell ref="L1:N1"/>
    <mergeCell ref="A32:B32"/>
    <mergeCell ref="A33:B33"/>
    <mergeCell ref="A34:B34"/>
    <mergeCell ref="H1:I1"/>
    <mergeCell ref="G16:H17"/>
    <mergeCell ref="L25:M25"/>
    <mergeCell ref="L26:M26"/>
    <mergeCell ref="A7:B7"/>
    <mergeCell ref="A8:B8"/>
    <mergeCell ref="C5:D6"/>
    <mergeCell ref="C7:E7"/>
    <mergeCell ref="C11:D11"/>
    <mergeCell ref="C10:D10"/>
    <mergeCell ref="A9:B9"/>
    <mergeCell ref="C18:D18"/>
  </mergeCells>
  <phoneticPr fontId="7" type="noConversion"/>
  <conditionalFormatting sqref="N20 N23 O27 O30 O33 O38 I28 I33 J44:J46">
    <cfRule type="cellIs" dxfId="38" priority="2" operator="equal">
      <formula>"Safe"</formula>
    </cfRule>
  </conditionalFormatting>
  <conditionalFormatting sqref="N20 N23 O27 O30 O33 O38 I28 I33 J44:J46">
    <cfRule type="cellIs" dxfId="37" priority="1" operator="equal">
      <formula>"Unsafe"</formula>
    </cfRule>
  </conditionalFormatting>
  <dataValidations count="5">
    <dataValidation type="list" allowBlank="1" showInputMessage="1" showErrorMessage="1" sqref="C7" xr:uid="{C2B80C34-C427-4C3A-A11F-E16D3F3B9928}">
      <formula1>$B$1:$B$3</formula1>
    </dataValidation>
    <dataValidation type="list" allowBlank="1" showInputMessage="1" showErrorMessage="1" sqref="D13" xr:uid="{A8135B6D-0566-436A-89ED-3E81D531E9CC}">
      <formula1>$F$1:$F$7</formula1>
    </dataValidation>
    <dataValidation type="list" allowBlank="1" showInputMessage="1" showErrorMessage="1" sqref="D16" xr:uid="{1F34882A-F823-4F3E-9B14-A5F25ADEE7DC}">
      <formula1>$C$1:$C$3</formula1>
    </dataValidation>
    <dataValidation type="list" allowBlank="1" showInputMessage="1" showErrorMessage="1" sqref="N3" xr:uid="{924EE660-2092-4942-9094-BF4B3A152154}">
      <formula1>$Q$4:$Q$27</formula1>
    </dataValidation>
    <dataValidation type="list" allowBlank="1" showInputMessage="1" showErrorMessage="1" sqref="I3 M3" xr:uid="{DA0C8227-EA6D-4E11-8F0F-B622AAF12169}">
      <formula1>$AG$4:$AG$21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543A-E175-4E14-889C-FE088499F85A}">
  <dimension ref="A1:Q51"/>
  <sheetViews>
    <sheetView topLeftCell="B37" zoomScaleNormal="100" workbookViewId="0">
      <selection activeCell="Q12" sqref="Q12"/>
    </sheetView>
  </sheetViews>
  <sheetFormatPr defaultColWidth="9" defaultRowHeight="18" x14ac:dyDescent="0.3"/>
  <cols>
    <col min="1" max="1" width="9" style="2"/>
    <col min="2" max="2" width="10.6640625" style="2" customWidth="1"/>
    <col min="3" max="3" width="9.6640625" style="2" customWidth="1"/>
    <col min="4" max="4" width="6.109375" style="2" customWidth="1"/>
    <col min="5" max="5" width="12.6640625" style="2" customWidth="1"/>
    <col min="6" max="6" width="10.33203125" style="2" customWidth="1"/>
    <col min="7" max="7" width="16.77734375" style="2" customWidth="1"/>
    <col min="8" max="8" width="9" style="2"/>
    <col min="9" max="9" width="7.44140625" style="2" customWidth="1"/>
    <col min="10" max="11" width="9" style="2"/>
    <col min="12" max="12" width="10.44140625" style="2" customWidth="1"/>
    <col min="13" max="13" width="12.21875" style="2" customWidth="1"/>
    <col min="14" max="16384" width="9" style="2"/>
  </cols>
  <sheetData>
    <row r="1" spans="1:17" x14ac:dyDescent="0.3">
      <c r="B1" s="2">
        <v>37</v>
      </c>
      <c r="C1" s="2" t="s">
        <v>41</v>
      </c>
      <c r="E1" s="2" t="s">
        <v>136</v>
      </c>
      <c r="F1" s="2">
        <v>4.5999999999999996</v>
      </c>
    </row>
    <row r="2" spans="1:17" x14ac:dyDescent="0.3">
      <c r="B2" s="2">
        <v>44</v>
      </c>
      <c r="C2" s="2" t="s">
        <v>42</v>
      </c>
      <c r="E2" s="2" t="s">
        <v>137</v>
      </c>
      <c r="F2" s="2">
        <v>4.8</v>
      </c>
    </row>
    <row r="3" spans="1:17" x14ac:dyDescent="0.3">
      <c r="B3" s="2">
        <v>52</v>
      </c>
      <c r="C3" s="2" t="s">
        <v>43</v>
      </c>
      <c r="F3" s="2">
        <v>5.6</v>
      </c>
    </row>
    <row r="4" spans="1:17" x14ac:dyDescent="0.3">
      <c r="F4" s="2">
        <v>5.8</v>
      </c>
      <c r="H4" s="117" t="s">
        <v>7</v>
      </c>
      <c r="I4" s="117"/>
      <c r="L4" s="117" t="s">
        <v>140</v>
      </c>
      <c r="M4" s="117"/>
    </row>
    <row r="5" spans="1:17" ht="20.399999999999999" x14ac:dyDescent="0.3">
      <c r="A5" s="141" t="s">
        <v>0</v>
      </c>
      <c r="B5" s="141"/>
      <c r="C5" s="125" t="s">
        <v>1</v>
      </c>
      <c r="D5" s="125"/>
      <c r="E5" s="142" t="s">
        <v>2</v>
      </c>
      <c r="F5" s="2">
        <v>6.8</v>
      </c>
      <c r="H5" s="9" t="s">
        <v>134</v>
      </c>
      <c r="I5" s="5">
        <v>30</v>
      </c>
      <c r="J5" s="3" t="s">
        <v>135</v>
      </c>
      <c r="L5" s="9" t="s">
        <v>134</v>
      </c>
      <c r="M5" s="5">
        <v>30</v>
      </c>
      <c r="N5" s="3" t="s">
        <v>135</v>
      </c>
    </row>
    <row r="6" spans="1:17" x14ac:dyDescent="0.3">
      <c r="A6" s="141"/>
      <c r="B6" s="141"/>
      <c r="C6" s="125"/>
      <c r="D6" s="125"/>
      <c r="E6" s="143"/>
      <c r="F6" s="2">
        <v>8.8000000000000007</v>
      </c>
      <c r="H6" s="9" t="s">
        <v>9</v>
      </c>
      <c r="I6" s="5">
        <v>15</v>
      </c>
      <c r="J6" s="3" t="s">
        <v>135</v>
      </c>
      <c r="L6" s="9" t="s">
        <v>9</v>
      </c>
      <c r="M6" s="5">
        <v>15</v>
      </c>
      <c r="N6" s="3" t="s">
        <v>135</v>
      </c>
    </row>
    <row r="7" spans="1:17" x14ac:dyDescent="0.3">
      <c r="A7" s="123" t="s">
        <v>3</v>
      </c>
      <c r="B7" s="124"/>
      <c r="C7" s="126">
        <v>37</v>
      </c>
      <c r="D7" s="126"/>
      <c r="E7" s="126"/>
      <c r="F7" s="2">
        <v>10.9</v>
      </c>
      <c r="H7" s="9" t="s">
        <v>10</v>
      </c>
      <c r="I7" s="5">
        <v>1</v>
      </c>
      <c r="J7" s="3" t="s">
        <v>135</v>
      </c>
      <c r="L7" s="9" t="s">
        <v>10</v>
      </c>
      <c r="M7" s="5">
        <v>1</v>
      </c>
      <c r="N7" s="3" t="s">
        <v>135</v>
      </c>
    </row>
    <row r="8" spans="1:17" ht="20.399999999999999" x14ac:dyDescent="0.3">
      <c r="A8" s="123" t="s">
        <v>76</v>
      </c>
      <c r="B8" s="124"/>
      <c r="C8" s="97">
        <f>IF(C7=B1,2.4,IF(C7=B2,2.8,3.6))</f>
        <v>2.4</v>
      </c>
      <c r="D8" s="97"/>
      <c r="E8" s="3" t="s">
        <v>78</v>
      </c>
      <c r="H8" s="9" t="s">
        <v>11</v>
      </c>
      <c r="I8" s="5">
        <v>2</v>
      </c>
      <c r="J8" s="3" t="s">
        <v>135</v>
      </c>
      <c r="L8" s="9" t="s">
        <v>11</v>
      </c>
      <c r="M8" s="5">
        <v>2</v>
      </c>
      <c r="N8" s="3" t="s">
        <v>135</v>
      </c>
    </row>
    <row r="9" spans="1:17" ht="20.399999999999999" x14ac:dyDescent="0.3">
      <c r="A9" s="123" t="s">
        <v>77</v>
      </c>
      <c r="B9" s="124"/>
      <c r="C9" s="97">
        <f>IF(C7=B1,3.7,IF(C7=B2,4.4,5.2))</f>
        <v>3.7</v>
      </c>
      <c r="D9" s="97"/>
      <c r="E9" s="3" t="s">
        <v>78</v>
      </c>
      <c r="L9" s="13" t="s">
        <v>43</v>
      </c>
      <c r="M9" s="5">
        <v>2.8</v>
      </c>
      <c r="N9" s="3" t="s">
        <v>135</v>
      </c>
    </row>
    <row r="10" spans="1:17" ht="20.399999999999999" x14ac:dyDescent="0.3">
      <c r="A10" s="123" t="s">
        <v>88</v>
      </c>
      <c r="B10" s="124"/>
      <c r="C10" s="97">
        <f>ROUND(((H11/((I5+I8)))+(H12/2)),2)</f>
        <v>40.11</v>
      </c>
      <c r="D10" s="97"/>
      <c r="E10" s="3" t="s">
        <v>6</v>
      </c>
      <c r="G10" s="30" t="s">
        <v>126</v>
      </c>
    </row>
    <row r="11" spans="1:17" ht="20.399999999999999" x14ac:dyDescent="0.3">
      <c r="A11" s="123" t="s">
        <v>89</v>
      </c>
      <c r="B11" s="124"/>
      <c r="C11" s="97">
        <f>ROUND(ABS(-1*(H11/((I5+I8)))+(H12/2)),2)</f>
        <v>40.32</v>
      </c>
      <c r="D11" s="97"/>
      <c r="E11" s="3" t="s">
        <v>6</v>
      </c>
      <c r="G11" s="29" t="s">
        <v>79</v>
      </c>
      <c r="H11" s="5">
        <v>1287</v>
      </c>
      <c r="I11" s="3" t="s">
        <v>4</v>
      </c>
    </row>
    <row r="12" spans="1:17" x14ac:dyDescent="0.3">
      <c r="A12" s="133" t="s">
        <v>37</v>
      </c>
      <c r="B12" s="134"/>
      <c r="C12" s="14" t="s">
        <v>38</v>
      </c>
      <c r="D12" s="5">
        <v>20</v>
      </c>
      <c r="E12" s="3" t="s">
        <v>72</v>
      </c>
      <c r="G12" s="29" t="s">
        <v>5</v>
      </c>
      <c r="H12" s="5">
        <v>-0.21</v>
      </c>
      <c r="I12" s="3" t="s">
        <v>6</v>
      </c>
      <c r="Q12" s="63"/>
    </row>
    <row r="13" spans="1:17" ht="20.399999999999999" x14ac:dyDescent="0.3">
      <c r="A13" s="135"/>
      <c r="B13" s="136"/>
      <c r="C13" s="3" t="s">
        <v>39</v>
      </c>
      <c r="D13" s="5">
        <v>10.9</v>
      </c>
      <c r="E13" s="3" t="s">
        <v>73</v>
      </c>
      <c r="G13" s="29" t="s">
        <v>80</v>
      </c>
      <c r="H13" s="5">
        <v>5.9</v>
      </c>
      <c r="I13" s="3" t="s">
        <v>6</v>
      </c>
    </row>
    <row r="14" spans="1:17" ht="20.399999999999999" x14ac:dyDescent="0.3">
      <c r="A14" s="135"/>
      <c r="B14" s="136"/>
      <c r="C14" s="3" t="s">
        <v>77</v>
      </c>
      <c r="D14" s="3">
        <f>IF(D13=F1,4,IF(D13=F2,4,IF(OR(D13=F3,D13=F4),5,IF(D13=F5,6,IF(D13=F6,8,IF(D13=F7,10))))))</f>
        <v>10</v>
      </c>
      <c r="E14" s="3" t="s">
        <v>78</v>
      </c>
    </row>
    <row r="15" spans="1:17" ht="20.399999999999999" x14ac:dyDescent="0.3">
      <c r="A15" s="135"/>
      <c r="B15" s="136"/>
      <c r="C15" s="3" t="s">
        <v>76</v>
      </c>
      <c r="D15" s="3">
        <f>IF(D13=F1,2.4,IF(D13=F2,3.2,IF(D13=F3,3,IF(D13=F4,4,IF(D13=F5,4.8,IF(D13=F6,6.4,IF(D13=F7,9)))))))</f>
        <v>9</v>
      </c>
      <c r="E15" s="3" t="s">
        <v>78</v>
      </c>
    </row>
    <row r="16" spans="1:17" x14ac:dyDescent="0.3">
      <c r="A16" s="135"/>
      <c r="B16" s="136"/>
      <c r="C16" s="9" t="s">
        <v>138</v>
      </c>
      <c r="D16" s="154" t="s">
        <v>43</v>
      </c>
      <c r="E16" s="155"/>
      <c r="G16" s="118" t="s">
        <v>49</v>
      </c>
      <c r="H16" s="118"/>
    </row>
    <row r="17" spans="1:15" x14ac:dyDescent="0.3">
      <c r="A17" s="137"/>
      <c r="B17" s="138"/>
      <c r="C17" s="9" t="s">
        <v>52</v>
      </c>
      <c r="D17" s="5">
        <v>4</v>
      </c>
      <c r="E17" s="3" t="s">
        <v>142</v>
      </c>
      <c r="F17" s="2" t="s">
        <v>63</v>
      </c>
      <c r="G17" s="118"/>
      <c r="H17" s="118"/>
    </row>
    <row r="18" spans="1:15" ht="18.600000000000001" thickBot="1" x14ac:dyDescent="0.35">
      <c r="A18" s="116" t="s">
        <v>45</v>
      </c>
      <c r="B18" s="116"/>
      <c r="C18" s="97">
        <f>MAX(0.5*C20,1.5*0.1*D12)</f>
        <v>3.75</v>
      </c>
      <c r="D18" s="97"/>
      <c r="E18" s="3" t="s">
        <v>31</v>
      </c>
    </row>
    <row r="19" spans="1:15" x14ac:dyDescent="0.3">
      <c r="A19" s="116" t="s">
        <v>46</v>
      </c>
      <c r="B19" s="116"/>
      <c r="C19" s="97">
        <f>4*0.1*D12</f>
        <v>8</v>
      </c>
      <c r="D19" s="97"/>
      <c r="E19" s="3" t="s">
        <v>31</v>
      </c>
      <c r="G19" s="119" t="s">
        <v>62</v>
      </c>
      <c r="H19" s="120"/>
      <c r="I19" s="120"/>
      <c r="J19" s="129"/>
      <c r="L19" s="140" t="s">
        <v>144</v>
      </c>
      <c r="M19" s="140"/>
    </row>
    <row r="20" spans="1:15" ht="20.399999999999999" x14ac:dyDescent="0.3">
      <c r="A20" s="116" t="s">
        <v>139</v>
      </c>
      <c r="B20" s="116"/>
      <c r="C20" s="131">
        <f>ROUND((I5)/D17,2)</f>
        <v>7.5</v>
      </c>
      <c r="D20" s="132"/>
      <c r="E20" s="3" t="s">
        <v>31</v>
      </c>
      <c r="G20" s="20" t="s">
        <v>106</v>
      </c>
      <c r="H20" s="3">
        <f>MIN(I8,D23)</f>
        <v>2</v>
      </c>
      <c r="I20" s="3" t="s">
        <v>31</v>
      </c>
      <c r="J20" s="19"/>
      <c r="L20" s="3" t="s">
        <v>96</v>
      </c>
      <c r="M20" s="3">
        <f>((H13/(2*D17))/C25)^2+((H46)/(C24))^2</f>
        <v>1.036459970730587</v>
      </c>
      <c r="N20" s="3" t="str">
        <f>IF(M20&lt;=1,"Safe","Unsafe")</f>
        <v>Unsafe</v>
      </c>
    </row>
    <row r="21" spans="1:15" ht="20.399999999999999" x14ac:dyDescent="0.3">
      <c r="A21" s="116" t="s">
        <v>68</v>
      </c>
      <c r="B21" s="116"/>
      <c r="C21" s="3" t="s">
        <v>69</v>
      </c>
      <c r="D21" s="5">
        <v>34</v>
      </c>
      <c r="E21" s="3" t="s">
        <v>31</v>
      </c>
      <c r="G21" s="20" t="s">
        <v>107</v>
      </c>
      <c r="H21" s="3">
        <f>MIN(D23,I7)</f>
        <v>1</v>
      </c>
      <c r="I21" s="3" t="s">
        <v>31</v>
      </c>
      <c r="J21" s="19"/>
    </row>
    <row r="22" spans="1:15" ht="20.399999999999999" x14ac:dyDescent="0.3">
      <c r="A22" s="116"/>
      <c r="B22" s="116"/>
      <c r="C22" s="3" t="s">
        <v>42</v>
      </c>
      <c r="D22" s="5">
        <v>15</v>
      </c>
      <c r="E22" s="3" t="s">
        <v>31</v>
      </c>
      <c r="G22" s="20" t="s">
        <v>108</v>
      </c>
      <c r="H22" s="3">
        <f>H20*(2*I6+4*0.4*I6)</f>
        <v>108</v>
      </c>
      <c r="I22" s="3" t="s">
        <v>109</v>
      </c>
      <c r="J22" s="19"/>
      <c r="L22" s="147" t="s">
        <v>145</v>
      </c>
      <c r="M22" s="147"/>
    </row>
    <row r="23" spans="1:15" ht="20.399999999999999" x14ac:dyDescent="0.3">
      <c r="A23" s="116"/>
      <c r="B23" s="116"/>
      <c r="C23" s="3" t="s">
        <v>114</v>
      </c>
      <c r="D23" s="3">
        <f>1.5*D12*0.1</f>
        <v>3</v>
      </c>
      <c r="E23" s="3" t="s">
        <v>31</v>
      </c>
      <c r="G23" s="20" t="s">
        <v>110</v>
      </c>
      <c r="H23" s="3">
        <f>2*(H21*0.8*I5)</f>
        <v>48</v>
      </c>
      <c r="I23" s="3" t="s">
        <v>109</v>
      </c>
      <c r="J23" s="19"/>
      <c r="L23" s="3" t="s">
        <v>99</v>
      </c>
      <c r="M23" s="3">
        <f>SQRT((4*C31)/(C20*0.85*C8))</f>
        <v>2.6837686895641673</v>
      </c>
      <c r="N23" s="3" t="s">
        <v>135</v>
      </c>
      <c r="O23" s="3" t="str">
        <f>IF(M23&lt;=D23,"Safe","Unsafe")</f>
        <v>Safe</v>
      </c>
    </row>
    <row r="24" spans="1:15" ht="20.399999999999999" x14ac:dyDescent="0.3">
      <c r="A24" s="130" t="s">
        <v>98</v>
      </c>
      <c r="B24" s="130"/>
      <c r="C24" s="97">
        <f>ROUND(IF(D16=H11, 0.7*0.66*D14*0.78*((22/7)/4)*(D12/10)^2, 0.7*0.8*D14*0.78*((22/7)/4)*(D12/10)^2),2)</f>
        <v>13.73</v>
      </c>
      <c r="D24" s="97"/>
      <c r="E24" s="15" t="s">
        <v>44</v>
      </c>
      <c r="G24" s="20" t="s">
        <v>111</v>
      </c>
      <c r="H24" s="3">
        <f>H22+H23</f>
        <v>156</v>
      </c>
      <c r="I24" s="3" t="s">
        <v>109</v>
      </c>
      <c r="J24" s="19"/>
      <c r="L24" s="156" t="str">
        <f>IF(O23=E2,"Take tp = tp min.","")</f>
        <v/>
      </c>
      <c r="M24" s="156"/>
      <c r="N24" s="156"/>
    </row>
    <row r="25" spans="1:15" ht="21" thickBot="1" x14ac:dyDescent="0.35">
      <c r="A25" s="116" t="s">
        <v>100</v>
      </c>
      <c r="B25" s="116"/>
      <c r="C25" s="97">
        <f>ROUND(IF(OR(D13=F1,D13=F3,D13=F6),0.6*0.6*D14*((22/7)/4)*(0.1*D12)^2,0.6*0.5*D14*0.78*((22/7)/4)*(0.1*D12)^2),2)</f>
        <v>7.35</v>
      </c>
      <c r="D25" s="97"/>
      <c r="E25" s="3" t="s">
        <v>44</v>
      </c>
      <c r="G25" s="20" t="s">
        <v>112</v>
      </c>
      <c r="H25" s="3">
        <f>2*((H21*2*0.8*(I5)^3)/12)+4*(((0.4*I6*(I8^3))/12)+(H20*0.4*I6)*(0.5*I5-I8-0.5*H20)^2)+2*((I6*(I8^3)/12)+(H20*I6)*(0.5*I5+0.5*H20)^2)</f>
        <v>29508</v>
      </c>
      <c r="I25" s="3" t="s">
        <v>113</v>
      </c>
      <c r="J25" s="19"/>
    </row>
    <row r="26" spans="1:15" x14ac:dyDescent="0.3">
      <c r="A26" s="123" t="s">
        <v>48</v>
      </c>
      <c r="B26" s="124"/>
      <c r="C26" s="97">
        <f>2.5*0.1*D12</f>
        <v>5</v>
      </c>
      <c r="D26" s="97"/>
      <c r="E26" s="3" t="s">
        <v>31</v>
      </c>
      <c r="G26" s="22"/>
      <c r="J26" s="19"/>
      <c r="L26" s="119" t="s">
        <v>146</v>
      </c>
      <c r="M26" s="120"/>
      <c r="N26" s="17"/>
      <c r="O26" s="18"/>
    </row>
    <row r="27" spans="1:15" x14ac:dyDescent="0.3">
      <c r="A27" s="116" t="s">
        <v>9</v>
      </c>
      <c r="B27" s="116"/>
      <c r="C27" s="97">
        <f>2.5*0.1*D12</f>
        <v>5</v>
      </c>
      <c r="D27" s="97"/>
      <c r="E27" s="3" t="s">
        <v>31</v>
      </c>
      <c r="G27" s="26" t="s">
        <v>64</v>
      </c>
      <c r="J27" s="19"/>
      <c r="L27" s="121" t="s">
        <v>56</v>
      </c>
      <c r="M27" s="122"/>
      <c r="O27" s="19"/>
    </row>
    <row r="28" spans="1:15" ht="20.399999999999999" x14ac:dyDescent="0.3">
      <c r="A28" s="116" t="s">
        <v>47</v>
      </c>
      <c r="B28" s="116"/>
      <c r="C28" s="97">
        <f>ROUND((((0.5-((0.5*D22*(D23)^4)/(30*C26*(C27^2)*0.78*((22/7)/4)*(0.1*D12)^2)))/(((3*C26)/(4*C27))*((C26/(4*C27))+1)+((0.5*D22*(D23)^4)/(30*C26*(C27^2)*0.78*((22/7)/4)*(0.1*D12)^2)))))*H45,2)</f>
        <v>4.2</v>
      </c>
      <c r="D28" s="97"/>
      <c r="E28" s="3" t="s">
        <v>44</v>
      </c>
      <c r="G28" s="20" t="s">
        <v>65</v>
      </c>
      <c r="H28" s="3">
        <f>((H11*((0.5*I5+I8)+H20))/H25)+(H12/H24)</f>
        <v>0.82734437075734346</v>
      </c>
      <c r="I28" s="3" t="str">
        <f>IF(H28&lt;=0.7*0.4*C9,"Safe","Unsafe")</f>
        <v>Safe</v>
      </c>
      <c r="J28" s="19"/>
      <c r="L28" s="20" t="s">
        <v>93</v>
      </c>
      <c r="M28" s="3">
        <f>0.85*6.25*(M8)^2*C8</f>
        <v>51</v>
      </c>
      <c r="N28" s="3" t="s">
        <v>44</v>
      </c>
      <c r="O28" s="21" t="str">
        <f>IF(C10&lt;=M28,"Safe","Unsafe")</f>
        <v>Safe</v>
      </c>
    </row>
    <row r="29" spans="1:15" ht="20.399999999999999" x14ac:dyDescent="0.3">
      <c r="A29" s="116" t="s">
        <v>102</v>
      </c>
      <c r="B29" s="116"/>
      <c r="C29" s="97">
        <f>ROUND(C28*C26,2)</f>
        <v>21</v>
      </c>
      <c r="D29" s="97"/>
      <c r="E29" s="3" t="s">
        <v>51</v>
      </c>
      <c r="G29" s="22"/>
      <c r="J29" s="19"/>
      <c r="L29" s="157" t="str">
        <f>IF(O28=E2,"Use Doubler Plate","")</f>
        <v/>
      </c>
      <c r="M29" s="156"/>
      <c r="N29" s="156"/>
      <c r="O29" s="158"/>
    </row>
    <row r="30" spans="1:15" ht="20.399999999999999" x14ac:dyDescent="0.3">
      <c r="A30" s="116" t="s">
        <v>104</v>
      </c>
      <c r="B30" s="116"/>
      <c r="C30" s="97">
        <f>ROUND((H45*C27)-(C28*C26),2)</f>
        <v>27.55</v>
      </c>
      <c r="D30" s="97"/>
      <c r="E30" s="3" t="s">
        <v>51</v>
      </c>
      <c r="G30" s="127" t="s">
        <v>66</v>
      </c>
      <c r="H30" s="128"/>
      <c r="J30" s="19"/>
      <c r="L30" s="20" t="s">
        <v>114</v>
      </c>
      <c r="M30" s="5">
        <v>0</v>
      </c>
      <c r="N30" s="3" t="s">
        <v>31</v>
      </c>
      <c r="O30" s="19"/>
    </row>
    <row r="31" spans="1:15" ht="20.399999999999999" x14ac:dyDescent="0.3">
      <c r="A31" s="116" t="s">
        <v>105</v>
      </c>
      <c r="B31" s="116"/>
      <c r="C31" s="97">
        <f>MAX(C29,C30)</f>
        <v>27.55</v>
      </c>
      <c r="D31" s="97"/>
      <c r="E31" s="3" t="s">
        <v>51</v>
      </c>
      <c r="G31" s="20" t="s">
        <v>65</v>
      </c>
      <c r="H31" s="3">
        <f>((H11*(0.5*0.8*I5))/H25)+(H12/H24)</f>
        <v>0.52203733537710761</v>
      </c>
      <c r="I31" s="3" t="s">
        <v>78</v>
      </c>
      <c r="J31" s="19"/>
      <c r="L31" s="20" t="s">
        <v>93</v>
      </c>
      <c r="M31" s="3">
        <f>0.85*6.25*(M8+M30)^2*C8</f>
        <v>51</v>
      </c>
      <c r="N31" s="3" t="s">
        <v>44</v>
      </c>
      <c r="O31" s="21" t="str">
        <f>IF(C11&lt;=M31,"Safe","Unsafe")</f>
        <v>Safe</v>
      </c>
    </row>
    <row r="32" spans="1:15" ht="19.8" x14ac:dyDescent="0.3">
      <c r="G32" s="20" t="s">
        <v>67</v>
      </c>
      <c r="H32" s="3">
        <f>H13/H23</f>
        <v>0.12291666666666667</v>
      </c>
      <c r="I32" s="3" t="s">
        <v>78</v>
      </c>
      <c r="J32" s="19"/>
      <c r="L32" s="22"/>
      <c r="O32" s="19"/>
    </row>
    <row r="33" spans="7:15" ht="20.399999999999999" thickBot="1" x14ac:dyDescent="0.35">
      <c r="G33" s="23" t="s">
        <v>115</v>
      </c>
      <c r="H33" s="24">
        <f>SQRT(H31^2+3*H32^2)</f>
        <v>0.5637805427300272</v>
      </c>
      <c r="I33" s="24" t="str">
        <f>IF(H33&lt;=1.1*0.7*0.4*C9,"Safe","Unsafe")</f>
        <v>Safe</v>
      </c>
      <c r="J33" s="27"/>
      <c r="L33" s="150" t="s">
        <v>58</v>
      </c>
      <c r="M33" s="151"/>
      <c r="O33" s="19"/>
    </row>
    <row r="34" spans="7:15" ht="21" thickBot="1" x14ac:dyDescent="0.35">
      <c r="L34" s="20" t="s">
        <v>97</v>
      </c>
      <c r="M34" s="3">
        <f>0.95*(I8+2*D23+5*M9)*M7*C8</f>
        <v>50.16</v>
      </c>
      <c r="N34" s="3" t="s">
        <v>44</v>
      </c>
      <c r="O34" s="21" t="str">
        <f>IF(C11&lt;=M34,"Safe","Unsafe")</f>
        <v>Safe</v>
      </c>
    </row>
    <row r="35" spans="7:15" x14ac:dyDescent="0.3">
      <c r="G35" s="119" t="s">
        <v>143</v>
      </c>
      <c r="H35" s="120"/>
      <c r="I35" s="17"/>
      <c r="J35" s="18"/>
      <c r="L35" s="157" t="str">
        <f>IF(M34=E2,"Use Doubler Plate","")</f>
        <v/>
      </c>
      <c r="M35" s="156"/>
      <c r="N35" s="156"/>
      <c r="O35" s="158"/>
    </row>
    <row r="36" spans="7:15" ht="20.399999999999999" x14ac:dyDescent="0.3">
      <c r="G36" s="20" t="s">
        <v>116</v>
      </c>
      <c r="H36" s="3">
        <f>IF(D17&lt;6,0,ROUND(0.5*I8+C18+C20+C20+C20+C20+C20,2))</f>
        <v>0</v>
      </c>
      <c r="I36" s="3" t="s">
        <v>31</v>
      </c>
      <c r="J36" s="19"/>
      <c r="L36" s="20" t="s">
        <v>114</v>
      </c>
      <c r="M36" s="5">
        <v>0</v>
      </c>
      <c r="N36" s="3" t="s">
        <v>31</v>
      </c>
      <c r="O36" s="19"/>
    </row>
    <row r="37" spans="7:15" ht="20.399999999999999" x14ac:dyDescent="0.3">
      <c r="G37" s="20" t="s">
        <v>117</v>
      </c>
      <c r="H37" s="3">
        <f>IF(D17&lt;5,0,ROUND(0.5*I8+C18+C20+C20+C20+C20,2))</f>
        <v>0</v>
      </c>
      <c r="I37" s="3" t="s">
        <v>31</v>
      </c>
      <c r="J37" s="19"/>
      <c r="L37" s="20" t="s">
        <v>97</v>
      </c>
      <c r="M37" s="3">
        <f>0.95*(I8+2*D23+5*2*(M8+M36))*M7*C8</f>
        <v>63.839999999999989</v>
      </c>
      <c r="N37" s="3" t="s">
        <v>44</v>
      </c>
      <c r="O37" s="19" t="str">
        <f>IF(C11&lt;=M37,"Safe","Unsafe")</f>
        <v>Safe</v>
      </c>
    </row>
    <row r="38" spans="7:15" ht="20.399999999999999" x14ac:dyDescent="0.3">
      <c r="G38" s="20" t="s">
        <v>118</v>
      </c>
      <c r="H38" s="3">
        <f>ROUND(0.5*I8+C18+C20+C20+C20,2)</f>
        <v>27.25</v>
      </c>
      <c r="I38" s="3" t="s">
        <v>31</v>
      </c>
      <c r="J38" s="19"/>
      <c r="L38" s="22"/>
      <c r="O38" s="19"/>
    </row>
    <row r="39" spans="7:15" ht="20.399999999999999" x14ac:dyDescent="0.3">
      <c r="G39" s="20" t="s">
        <v>119</v>
      </c>
      <c r="H39" s="3">
        <f>ROUND(0.5*I8+C18+C20+C20,2)</f>
        <v>19.75</v>
      </c>
      <c r="I39" s="3" t="s">
        <v>31</v>
      </c>
      <c r="J39" s="19"/>
      <c r="L39" s="150" t="s">
        <v>59</v>
      </c>
      <c r="M39" s="151"/>
      <c r="O39" s="19"/>
    </row>
    <row r="40" spans="7:15" ht="20.399999999999999" x14ac:dyDescent="0.3">
      <c r="G40" s="20" t="s">
        <v>120</v>
      </c>
      <c r="H40" s="3">
        <f>ROUND(0.5*I8+C18+C20,2)</f>
        <v>12.25</v>
      </c>
      <c r="I40" s="3" t="s">
        <v>31</v>
      </c>
      <c r="J40" s="19"/>
      <c r="L40" s="20" t="s">
        <v>97</v>
      </c>
      <c r="M40" s="3">
        <f>0.7*(0.3627*(M7)^2*(1+3*((I8+2*D23)/(M5))*((M7)/(M8))^1.5)*SQRT(2100*C8*(M8/M7)))</f>
        <v>32.70011447783795</v>
      </c>
      <c r="N40" s="3" t="s">
        <v>44</v>
      </c>
      <c r="O40" s="21" t="str">
        <f>IF(C11&lt;=M40,"Safe","Unsafe")</f>
        <v>Unsafe</v>
      </c>
    </row>
    <row r="41" spans="7:15" ht="20.399999999999999" x14ac:dyDescent="0.3">
      <c r="G41" s="20" t="s">
        <v>121</v>
      </c>
      <c r="H41" s="3">
        <f>ROUND(0.5*I8+C18,2)</f>
        <v>4.75</v>
      </c>
      <c r="I41" s="3" t="s">
        <v>31</v>
      </c>
      <c r="J41" s="19"/>
      <c r="L41" s="157" t="str">
        <f>IF(O40=E2,"Use Doubler Plate","")</f>
        <v>Use Doubler Plate</v>
      </c>
      <c r="M41" s="156"/>
      <c r="N41" s="156"/>
      <c r="O41" s="158"/>
    </row>
    <row r="42" spans="7:15" ht="21" thickBot="1" x14ac:dyDescent="0.35">
      <c r="G42" s="28" t="s">
        <v>122</v>
      </c>
      <c r="H42" s="16">
        <f>H36^2+H37^2+H38^2+H39^2+H40^2+H41^2</f>
        <v>1305.25</v>
      </c>
      <c r="I42" s="16" t="s">
        <v>109</v>
      </c>
      <c r="J42" s="19"/>
      <c r="L42" s="20" t="s">
        <v>114</v>
      </c>
      <c r="M42" s="5">
        <v>2.2000000000000002</v>
      </c>
      <c r="N42" s="3" t="s">
        <v>31</v>
      </c>
      <c r="O42" s="19"/>
    </row>
    <row r="43" spans="7:15" ht="21.6" thickBot="1" x14ac:dyDescent="0.35">
      <c r="G43" s="144" t="s">
        <v>141</v>
      </c>
      <c r="H43" s="145"/>
      <c r="I43" s="145"/>
      <c r="J43" s="146"/>
      <c r="L43" s="20" t="s">
        <v>97</v>
      </c>
      <c r="M43" s="3">
        <f>0.7*(0.3627*(M7)^2*(1+3*((I8+2*D23)/(M5))*((M7)/(M8+M42))^1.5)*SQRT(2100*C8*((M8+M42)/M7)))</f>
        <v>40.372251300555995</v>
      </c>
      <c r="N43" s="3" t="s">
        <v>44</v>
      </c>
      <c r="O43" s="19" t="str">
        <f>IF(C11&lt;=M43,"Safe","Unsafe")</f>
        <v>Safe</v>
      </c>
    </row>
    <row r="44" spans="7:15" ht="20.399999999999999" x14ac:dyDescent="0.3">
      <c r="G44" s="20" t="s">
        <v>123</v>
      </c>
      <c r="H44" s="3">
        <f>ROUND(((H11*H38)/(2*H42))+(H12/(2*D17)),2)</f>
        <v>13.41</v>
      </c>
      <c r="I44" s="3" t="s">
        <v>44</v>
      </c>
      <c r="J44" s="21" t="str">
        <f>IF(H44&lt;=C24,"Safe","Unsafe")</f>
        <v>Safe</v>
      </c>
      <c r="L44" s="22"/>
      <c r="O44" s="19"/>
    </row>
    <row r="45" spans="7:15" ht="20.399999999999999" x14ac:dyDescent="0.3">
      <c r="G45" s="20" t="s">
        <v>124</v>
      </c>
      <c r="H45" s="3">
        <f>ROUND(((H11*H39)/(2*H42))+(H12/(2*D17)),2)</f>
        <v>9.7100000000000009</v>
      </c>
      <c r="I45" s="3" t="s">
        <v>44</v>
      </c>
      <c r="J45" s="21" t="str">
        <f>IF(H45&lt;=C24,"Safe","Unsafe")</f>
        <v>Safe</v>
      </c>
      <c r="L45" s="148" t="s">
        <v>60</v>
      </c>
      <c r="M45" s="149"/>
      <c r="O45" s="19"/>
    </row>
    <row r="46" spans="7:15" ht="21" thickBot="1" x14ac:dyDescent="0.35">
      <c r="G46" s="23" t="s">
        <v>125</v>
      </c>
      <c r="H46" s="24">
        <f>H45+C28</f>
        <v>13.91</v>
      </c>
      <c r="I46" s="24" t="s">
        <v>44</v>
      </c>
      <c r="J46" s="25" t="str">
        <f>IF(H46&lt;=C24,"Safe","Unsafe")</f>
        <v>Unsafe</v>
      </c>
      <c r="L46" s="20" t="s">
        <v>101</v>
      </c>
      <c r="M46" s="5">
        <v>5.9</v>
      </c>
      <c r="N46" s="3" t="s">
        <v>44</v>
      </c>
      <c r="O46" s="19"/>
    </row>
    <row r="47" spans="7:15" x14ac:dyDescent="0.3">
      <c r="L47" s="20" t="s">
        <v>61</v>
      </c>
      <c r="M47" s="3">
        <f>H11/((I5+I8))</f>
        <v>40.21875</v>
      </c>
      <c r="N47" s="3" t="s">
        <v>44</v>
      </c>
      <c r="O47" s="19"/>
    </row>
    <row r="48" spans="7:15" ht="20.399999999999999" x14ac:dyDescent="0.3">
      <c r="L48" s="20" t="s">
        <v>103</v>
      </c>
      <c r="M48" s="3">
        <f>IF(M46&lt;=(0.4*C8*M5*M7),0.85*M5*M7*0.6*C8,0.85*M5*M7*0.6*C8*(1.4-(M46/(C8*M5*M7))))</f>
        <v>36.72</v>
      </c>
      <c r="N48" s="3" t="s">
        <v>44</v>
      </c>
      <c r="O48" s="21" t="str">
        <f>IF(M47&lt;=M48,"Safe","Unsafe")</f>
        <v>Unsafe</v>
      </c>
    </row>
    <row r="49" spans="12:15" x14ac:dyDescent="0.3">
      <c r="L49" s="152" t="str">
        <f>IF(O48=E2,"Use Doubler Plate","")</f>
        <v>Use Doubler Plate</v>
      </c>
      <c r="M49" s="106"/>
      <c r="N49" s="106"/>
      <c r="O49" s="153"/>
    </row>
    <row r="50" spans="12:15" ht="20.399999999999999" x14ac:dyDescent="0.3">
      <c r="L50" s="20" t="s">
        <v>114</v>
      </c>
      <c r="M50" s="5">
        <v>2.2000000000000002</v>
      </c>
      <c r="N50" s="3" t="s">
        <v>31</v>
      </c>
      <c r="O50" s="19"/>
    </row>
    <row r="51" spans="12:15" ht="21" thickBot="1" x14ac:dyDescent="0.35">
      <c r="L51" s="23" t="s">
        <v>103</v>
      </c>
      <c r="M51" s="24">
        <f>IF(M46&lt;=(0.4*C8*M5*(M7+M50)),0.85*M5*(M7+M50)*0.6*C8,0.85*M5*(M7+M50)*0.6*C8*(1.4-(M46/(C8*M5*(M7+M50)))))</f>
        <v>117.50399999999999</v>
      </c>
      <c r="N51" s="24" t="s">
        <v>44</v>
      </c>
      <c r="O51" s="27" t="str">
        <f>IF(M47&lt;=M51,"Safe","Unsafe")</f>
        <v>Safe</v>
      </c>
    </row>
  </sheetData>
  <mergeCells count="57">
    <mergeCell ref="H4:I4"/>
    <mergeCell ref="A5:B6"/>
    <mergeCell ref="C5:D6"/>
    <mergeCell ref="E5:E6"/>
    <mergeCell ref="A7:B7"/>
    <mergeCell ref="C7:E7"/>
    <mergeCell ref="A18:B18"/>
    <mergeCell ref="C18:D18"/>
    <mergeCell ref="G19:J19"/>
    <mergeCell ref="A8:B8"/>
    <mergeCell ref="C8:D8"/>
    <mergeCell ref="A9:B9"/>
    <mergeCell ref="C9:D9"/>
    <mergeCell ref="A10:B10"/>
    <mergeCell ref="C10:D10"/>
    <mergeCell ref="A20:B20"/>
    <mergeCell ref="C20:D20"/>
    <mergeCell ref="L22:M22"/>
    <mergeCell ref="L4:M4"/>
    <mergeCell ref="L29:O29"/>
    <mergeCell ref="A26:B26"/>
    <mergeCell ref="C26:D26"/>
    <mergeCell ref="A27:B27"/>
    <mergeCell ref="C27:D27"/>
    <mergeCell ref="L19:M19"/>
    <mergeCell ref="A19:B19"/>
    <mergeCell ref="C19:D19"/>
    <mergeCell ref="A11:B11"/>
    <mergeCell ref="C11:D11"/>
    <mergeCell ref="A12:B17"/>
    <mergeCell ref="G16:H17"/>
    <mergeCell ref="L35:O35"/>
    <mergeCell ref="L41:O41"/>
    <mergeCell ref="A28:B28"/>
    <mergeCell ref="C28:D28"/>
    <mergeCell ref="A29:B29"/>
    <mergeCell ref="C29:D29"/>
    <mergeCell ref="L39:M39"/>
    <mergeCell ref="A30:B30"/>
    <mergeCell ref="C30:D30"/>
    <mergeCell ref="L33:M33"/>
    <mergeCell ref="L49:O49"/>
    <mergeCell ref="D16:E16"/>
    <mergeCell ref="L24:N24"/>
    <mergeCell ref="A31:B31"/>
    <mergeCell ref="C31:D31"/>
    <mergeCell ref="G35:H35"/>
    <mergeCell ref="L45:M45"/>
    <mergeCell ref="G43:J43"/>
    <mergeCell ref="G30:H30"/>
    <mergeCell ref="A21:B23"/>
    <mergeCell ref="L26:M26"/>
    <mergeCell ref="L27:M27"/>
    <mergeCell ref="A24:B24"/>
    <mergeCell ref="C24:D24"/>
    <mergeCell ref="A25:B25"/>
    <mergeCell ref="C25:D25"/>
  </mergeCells>
  <conditionalFormatting sqref="N20 O23 O28 O34 O40 O48 I28 I33 J44:J46">
    <cfRule type="cellIs" dxfId="36" priority="8" operator="equal">
      <formula>"Safe"</formula>
    </cfRule>
  </conditionalFormatting>
  <conditionalFormatting sqref="N20 O23 O28 O34 O40 O48 I28 I33 J44:J46">
    <cfRule type="cellIs" dxfId="35" priority="7" operator="equal">
      <formula>"Unsafe"</formula>
    </cfRule>
  </conditionalFormatting>
  <conditionalFormatting sqref="O31">
    <cfRule type="cellIs" dxfId="34" priority="6" operator="equal">
      <formula>"Safe"</formula>
    </cfRule>
  </conditionalFormatting>
  <conditionalFormatting sqref="O31">
    <cfRule type="cellIs" dxfId="33" priority="5" operator="equal">
      <formula>"Unsafe"</formula>
    </cfRule>
  </conditionalFormatting>
  <conditionalFormatting sqref="O37 O43 O51">
    <cfRule type="cellIs" dxfId="32" priority="3" operator="equal">
      <formula>"unsafe"</formula>
    </cfRule>
    <cfRule type="cellIs" dxfId="31" priority="4" operator="equal">
      <formula>"safe"</formula>
    </cfRule>
  </conditionalFormatting>
  <conditionalFormatting sqref="L29:O29 L35:O35 L41:O41 L49:O49">
    <cfRule type="cellIs" dxfId="30" priority="2" operator="equal">
      <formula>"use doubler plate"</formula>
    </cfRule>
  </conditionalFormatting>
  <conditionalFormatting sqref="L24:N24">
    <cfRule type="cellIs" dxfId="29" priority="1" operator="equal">
      <formula>"take tp = tp min."</formula>
    </cfRule>
  </conditionalFormatting>
  <dataValidations count="4">
    <dataValidation type="list" allowBlank="1" showInputMessage="1" showErrorMessage="1" sqref="N3" xr:uid="{85272B22-C8F7-48CE-81EE-3AB54DDB5CE6}">
      <formula1>$Q$4:$Q$27</formula1>
    </dataValidation>
    <dataValidation type="list" allowBlank="1" showInputMessage="1" showErrorMessage="1" sqref="D16" xr:uid="{608B5A51-2811-423C-B7DB-882564520278}">
      <formula1>$C$1:$C$3</formula1>
    </dataValidation>
    <dataValidation type="list" allowBlank="1" showInputMessage="1" showErrorMessage="1" sqref="D13" xr:uid="{5DC847DF-3C72-4F3A-932B-03BD54E1A43E}">
      <formula1>$F$1:$F$7</formula1>
    </dataValidation>
    <dataValidation type="list" allowBlank="1" showInputMessage="1" showErrorMessage="1" sqref="C7" xr:uid="{D24601BA-94EA-4FB6-9204-7EE5AC0425B7}">
      <formula1>$B$1:$B$3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54CC-4BE9-4F18-A675-1427C8D49B1C}">
  <dimension ref="A1:Q41"/>
  <sheetViews>
    <sheetView topLeftCell="A22" workbookViewId="0">
      <selection activeCell="J29" sqref="J29"/>
    </sheetView>
  </sheetViews>
  <sheetFormatPr defaultColWidth="9" defaultRowHeight="18" x14ac:dyDescent="0.3"/>
  <cols>
    <col min="1" max="1" width="12" style="66" customWidth="1"/>
    <col min="2" max="2" width="7.21875" style="66" customWidth="1"/>
    <col min="3" max="3" width="13.44140625" style="66" bestFit="1" customWidth="1"/>
    <col min="4" max="4" width="8" style="66" customWidth="1"/>
    <col min="5" max="5" width="5.6640625" style="66" bestFit="1" customWidth="1"/>
    <col min="6" max="6" width="6.88671875" style="66" bestFit="1" customWidth="1"/>
    <col min="7" max="7" width="7.88671875" style="66" customWidth="1"/>
    <col min="8" max="8" width="10.33203125" style="66" customWidth="1"/>
    <col min="9" max="9" width="9" style="66"/>
    <col min="10" max="10" width="7.44140625" style="66" customWidth="1"/>
    <col min="11" max="12" width="9" style="66"/>
    <col min="13" max="13" width="8.6640625" style="66" customWidth="1"/>
    <col min="14" max="14" width="8.21875" style="66" customWidth="1"/>
    <col min="15" max="15" width="7.33203125" style="66" customWidth="1"/>
    <col min="16" max="16" width="7.21875" style="66" customWidth="1"/>
    <col min="17" max="16384" width="9" style="66"/>
  </cols>
  <sheetData>
    <row r="1" spans="1:17" x14ac:dyDescent="0.3">
      <c r="A1" s="65">
        <v>37</v>
      </c>
      <c r="B1" s="65" t="s">
        <v>41</v>
      </c>
      <c r="C1" s="65" t="s">
        <v>136</v>
      </c>
      <c r="D1" s="65">
        <v>4.5999999999999996</v>
      </c>
    </row>
    <row r="2" spans="1:17" x14ac:dyDescent="0.3">
      <c r="A2" s="65">
        <v>44</v>
      </c>
      <c r="B2" s="65" t="s">
        <v>42</v>
      </c>
      <c r="C2" s="65" t="s">
        <v>137</v>
      </c>
      <c r="D2" s="65">
        <v>4.8</v>
      </c>
    </row>
    <row r="3" spans="1:17" x14ac:dyDescent="0.3">
      <c r="A3" s="65">
        <v>52</v>
      </c>
      <c r="B3" s="65" t="s">
        <v>43</v>
      </c>
      <c r="D3" s="65">
        <v>5.6</v>
      </c>
    </row>
    <row r="4" spans="1:17" ht="21" x14ac:dyDescent="0.3">
      <c r="A4" s="69" t="s">
        <v>173</v>
      </c>
      <c r="B4" s="162">
        <v>37</v>
      </c>
      <c r="C4" s="162"/>
      <c r="D4" s="65">
        <v>5.8</v>
      </c>
      <c r="E4" s="76" t="s">
        <v>126</v>
      </c>
      <c r="F4" s="76"/>
      <c r="I4" s="160" t="s">
        <v>49</v>
      </c>
      <c r="J4" s="160"/>
    </row>
    <row r="5" spans="1:17" ht="20.399999999999999" x14ac:dyDescent="0.3">
      <c r="A5" s="69" t="s">
        <v>177</v>
      </c>
      <c r="B5" s="66">
        <f>IF(B4=A1,2.4,IF(B4=A2,2.8,3.6))</f>
        <v>2.4</v>
      </c>
      <c r="C5" s="66" t="s">
        <v>178</v>
      </c>
      <c r="D5" s="65">
        <v>6.8</v>
      </c>
      <c r="E5" s="69" t="s">
        <v>179</v>
      </c>
      <c r="F5" s="67">
        <v>1287</v>
      </c>
      <c r="G5" s="66" t="s">
        <v>4</v>
      </c>
      <c r="I5" s="161" t="s">
        <v>165</v>
      </c>
      <c r="J5" s="161"/>
      <c r="K5" s="161"/>
      <c r="L5" s="68"/>
      <c r="N5" s="161" t="s">
        <v>144</v>
      </c>
      <c r="O5" s="161"/>
    </row>
    <row r="6" spans="1:17" ht="20.399999999999999" x14ac:dyDescent="0.3">
      <c r="A6" s="69" t="s">
        <v>180</v>
      </c>
      <c r="B6" s="66">
        <f>IF(B4=A1,3.7,IF(B4=A2,4.4,5.2))</f>
        <v>3.7</v>
      </c>
      <c r="C6" s="66" t="s">
        <v>178</v>
      </c>
      <c r="D6" s="65">
        <v>8.8000000000000007</v>
      </c>
      <c r="E6" s="69" t="s">
        <v>149</v>
      </c>
      <c r="F6" s="67">
        <v>-0.21</v>
      </c>
      <c r="G6" s="66" t="s">
        <v>6</v>
      </c>
      <c r="I6" s="69" t="s">
        <v>181</v>
      </c>
      <c r="J6" s="66">
        <f>MIN(F13,B25)</f>
        <v>2</v>
      </c>
      <c r="K6" s="66" t="s">
        <v>31</v>
      </c>
      <c r="N6" s="69" t="s">
        <v>162</v>
      </c>
      <c r="O6" s="66">
        <f>((F7/(2*B17))/J24)^2+((J40)/(J23))^2</f>
        <v>1.036459970730587</v>
      </c>
      <c r="P6" s="65" t="str">
        <f>IF(O6&lt;=1,"Safe","Unsafe")</f>
        <v>Unsafe</v>
      </c>
    </row>
    <row r="7" spans="1:17" ht="20.399999999999999" x14ac:dyDescent="0.3">
      <c r="D7" s="65">
        <v>10.9</v>
      </c>
      <c r="E7" s="69" t="s">
        <v>158</v>
      </c>
      <c r="F7" s="67">
        <v>5.9</v>
      </c>
      <c r="G7" s="66" t="s">
        <v>6</v>
      </c>
      <c r="I7" s="69" t="s">
        <v>182</v>
      </c>
      <c r="J7" s="66">
        <f>MIN(B25,F12)</f>
        <v>1</v>
      </c>
      <c r="K7" s="66" t="s">
        <v>31</v>
      </c>
    </row>
    <row r="8" spans="1:17" ht="20.399999999999999" x14ac:dyDescent="0.3">
      <c r="A8" s="69" t="s">
        <v>183</v>
      </c>
      <c r="B8" s="66">
        <f>ROUND(((F5/((F10+F13)))+(F6/2)),2)</f>
        <v>40.11</v>
      </c>
      <c r="C8" s="66" t="s">
        <v>6</v>
      </c>
      <c r="D8" s="70"/>
      <c r="I8" s="69" t="s">
        <v>184</v>
      </c>
      <c r="J8" s="66">
        <f>J6*(2*F11+4*0.4*F11)</f>
        <v>108</v>
      </c>
      <c r="K8" s="66" t="s">
        <v>185</v>
      </c>
    </row>
    <row r="9" spans="1:17" ht="20.399999999999999" x14ac:dyDescent="0.3">
      <c r="A9" s="69" t="s">
        <v>186</v>
      </c>
      <c r="B9" s="66">
        <f>ROUND(ABS(-1*(F5/((F10+F13)))+(F6/2)),2)</f>
        <v>40.32</v>
      </c>
      <c r="C9" s="66" t="s">
        <v>6</v>
      </c>
      <c r="D9" s="70"/>
      <c r="E9" s="75" t="s">
        <v>7</v>
      </c>
      <c r="F9" s="75"/>
      <c r="I9" s="69" t="s">
        <v>187</v>
      </c>
      <c r="J9" s="66">
        <f>2*(J7*0.8*F10)</f>
        <v>48</v>
      </c>
      <c r="K9" s="66" t="s">
        <v>185</v>
      </c>
      <c r="N9" s="161" t="s">
        <v>145</v>
      </c>
      <c r="O9" s="161"/>
      <c r="P9" s="161"/>
    </row>
    <row r="10" spans="1:17" ht="20.399999999999999" x14ac:dyDescent="0.3">
      <c r="B10" s="70"/>
      <c r="D10" s="70"/>
      <c r="E10" s="69" t="s">
        <v>188</v>
      </c>
      <c r="F10" s="67">
        <v>30</v>
      </c>
      <c r="G10" s="66" t="s">
        <v>135</v>
      </c>
      <c r="I10" s="69" t="s">
        <v>189</v>
      </c>
      <c r="J10" s="66">
        <f>J8+J9</f>
        <v>156</v>
      </c>
      <c r="K10" s="66" t="s">
        <v>185</v>
      </c>
      <c r="N10" s="69" t="s">
        <v>190</v>
      </c>
      <c r="O10" s="66">
        <f>ROUND(J27*J25,2)</f>
        <v>21</v>
      </c>
      <c r="P10" s="66" t="s">
        <v>51</v>
      </c>
    </row>
    <row r="11" spans="1:17" ht="20.399999999999999" x14ac:dyDescent="0.3">
      <c r="A11" s="71" t="s">
        <v>147</v>
      </c>
      <c r="B11" s="70"/>
      <c r="D11" s="70"/>
      <c r="E11" s="69" t="s">
        <v>159</v>
      </c>
      <c r="F11" s="67">
        <v>15</v>
      </c>
      <c r="G11" s="66" t="s">
        <v>135</v>
      </c>
      <c r="I11" s="69" t="s">
        <v>191</v>
      </c>
      <c r="J11" s="66">
        <f>2*((J7*2*0.8*(F10)^3)/12)+4*(((0.4*F11*(F13^3))/12)+(J6*0.4*F11)*(0.5*F10-F13-0.5*J6)^2)+2*((F11*(F13^3)/12)+(J6*F11)*(0.5*F10+0.5*J6)^2)</f>
        <v>29508</v>
      </c>
      <c r="K11" s="66" t="s">
        <v>192</v>
      </c>
      <c r="N11" s="69" t="s">
        <v>193</v>
      </c>
      <c r="O11" s="66">
        <f>ROUND((J39*J26)-(J27*J25),2)</f>
        <v>27.55</v>
      </c>
      <c r="P11" s="66" t="s">
        <v>51</v>
      </c>
    </row>
    <row r="12" spans="1:17" ht="20.399999999999999" x14ac:dyDescent="0.3">
      <c r="A12" s="72" t="s">
        <v>151</v>
      </c>
      <c r="B12" s="67">
        <v>20</v>
      </c>
      <c r="C12" s="66" t="s">
        <v>72</v>
      </c>
      <c r="E12" s="69" t="s">
        <v>161</v>
      </c>
      <c r="F12" s="67">
        <v>1</v>
      </c>
      <c r="G12" s="66" t="s">
        <v>135</v>
      </c>
      <c r="N12" s="69" t="s">
        <v>194</v>
      </c>
      <c r="O12" s="66">
        <f>MAX(O10,O11)</f>
        <v>27.55</v>
      </c>
      <c r="P12" s="66" t="s">
        <v>51</v>
      </c>
      <c r="Q12" s="73"/>
    </row>
    <row r="13" spans="1:17" ht="20.399999999999999" x14ac:dyDescent="0.3">
      <c r="A13" s="69" t="s">
        <v>152</v>
      </c>
      <c r="B13" s="67">
        <v>10.9</v>
      </c>
      <c r="C13" s="66" t="s">
        <v>73</v>
      </c>
      <c r="E13" s="69" t="s">
        <v>195</v>
      </c>
      <c r="F13" s="67">
        <v>2</v>
      </c>
      <c r="G13" s="66" t="s">
        <v>135</v>
      </c>
      <c r="I13" s="161" t="s">
        <v>64</v>
      </c>
      <c r="J13" s="161"/>
      <c r="L13" s="68"/>
      <c r="N13" s="69" t="s">
        <v>196</v>
      </c>
      <c r="O13" s="66">
        <f>SQRT((4*O12)/(B20*0.85*B5))</f>
        <v>2.6837686895641673</v>
      </c>
      <c r="P13" s="66" t="s">
        <v>135</v>
      </c>
      <c r="Q13" s="65" t="str">
        <f>IF(O13&lt;=B25,"Safe","Unsafe")</f>
        <v>Safe</v>
      </c>
    </row>
    <row r="14" spans="1:17" ht="20.399999999999999" x14ac:dyDescent="0.3">
      <c r="A14" s="69" t="s">
        <v>180</v>
      </c>
      <c r="B14" s="66">
        <f>IF(B13=D1,4,IF(B13=D2,4,IF(OR(B13=D3,B13=D4),5,IF(B13=D5,6,IF(B13=D6,8,IF(B13=D7,10))))))</f>
        <v>10</v>
      </c>
      <c r="C14" s="66" t="s">
        <v>178</v>
      </c>
      <c r="I14" s="69" t="s">
        <v>65</v>
      </c>
      <c r="J14" s="66">
        <f>((F5*((0.5*F10+F13)+J6))/J11)+(F6/J10)</f>
        <v>0.82734437075734346</v>
      </c>
      <c r="K14" s="65" t="str">
        <f>IF(J14&lt;=0.7*0.4*B6,"Safe","Unsafe")</f>
        <v>Safe</v>
      </c>
    </row>
    <row r="15" spans="1:17" ht="20.399999999999999" x14ac:dyDescent="0.3">
      <c r="A15" s="69" t="s">
        <v>177</v>
      </c>
      <c r="B15" s="66">
        <f>IF(B13=D1,2.4,IF(B13=D2,3.2,IF(B13=D3,3,IF(B13=D4,4,IF(B13=D5,4.8,IF(B13=D6,6.4,IF(B13=D7,9)))))))</f>
        <v>9</v>
      </c>
      <c r="C15" s="66" t="s">
        <v>178</v>
      </c>
      <c r="E15" s="75" t="s">
        <v>140</v>
      </c>
      <c r="F15" s="75"/>
    </row>
    <row r="16" spans="1:17" ht="20.399999999999999" x14ac:dyDescent="0.3">
      <c r="A16" s="69" t="s">
        <v>153</v>
      </c>
      <c r="B16" s="162" t="s">
        <v>43</v>
      </c>
      <c r="C16" s="162"/>
      <c r="E16" s="69" t="s">
        <v>188</v>
      </c>
      <c r="F16" s="67">
        <v>30</v>
      </c>
      <c r="G16" s="66" t="s">
        <v>135</v>
      </c>
      <c r="I16" s="161" t="s">
        <v>66</v>
      </c>
      <c r="J16" s="161"/>
      <c r="N16" s="161" t="s">
        <v>146</v>
      </c>
      <c r="O16" s="161"/>
    </row>
    <row r="17" spans="1:17" ht="19.8" x14ac:dyDescent="0.3">
      <c r="A17" s="69" t="s">
        <v>154</v>
      </c>
      <c r="B17" s="67">
        <v>4</v>
      </c>
      <c r="C17" s="66" t="s">
        <v>142</v>
      </c>
      <c r="E17" s="69" t="s">
        <v>159</v>
      </c>
      <c r="F17" s="67">
        <v>15</v>
      </c>
      <c r="G17" s="66" t="s">
        <v>135</v>
      </c>
      <c r="H17" s="70"/>
      <c r="I17" s="69" t="s">
        <v>65</v>
      </c>
      <c r="J17" s="66">
        <f>((F5*(0.5*0.8*F10))/J11)+(F6/J10)</f>
        <v>0.52203733537710761</v>
      </c>
      <c r="K17" s="66" t="s">
        <v>178</v>
      </c>
      <c r="N17" s="161" t="s">
        <v>56</v>
      </c>
      <c r="O17" s="161"/>
    </row>
    <row r="18" spans="1:17" ht="20.399999999999999" x14ac:dyDescent="0.3">
      <c r="A18" s="69" t="s">
        <v>148</v>
      </c>
      <c r="B18" s="66">
        <f>MAX(0.5*B20,1.5*0.1*B12)</f>
        <v>3.75</v>
      </c>
      <c r="C18" s="66" t="s">
        <v>31</v>
      </c>
      <c r="E18" s="69" t="s">
        <v>161</v>
      </c>
      <c r="F18" s="67">
        <v>1</v>
      </c>
      <c r="G18" s="66" t="s">
        <v>135</v>
      </c>
      <c r="I18" s="69" t="s">
        <v>67</v>
      </c>
      <c r="J18" s="66">
        <f>F7/J9</f>
        <v>0.12291666666666667</v>
      </c>
      <c r="K18" s="66" t="s">
        <v>178</v>
      </c>
      <c r="N18" s="69" t="s">
        <v>197</v>
      </c>
      <c r="O18" s="66">
        <f>0.85*6.25*(F19)^2*B5</f>
        <v>51</v>
      </c>
      <c r="P18" s="66" t="s">
        <v>44</v>
      </c>
      <c r="Q18" s="65" t="str">
        <f>IF(B8&lt;=O18,"Safe","Unsafe")</f>
        <v>Safe</v>
      </c>
    </row>
    <row r="19" spans="1:17" ht="20.399999999999999" x14ac:dyDescent="0.3">
      <c r="A19" s="69" t="s">
        <v>149</v>
      </c>
      <c r="B19" s="66">
        <f>4*0.1*B12</f>
        <v>8</v>
      </c>
      <c r="C19" s="66" t="s">
        <v>31</v>
      </c>
      <c r="E19" s="69" t="s">
        <v>195</v>
      </c>
      <c r="F19" s="67">
        <v>2</v>
      </c>
      <c r="G19" s="66" t="s">
        <v>135</v>
      </c>
      <c r="I19" s="69" t="s">
        <v>162</v>
      </c>
      <c r="J19" s="66">
        <f>SQRT(J17^2+3*J18^2)</f>
        <v>0.5637805427300272</v>
      </c>
      <c r="K19" s="65" t="str">
        <f>IF(J19&lt;=1.1*0.7*0.4*B6,"Safe","Unsafe")</f>
        <v>Safe</v>
      </c>
      <c r="N19" s="159" t="str">
        <f>IF(Q18=C2,"Use Doubler Plate","")</f>
        <v/>
      </c>
      <c r="O19" s="159"/>
      <c r="P19" s="159"/>
      <c r="Q19" s="159"/>
    </row>
    <row r="20" spans="1:17" ht="20.399999999999999" x14ac:dyDescent="0.3">
      <c r="A20" s="69" t="s">
        <v>150</v>
      </c>
      <c r="B20" s="66">
        <f>ROUND((F10)/B17,2)</f>
        <v>7.5</v>
      </c>
      <c r="C20" s="66" t="s">
        <v>31</v>
      </c>
      <c r="E20" s="74" t="s">
        <v>160</v>
      </c>
      <c r="F20" s="67">
        <v>2.8</v>
      </c>
      <c r="G20" s="66" t="s">
        <v>135</v>
      </c>
      <c r="N20" s="69" t="s">
        <v>198</v>
      </c>
      <c r="O20" s="67">
        <v>0</v>
      </c>
      <c r="P20" s="66" t="s">
        <v>31</v>
      </c>
    </row>
    <row r="21" spans="1:17" ht="20.399999999999999" x14ac:dyDescent="0.3">
      <c r="B21" s="70"/>
      <c r="N21" s="69" t="s">
        <v>197</v>
      </c>
      <c r="O21" s="66">
        <f>0.85*6.25*(F19+O20)^2*B5</f>
        <v>51</v>
      </c>
      <c r="P21" s="66" t="s">
        <v>44</v>
      </c>
      <c r="Q21" s="65" t="str">
        <f>IF(B9&lt;=O21,"Safe","Unsafe")</f>
        <v>Safe</v>
      </c>
    </row>
    <row r="22" spans="1:17" x14ac:dyDescent="0.3">
      <c r="A22" s="76" t="s">
        <v>157</v>
      </c>
      <c r="B22" s="76"/>
      <c r="I22" s="161" t="s">
        <v>143</v>
      </c>
      <c r="J22" s="161"/>
    </row>
    <row r="23" spans="1:17" ht="20.399999999999999" x14ac:dyDescent="0.3">
      <c r="A23" s="69" t="s">
        <v>155</v>
      </c>
      <c r="B23" s="67">
        <v>34</v>
      </c>
      <c r="C23" s="66" t="s">
        <v>31</v>
      </c>
      <c r="I23" s="69" t="s">
        <v>199</v>
      </c>
      <c r="J23" s="66">
        <f>ROUND(IF(B16=F5, 0.7*0.66*B14*0.78*((22/7)/4)*(B12/10)^2, 0.7*0.8*B14*0.78*((22/7)/4)*(B12/10)^2),2)</f>
        <v>13.73</v>
      </c>
      <c r="K23" s="66" t="s">
        <v>44</v>
      </c>
      <c r="N23" s="161" t="s">
        <v>58</v>
      </c>
      <c r="O23" s="161"/>
    </row>
    <row r="24" spans="1:17" ht="20.399999999999999" x14ac:dyDescent="0.3">
      <c r="A24" s="69" t="s">
        <v>156</v>
      </c>
      <c r="B24" s="67">
        <v>15</v>
      </c>
      <c r="C24" s="66" t="s">
        <v>31</v>
      </c>
      <c r="I24" s="69" t="s">
        <v>200</v>
      </c>
      <c r="J24" s="66">
        <f>ROUND(IF(OR(B13=D1,B13=D3,B13=D6),0.6*0.6*B14*((22/7)/4)*(0.1*B12)^2,0.6*0.5*B14*0.78*((22/7)/4)*(0.1*B12)^2),2)</f>
        <v>7.35</v>
      </c>
      <c r="K24" s="66" t="s">
        <v>44</v>
      </c>
      <c r="N24" s="69" t="s">
        <v>201</v>
      </c>
      <c r="O24" s="66">
        <f>0.95*(F13+2*B25+5*F20)*F18*B5</f>
        <v>50.16</v>
      </c>
      <c r="P24" s="66" t="s">
        <v>44</v>
      </c>
      <c r="Q24" s="65" t="str">
        <f>IF(B9&lt;=O24,"Safe","Unsafe")</f>
        <v>Safe</v>
      </c>
    </row>
    <row r="25" spans="1:17" ht="20.399999999999999" x14ac:dyDescent="0.3">
      <c r="A25" s="69" t="s">
        <v>198</v>
      </c>
      <c r="B25" s="66">
        <f>1.5*B12*0.1</f>
        <v>3</v>
      </c>
      <c r="C25" s="66" t="s">
        <v>31</v>
      </c>
      <c r="I25" s="69" t="s">
        <v>163</v>
      </c>
      <c r="J25" s="66">
        <f>2.5*0.1*B12</f>
        <v>5</v>
      </c>
      <c r="K25" s="66" t="s">
        <v>31</v>
      </c>
      <c r="N25" s="159" t="str">
        <f>IF(O24=C2,"Use Doubler Plate","")</f>
        <v/>
      </c>
      <c r="O25" s="159"/>
      <c r="P25" s="159"/>
      <c r="Q25" s="159"/>
    </row>
    <row r="26" spans="1:17" ht="20.399999999999999" x14ac:dyDescent="0.3">
      <c r="I26" s="69" t="s">
        <v>159</v>
      </c>
      <c r="J26" s="66">
        <f>2.5*0.1*B12</f>
        <v>5</v>
      </c>
      <c r="K26" s="66" t="s">
        <v>31</v>
      </c>
      <c r="N26" s="69" t="s">
        <v>198</v>
      </c>
      <c r="O26" s="67">
        <v>0</v>
      </c>
      <c r="P26" s="66" t="s">
        <v>31</v>
      </c>
    </row>
    <row r="27" spans="1:17" ht="20.399999999999999" x14ac:dyDescent="0.3">
      <c r="D27" s="70"/>
      <c r="I27" s="69" t="s">
        <v>164</v>
      </c>
      <c r="J27" s="66">
        <f>ROUND((((0.5-((0.5*B24*(B25)^4)/(30*J25*(J26^2)*0.78*((22/7)/4)*(0.1*B12)^2)))/(((3*J25)/(4*J26))*((J25/(4*J26))+1)+((0.5*B24*(B25)^4)/(30*J25*(J26^2)*0.78*((22/7)/4)*(0.1*B12)^2)))))*J39,2)</f>
        <v>4.2</v>
      </c>
      <c r="K27" s="66" t="s">
        <v>44</v>
      </c>
      <c r="N27" s="69" t="s">
        <v>201</v>
      </c>
      <c r="O27" s="66">
        <f>0.95*(F13+2*B25+5*2*(F19+O26))*F18*B5</f>
        <v>63.839999999999989</v>
      </c>
      <c r="P27" s="66" t="s">
        <v>44</v>
      </c>
      <c r="Q27" s="65" t="str">
        <f>IF(B9&lt;=O27,"Safe","Unsafe")</f>
        <v>Safe</v>
      </c>
    </row>
    <row r="28" spans="1:17" x14ac:dyDescent="0.3">
      <c r="D28" s="70"/>
    </row>
    <row r="29" spans="1:17" ht="20.399999999999999" x14ac:dyDescent="0.3">
      <c r="D29" s="70"/>
      <c r="I29" s="69" t="s">
        <v>202</v>
      </c>
      <c r="J29" s="66">
        <f>IF(B17&lt;6,0,ROUND(0.5*F13+B18+B20+B20+B20+B20+B20,2))</f>
        <v>0</v>
      </c>
      <c r="K29" s="66" t="s">
        <v>31</v>
      </c>
      <c r="N29" s="161" t="s">
        <v>59</v>
      </c>
      <c r="O29" s="161"/>
      <c r="P29" s="161"/>
    </row>
    <row r="30" spans="1:17" ht="20.399999999999999" x14ac:dyDescent="0.3">
      <c r="D30" s="70"/>
      <c r="I30" s="69" t="s">
        <v>203</v>
      </c>
      <c r="J30" s="66">
        <f>IF(B17&lt;5,0,ROUND(0.5*F13+B18+B20+B20+B20+B20,2))</f>
        <v>0</v>
      </c>
      <c r="K30" s="66" t="s">
        <v>31</v>
      </c>
      <c r="N30" s="69" t="s">
        <v>201</v>
      </c>
      <c r="O30" s="66">
        <f>0.7*(0.3627*(F18)^2*(1+3*((F13+2*B25)/(F16))*((F18)/(F19))^1.5)*SQRT(2100*B5*(F19/F18)))</f>
        <v>32.70011447783795</v>
      </c>
      <c r="P30" s="66" t="s">
        <v>44</v>
      </c>
      <c r="Q30" s="65" t="str">
        <f>IF(B9&lt;=O30,"Safe","Unsafe")</f>
        <v>Unsafe</v>
      </c>
    </row>
    <row r="31" spans="1:17" ht="20.399999999999999" x14ac:dyDescent="0.3">
      <c r="I31" s="69" t="s">
        <v>204</v>
      </c>
      <c r="J31" s="66">
        <f>ROUND(0.5*F13+B18+B20+B20+B20,2)</f>
        <v>27.25</v>
      </c>
      <c r="K31" s="66" t="s">
        <v>31</v>
      </c>
      <c r="N31" s="163" t="str">
        <f>IF(Q30=C2,"Use Doubler Plate","")</f>
        <v>Use Doubler Plate</v>
      </c>
      <c r="O31" s="163"/>
      <c r="P31" s="163"/>
      <c r="Q31" s="163"/>
    </row>
    <row r="32" spans="1:17" ht="20.399999999999999" x14ac:dyDescent="0.3">
      <c r="I32" s="69" t="s">
        <v>205</v>
      </c>
      <c r="J32" s="66">
        <f>ROUND(0.5*F13+B18+B20+B20,2)</f>
        <v>19.75</v>
      </c>
      <c r="K32" s="66" t="s">
        <v>31</v>
      </c>
      <c r="N32" s="69" t="s">
        <v>198</v>
      </c>
      <c r="O32" s="67">
        <v>2.2000000000000002</v>
      </c>
      <c r="P32" s="66" t="s">
        <v>31</v>
      </c>
    </row>
    <row r="33" spans="9:17" ht="20.399999999999999" x14ac:dyDescent="0.3">
      <c r="I33" s="69" t="s">
        <v>206</v>
      </c>
      <c r="J33" s="66">
        <f>ROUND(0.5*F13+B18+B20,2)</f>
        <v>12.25</v>
      </c>
      <c r="K33" s="66" t="s">
        <v>31</v>
      </c>
      <c r="N33" s="69" t="s">
        <v>201</v>
      </c>
      <c r="O33" s="66">
        <f>0.7*(0.3627*(F18)^2*(1+3*((F13+2*B25)/(F16))*((F18)/(F19+O32))^1.5)*SQRT(2100*B5*((F19+O32)/F18)))</f>
        <v>40.372251300555995</v>
      </c>
      <c r="P33" s="66" t="s">
        <v>44</v>
      </c>
      <c r="Q33" s="65" t="str">
        <f>IF(B9&lt;=O33,"Safe","Unsafe")</f>
        <v>Safe</v>
      </c>
    </row>
    <row r="34" spans="9:17" ht="20.399999999999999" x14ac:dyDescent="0.3">
      <c r="I34" s="69" t="s">
        <v>207</v>
      </c>
      <c r="J34" s="66">
        <f>ROUND(0.5*F13+B18,2)</f>
        <v>4.75</v>
      </c>
      <c r="K34" s="66" t="s">
        <v>31</v>
      </c>
    </row>
    <row r="35" spans="9:17" ht="19.8" x14ac:dyDescent="0.3">
      <c r="I35" s="69" t="s">
        <v>208</v>
      </c>
      <c r="J35" s="66">
        <f>J29^2+J30^2+J31^2+J32^2+J33^2+J34^2</f>
        <v>1305.25</v>
      </c>
      <c r="K35" s="66" t="s">
        <v>185</v>
      </c>
      <c r="N35" s="161" t="s">
        <v>60</v>
      </c>
      <c r="O35" s="161"/>
    </row>
    <row r="36" spans="9:17" ht="21" x14ac:dyDescent="0.3">
      <c r="I36" s="159" t="s">
        <v>209</v>
      </c>
      <c r="J36" s="159"/>
      <c r="K36" s="159"/>
      <c r="L36" s="159"/>
      <c r="N36" s="69" t="s">
        <v>210</v>
      </c>
      <c r="O36" s="67">
        <v>5.9</v>
      </c>
      <c r="P36" s="66" t="s">
        <v>44</v>
      </c>
    </row>
    <row r="37" spans="9:17" ht="20.25" customHeight="1" x14ac:dyDescent="0.3">
      <c r="N37" s="69" t="s">
        <v>61</v>
      </c>
      <c r="O37" s="66">
        <f>F5/((F10+F13))</f>
        <v>40.21875</v>
      </c>
      <c r="P37" s="66" t="s">
        <v>44</v>
      </c>
    </row>
    <row r="38" spans="9:17" ht="20.399999999999999" x14ac:dyDescent="0.3">
      <c r="I38" s="69" t="s">
        <v>211</v>
      </c>
      <c r="J38" s="66">
        <f>ROUND(((F5*J31)/(2*J35))+(F6/(2*B17)),2)</f>
        <v>13.41</v>
      </c>
      <c r="K38" s="66" t="s">
        <v>44</v>
      </c>
      <c r="L38" s="65" t="str">
        <f>IF(J38&lt;=J23,"Safe","Unsafe")</f>
        <v>Safe</v>
      </c>
      <c r="N38" s="69" t="s">
        <v>212</v>
      </c>
      <c r="O38" s="66">
        <f>IF(O36&lt;=(0.4*B5*F16*F18),0.85*F16*F18*0.6*B5,0.85*F16*F18*0.6*B5*(1.4-(O36/(B5*F16*F18))))</f>
        <v>36.72</v>
      </c>
      <c r="P38" s="66" t="s">
        <v>44</v>
      </c>
      <c r="Q38" s="65" t="str">
        <f>IF(O37&lt;=O38,"Safe","Unsafe")</f>
        <v>Unsafe</v>
      </c>
    </row>
    <row r="39" spans="9:17" ht="20.399999999999999" x14ac:dyDescent="0.3">
      <c r="I39" s="69" t="s">
        <v>213</v>
      </c>
      <c r="J39" s="66">
        <f>ROUND(((F5*J32)/(2*J35))+(F6/(2*B17)),2)</f>
        <v>9.7100000000000009</v>
      </c>
      <c r="K39" s="66" t="s">
        <v>44</v>
      </c>
      <c r="L39" s="65" t="str">
        <f>IF(J39&lt;=J23,"Safe","Unsafe")</f>
        <v>Safe</v>
      </c>
      <c r="N39" s="163" t="str">
        <f>IF(Q38=C2,"Use Doubler Plate","")</f>
        <v>Use Doubler Plate</v>
      </c>
      <c r="O39" s="163"/>
      <c r="P39" s="163"/>
      <c r="Q39" s="163"/>
    </row>
    <row r="40" spans="9:17" ht="20.399999999999999" x14ac:dyDescent="0.3">
      <c r="I40" s="69" t="s">
        <v>214</v>
      </c>
      <c r="J40" s="66">
        <f>J39+J27</f>
        <v>13.91</v>
      </c>
      <c r="K40" s="66" t="s">
        <v>44</v>
      </c>
      <c r="L40" s="65" t="str">
        <f>IF(J40&lt;=J23,"Safe","Unsafe")</f>
        <v>Unsafe</v>
      </c>
      <c r="N40" s="69" t="s">
        <v>198</v>
      </c>
      <c r="O40" s="67">
        <v>2.2000000000000002</v>
      </c>
      <c r="P40" s="66" t="s">
        <v>31</v>
      </c>
    </row>
    <row r="41" spans="9:17" ht="20.399999999999999" x14ac:dyDescent="0.3">
      <c r="N41" s="69" t="s">
        <v>212</v>
      </c>
      <c r="O41" s="66">
        <f>IF(O36&lt;=(0.4*B5*F16*(F18+O40)),0.85*F16*(F18+O40)*0.6*B5,0.85*F16*(F18+O40)*0.6*B5*(1.4-(O36/(B5*F16*(F18+O40)))))</f>
        <v>117.50399999999999</v>
      </c>
      <c r="P41" s="66" t="s">
        <v>44</v>
      </c>
      <c r="Q41" s="65" t="str">
        <f>IF(O37&lt;=O41,"Safe","Unsafe")</f>
        <v>Safe</v>
      </c>
    </row>
  </sheetData>
  <mergeCells count="19">
    <mergeCell ref="N39:Q39"/>
    <mergeCell ref="N17:O17"/>
    <mergeCell ref="N19:Q19"/>
    <mergeCell ref="N25:Q25"/>
    <mergeCell ref="N23:O23"/>
    <mergeCell ref="N31:Q31"/>
    <mergeCell ref="N5:O5"/>
    <mergeCell ref="N29:P29"/>
    <mergeCell ref="N9:P9"/>
    <mergeCell ref="N16:O16"/>
    <mergeCell ref="N35:O35"/>
    <mergeCell ref="I36:L36"/>
    <mergeCell ref="I4:J4"/>
    <mergeCell ref="I22:J22"/>
    <mergeCell ref="B4:C4"/>
    <mergeCell ref="B16:C16"/>
    <mergeCell ref="I13:J13"/>
    <mergeCell ref="I5:K5"/>
    <mergeCell ref="I16:J16"/>
  </mergeCells>
  <conditionalFormatting sqref="P6 Q13 Q18 Q24 Q30 Q38 K14 K19 L38:L40">
    <cfRule type="cellIs" dxfId="28" priority="9" operator="equal">
      <formula>"Safe"</formula>
    </cfRule>
  </conditionalFormatting>
  <conditionalFormatting sqref="P6 Q13 Q18 Q24 Q30 Q38 K14 K19 L38:L40">
    <cfRule type="cellIs" dxfId="27" priority="8" operator="equal">
      <formula>"Unsafe"</formula>
    </cfRule>
  </conditionalFormatting>
  <conditionalFormatting sqref="Q21">
    <cfRule type="cellIs" dxfId="26" priority="7" operator="equal">
      <formula>"Safe"</formula>
    </cfRule>
  </conditionalFormatting>
  <conditionalFormatting sqref="Q21">
    <cfRule type="cellIs" dxfId="25" priority="6" operator="equal">
      <formula>"Unsafe"</formula>
    </cfRule>
  </conditionalFormatting>
  <conditionalFormatting sqref="Q27 Q33 Q41">
    <cfRule type="cellIs" dxfId="24" priority="4" operator="equal">
      <formula>"unsafe"</formula>
    </cfRule>
    <cfRule type="cellIs" dxfId="23" priority="5" operator="equal">
      <formula>"safe"</formula>
    </cfRule>
  </conditionalFormatting>
  <conditionalFormatting sqref="N19:Q19 N25:Q25 N31:Q31 N39:Q39">
    <cfRule type="cellIs" dxfId="22" priority="3" operator="equal">
      <formula>"use doubler plate"</formula>
    </cfRule>
  </conditionalFormatting>
  <dataValidations disablePrompts="1" count="4">
    <dataValidation type="list" allowBlank="1" showInputMessage="1" showErrorMessage="1" sqref="O3" xr:uid="{84C14F76-1987-438B-822D-198ADD19753A}">
      <formula1>$R$4:$R$27</formula1>
    </dataValidation>
    <dataValidation type="list" allowBlank="1" showInputMessage="1" showErrorMessage="1" sqref="B4" xr:uid="{4B99067C-B4D0-442C-B8F6-9FA2FF885984}">
      <formula1>$A$1:$A$3</formula1>
    </dataValidation>
    <dataValidation type="list" allowBlank="1" showInputMessage="1" showErrorMessage="1" sqref="B16" xr:uid="{C78ACF6B-5C04-424A-BA33-291CFA52C53B}">
      <formula1>$B$1:$B$3</formula1>
    </dataValidation>
    <dataValidation type="list" allowBlank="1" showInputMessage="1" showErrorMessage="1" sqref="B13" xr:uid="{007A9103-10B5-4F3F-920F-018F4E708D8E}">
      <formula1>$D$1:$D$7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DACA-B968-4372-839A-B6E2D9E4B65C}">
  <sheetPr>
    <pageSetUpPr fitToPage="1"/>
  </sheetPr>
  <dimension ref="A1:AV40"/>
  <sheetViews>
    <sheetView showGridLines="0" topLeftCell="A13" zoomScaleNormal="100" zoomScaleSheetLayoutView="55" workbookViewId="0">
      <selection activeCell="J19" sqref="J19"/>
    </sheetView>
  </sheetViews>
  <sheetFormatPr defaultColWidth="9" defaultRowHeight="18" x14ac:dyDescent="0.3"/>
  <cols>
    <col min="1" max="1" width="8" style="2" bestFit="1" customWidth="1"/>
    <col min="2" max="3" width="9" style="2"/>
    <col min="4" max="4" width="7.21875" style="2" customWidth="1"/>
    <col min="5" max="5" width="15" style="2" bestFit="1" customWidth="1"/>
    <col min="6" max="10" width="9" style="2"/>
    <col min="11" max="11" width="10.6640625" style="2" bestFit="1" customWidth="1"/>
    <col min="12" max="12" width="7" style="2" customWidth="1"/>
    <col min="13" max="16384" width="9" style="2"/>
  </cols>
  <sheetData>
    <row r="1" spans="1:48" x14ac:dyDescent="0.3">
      <c r="A1" s="34">
        <v>37</v>
      </c>
      <c r="E1" s="101" t="s">
        <v>7</v>
      </c>
      <c r="F1" s="102"/>
      <c r="G1" s="1"/>
      <c r="H1" s="101" t="s">
        <v>57</v>
      </c>
      <c r="I1" s="103"/>
      <c r="J1" s="102"/>
      <c r="Q1" s="54"/>
      <c r="R1" s="54"/>
      <c r="S1" s="54"/>
      <c r="T1" s="54"/>
      <c r="U1" s="54"/>
      <c r="V1" s="169" t="s">
        <v>35</v>
      </c>
      <c r="W1" s="169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169" t="s">
        <v>12</v>
      </c>
      <c r="AM1" s="169"/>
      <c r="AN1" s="54"/>
      <c r="AO1" s="54"/>
      <c r="AP1" s="54"/>
      <c r="AQ1" s="54"/>
      <c r="AR1" s="54"/>
      <c r="AS1" s="54"/>
      <c r="AT1" s="54"/>
      <c r="AU1" s="54"/>
      <c r="AV1" s="54"/>
    </row>
    <row r="2" spans="1:48" x14ac:dyDescent="0.3">
      <c r="A2" s="34">
        <v>44</v>
      </c>
      <c r="E2" s="22" t="s">
        <v>12</v>
      </c>
      <c r="F2" s="19">
        <v>450</v>
      </c>
      <c r="G2" s="1"/>
      <c r="H2" s="152" t="s">
        <v>36</v>
      </c>
      <c r="I2" s="2" t="s">
        <v>12</v>
      </c>
      <c r="J2" s="19" t="s">
        <v>35</v>
      </c>
      <c r="Q2" s="55" t="s">
        <v>13</v>
      </c>
      <c r="R2" s="55" t="s">
        <v>14</v>
      </c>
      <c r="S2" s="55" t="s">
        <v>15</v>
      </c>
      <c r="T2" s="170" t="s">
        <v>16</v>
      </c>
      <c r="U2" s="170"/>
      <c r="V2" s="170"/>
      <c r="W2" s="170"/>
      <c r="X2" s="170"/>
      <c r="Y2" s="170"/>
      <c r="Z2" s="170" t="s">
        <v>17</v>
      </c>
      <c r="AA2" s="170"/>
      <c r="AB2" s="170"/>
      <c r="AC2" s="170" t="s">
        <v>18</v>
      </c>
      <c r="AD2" s="170"/>
      <c r="AE2" s="170"/>
      <c r="AF2" s="54"/>
      <c r="AG2" s="55" t="s">
        <v>13</v>
      </c>
      <c r="AH2" s="55" t="s">
        <v>14</v>
      </c>
      <c r="AI2" s="55" t="s">
        <v>15</v>
      </c>
      <c r="AJ2" s="166" t="s">
        <v>16</v>
      </c>
      <c r="AK2" s="167"/>
      <c r="AL2" s="167"/>
      <c r="AM2" s="167"/>
      <c r="AN2" s="167"/>
      <c r="AO2" s="167"/>
      <c r="AP2" s="168"/>
      <c r="AQ2" s="166" t="s">
        <v>17</v>
      </c>
      <c r="AR2" s="167"/>
      <c r="AS2" s="168"/>
      <c r="AT2" s="166" t="s">
        <v>18</v>
      </c>
      <c r="AU2" s="167"/>
      <c r="AV2" s="168"/>
    </row>
    <row r="3" spans="1:48" ht="40.200000000000003" x14ac:dyDescent="0.3">
      <c r="A3" s="34">
        <v>52</v>
      </c>
      <c r="E3" s="22" t="s">
        <v>8</v>
      </c>
      <c r="F3" s="19">
        <f>VLOOKUP(F2,table,4,FALSE)</f>
        <v>450</v>
      </c>
      <c r="G3" s="1"/>
      <c r="H3" s="152"/>
      <c r="I3" s="2">
        <v>600</v>
      </c>
      <c r="J3" s="19">
        <v>450</v>
      </c>
      <c r="Q3" s="55" t="s">
        <v>19</v>
      </c>
      <c r="R3" s="55" t="s">
        <v>20</v>
      </c>
      <c r="S3" s="55" t="s">
        <v>21</v>
      </c>
      <c r="T3" s="55" t="s">
        <v>8</v>
      </c>
      <c r="U3" s="55" t="s">
        <v>9</v>
      </c>
      <c r="V3" s="55" t="s">
        <v>10</v>
      </c>
      <c r="W3" s="55" t="s">
        <v>11</v>
      </c>
      <c r="X3" s="55" t="s">
        <v>23</v>
      </c>
      <c r="Y3" s="55" t="s">
        <v>24</v>
      </c>
      <c r="Z3" s="55" t="s">
        <v>25</v>
      </c>
      <c r="AA3" s="55" t="s">
        <v>26</v>
      </c>
      <c r="AB3" s="55" t="s">
        <v>27</v>
      </c>
      <c r="AC3" s="55" t="s">
        <v>28</v>
      </c>
      <c r="AD3" s="55" t="s">
        <v>29</v>
      </c>
      <c r="AE3" s="55" t="s">
        <v>30</v>
      </c>
      <c r="AF3" s="54"/>
      <c r="AG3" s="55" t="s">
        <v>19</v>
      </c>
      <c r="AH3" s="55" t="s">
        <v>20</v>
      </c>
      <c r="AI3" s="55" t="s">
        <v>21</v>
      </c>
      <c r="AJ3" s="55" t="s">
        <v>8</v>
      </c>
      <c r="AK3" s="55" t="s">
        <v>9</v>
      </c>
      <c r="AL3" s="55" t="s">
        <v>10</v>
      </c>
      <c r="AM3" s="55" t="s">
        <v>22</v>
      </c>
      <c r="AN3" s="55" t="s">
        <v>11</v>
      </c>
      <c r="AO3" s="55" t="s">
        <v>23</v>
      </c>
      <c r="AP3" s="55" t="s">
        <v>24</v>
      </c>
      <c r="AQ3" s="55" t="s">
        <v>25</v>
      </c>
      <c r="AR3" s="55" t="s">
        <v>26</v>
      </c>
      <c r="AS3" s="55" t="s">
        <v>27</v>
      </c>
      <c r="AT3" s="55" t="s">
        <v>28</v>
      </c>
      <c r="AU3" s="55" t="s">
        <v>29</v>
      </c>
      <c r="AV3" s="55" t="s">
        <v>30</v>
      </c>
    </row>
    <row r="4" spans="1:48" x14ac:dyDescent="0.3">
      <c r="E4" s="22" t="s">
        <v>9</v>
      </c>
      <c r="F4" s="19">
        <f>VLOOKUP(F2,table,5,FALSE)</f>
        <v>190</v>
      </c>
      <c r="G4" s="1"/>
      <c r="H4" s="22" t="s">
        <v>8</v>
      </c>
      <c r="I4" s="2">
        <f>VLOOKUP(I3,table,4,FALSE)</f>
        <v>600</v>
      </c>
      <c r="J4" s="19">
        <f>VLOOKUP(J3,table1,4,FALSE)</f>
        <v>450</v>
      </c>
      <c r="Q4" s="56">
        <v>100</v>
      </c>
      <c r="R4" s="56">
        <v>26</v>
      </c>
      <c r="S4" s="57">
        <v>20.399999999999999</v>
      </c>
      <c r="T4" s="56">
        <v>100</v>
      </c>
      <c r="U4" s="56">
        <v>100</v>
      </c>
      <c r="V4" s="56">
        <v>6</v>
      </c>
      <c r="W4" s="56">
        <v>10</v>
      </c>
      <c r="X4" s="56">
        <v>22</v>
      </c>
      <c r="Y4" s="56">
        <v>56</v>
      </c>
      <c r="Z4" s="56">
        <v>450</v>
      </c>
      <c r="AA4" s="57">
        <v>89.9</v>
      </c>
      <c r="AB4" s="58">
        <v>4.16</v>
      </c>
      <c r="AC4" s="56">
        <v>167</v>
      </c>
      <c r="AD4" s="57">
        <v>33.5</v>
      </c>
      <c r="AE4" s="58">
        <v>2.5299999999999998</v>
      </c>
      <c r="AF4" s="54"/>
      <c r="AG4" s="56">
        <v>80</v>
      </c>
      <c r="AH4" s="58">
        <v>7.64</v>
      </c>
      <c r="AI4" s="56">
        <v>6</v>
      </c>
      <c r="AJ4" s="56">
        <v>80</v>
      </c>
      <c r="AK4" s="56">
        <v>46</v>
      </c>
      <c r="AL4" s="57">
        <v>3.8</v>
      </c>
      <c r="AM4" s="56">
        <v>5</v>
      </c>
      <c r="AN4" s="57">
        <v>5.2</v>
      </c>
      <c r="AO4" s="57">
        <v>10.199999999999999</v>
      </c>
      <c r="AP4" s="56">
        <v>59</v>
      </c>
      <c r="AQ4" s="57">
        <v>80.099999999999994</v>
      </c>
      <c r="AR4" s="56">
        <v>20</v>
      </c>
      <c r="AS4" s="58">
        <v>3.24</v>
      </c>
      <c r="AT4" s="58">
        <v>8.49</v>
      </c>
      <c r="AU4" s="58">
        <v>3.69</v>
      </c>
      <c r="AV4" s="58">
        <v>1.05</v>
      </c>
    </row>
    <row r="5" spans="1:48" ht="29.25" customHeight="1" x14ac:dyDescent="0.3">
      <c r="A5" s="2" t="s">
        <v>173</v>
      </c>
      <c r="B5" s="165">
        <v>37</v>
      </c>
      <c r="C5" s="165"/>
      <c r="E5" s="22" t="s">
        <v>10</v>
      </c>
      <c r="F5" s="19">
        <f>VLOOKUP(F2,table,6,FALSE)</f>
        <v>9.4</v>
      </c>
      <c r="G5" s="1"/>
      <c r="H5" s="22" t="s">
        <v>9</v>
      </c>
      <c r="I5" s="2">
        <f>VLOOKUP(I3,table,5,FALSE)</f>
        <v>220</v>
      </c>
      <c r="J5" s="19">
        <f>VLOOKUP(J3,table1,5,FALSE)</f>
        <v>300</v>
      </c>
      <c r="Q5" s="56">
        <v>120</v>
      </c>
      <c r="R5" s="56">
        <v>34</v>
      </c>
      <c r="S5" s="57">
        <v>26.7</v>
      </c>
      <c r="T5" s="56">
        <v>120</v>
      </c>
      <c r="U5" s="56">
        <v>120</v>
      </c>
      <c r="V5" s="57">
        <v>6.5</v>
      </c>
      <c r="W5" s="56">
        <v>11</v>
      </c>
      <c r="X5" s="56">
        <v>23</v>
      </c>
      <c r="Y5" s="56">
        <v>74</v>
      </c>
      <c r="Z5" s="56">
        <v>864</v>
      </c>
      <c r="AA5" s="56">
        <v>144</v>
      </c>
      <c r="AB5" s="58">
        <v>5.04</v>
      </c>
      <c r="AC5" s="56">
        <v>318</v>
      </c>
      <c r="AD5" s="57">
        <v>52.9</v>
      </c>
      <c r="AE5" s="58">
        <v>3.06</v>
      </c>
      <c r="AF5" s="54"/>
      <c r="AG5" s="56">
        <v>100</v>
      </c>
      <c r="AH5" s="57">
        <v>10.3</v>
      </c>
      <c r="AI5" s="57">
        <v>8.1</v>
      </c>
      <c r="AJ5" s="56">
        <v>100</v>
      </c>
      <c r="AK5" s="56">
        <v>55</v>
      </c>
      <c r="AL5" s="57">
        <v>4.0999999999999996</v>
      </c>
      <c r="AM5" s="56">
        <v>7</v>
      </c>
      <c r="AN5" s="57">
        <v>5.7</v>
      </c>
      <c r="AO5" s="57">
        <v>12.7</v>
      </c>
      <c r="AP5" s="56">
        <v>74</v>
      </c>
      <c r="AQ5" s="56">
        <v>171</v>
      </c>
      <c r="AR5" s="57">
        <v>34.200000000000003</v>
      </c>
      <c r="AS5" s="58">
        <v>4.07</v>
      </c>
      <c r="AT5" s="57">
        <v>15.9</v>
      </c>
      <c r="AU5" s="58">
        <v>5.79</v>
      </c>
      <c r="AV5" s="58">
        <v>1.24</v>
      </c>
    </row>
    <row r="6" spans="1:48" ht="21" thickBot="1" x14ac:dyDescent="0.35">
      <c r="A6" s="2" t="s">
        <v>76</v>
      </c>
      <c r="B6" s="2">
        <f>IF(B5=A1,2.4,IF(B5=A2,2.8,3.6))</f>
        <v>2.4</v>
      </c>
      <c r="C6" s="2" t="s">
        <v>78</v>
      </c>
      <c r="E6" s="41" t="s">
        <v>11</v>
      </c>
      <c r="F6" s="27">
        <f>VLOOKUP(F2,table,8,FALSE)</f>
        <v>14.6</v>
      </c>
      <c r="G6" s="1"/>
      <c r="H6" s="22" t="s">
        <v>10</v>
      </c>
      <c r="I6" s="2">
        <f>VLOOKUP(I3,table,6,FALSE)</f>
        <v>12</v>
      </c>
      <c r="J6" s="19">
        <f>VLOOKUP(J3,table1,6,FALSE)</f>
        <v>14</v>
      </c>
      <c r="Q6" s="56">
        <v>140</v>
      </c>
      <c r="R6" s="56">
        <v>43</v>
      </c>
      <c r="S6" s="57">
        <v>33.700000000000003</v>
      </c>
      <c r="T6" s="56">
        <v>140</v>
      </c>
      <c r="U6" s="56">
        <v>140</v>
      </c>
      <c r="V6" s="56">
        <v>7</v>
      </c>
      <c r="W6" s="56">
        <v>12</v>
      </c>
      <c r="X6" s="56">
        <v>24</v>
      </c>
      <c r="Y6" s="56">
        <v>92</v>
      </c>
      <c r="Z6" s="56">
        <v>1510</v>
      </c>
      <c r="AA6" s="56">
        <v>216</v>
      </c>
      <c r="AB6" s="58">
        <v>5.93</v>
      </c>
      <c r="AC6" s="56">
        <v>550</v>
      </c>
      <c r="AD6" s="57">
        <v>78.5</v>
      </c>
      <c r="AE6" s="58">
        <v>3.58</v>
      </c>
      <c r="AF6" s="54"/>
      <c r="AG6" s="56">
        <v>120</v>
      </c>
      <c r="AH6" s="57">
        <v>13.2</v>
      </c>
      <c r="AI6" s="57">
        <v>10.4</v>
      </c>
      <c r="AJ6" s="56">
        <v>120</v>
      </c>
      <c r="AK6" s="56">
        <v>64</v>
      </c>
      <c r="AL6" s="57">
        <v>4.4000000000000004</v>
      </c>
      <c r="AM6" s="56">
        <v>7</v>
      </c>
      <c r="AN6" s="57">
        <v>6.3</v>
      </c>
      <c r="AO6" s="57">
        <v>13.3</v>
      </c>
      <c r="AP6" s="56">
        <v>93</v>
      </c>
      <c r="AQ6" s="56">
        <v>318</v>
      </c>
      <c r="AR6" s="56">
        <v>53</v>
      </c>
      <c r="AS6" s="57">
        <v>4.9000000000000004</v>
      </c>
      <c r="AT6" s="57">
        <v>27.7</v>
      </c>
      <c r="AU6" s="58">
        <v>8.65</v>
      </c>
      <c r="AV6" s="58">
        <v>1.45</v>
      </c>
    </row>
    <row r="7" spans="1:48" ht="20.399999999999999" x14ac:dyDescent="0.3">
      <c r="A7" s="2" t="s">
        <v>77</v>
      </c>
      <c r="B7" s="2">
        <f>IF(B5=A1,3.6,IF(B5=A2,4.4,5.2))</f>
        <v>3.6</v>
      </c>
      <c r="C7" s="2" t="s">
        <v>78</v>
      </c>
      <c r="G7" s="1"/>
      <c r="H7" s="22" t="s">
        <v>11</v>
      </c>
      <c r="I7" s="2">
        <f>VLOOKUP(I3,table,8,FALSE)</f>
        <v>19</v>
      </c>
      <c r="J7" s="19">
        <f>VLOOKUP(J3,table1,7,FALSE)</f>
        <v>26</v>
      </c>
      <c r="Q7" s="56">
        <v>160</v>
      </c>
      <c r="R7" s="57">
        <v>54.3</v>
      </c>
      <c r="S7" s="57">
        <v>42.6</v>
      </c>
      <c r="T7" s="56">
        <v>160</v>
      </c>
      <c r="U7" s="56">
        <v>160</v>
      </c>
      <c r="V7" s="56">
        <v>8</v>
      </c>
      <c r="W7" s="56">
        <v>13</v>
      </c>
      <c r="X7" s="56">
        <v>28</v>
      </c>
      <c r="Y7" s="56">
        <v>104</v>
      </c>
      <c r="Z7" s="56">
        <v>2490</v>
      </c>
      <c r="AA7" s="56">
        <v>311</v>
      </c>
      <c r="AB7" s="58">
        <v>6.78</v>
      </c>
      <c r="AC7" s="56">
        <v>889</v>
      </c>
      <c r="AD7" s="56">
        <v>111</v>
      </c>
      <c r="AE7" s="58">
        <v>4.05</v>
      </c>
      <c r="AF7" s="54"/>
      <c r="AG7" s="56">
        <v>140</v>
      </c>
      <c r="AH7" s="57">
        <v>16.399999999999999</v>
      </c>
      <c r="AI7" s="57">
        <v>12.9</v>
      </c>
      <c r="AJ7" s="56">
        <v>140</v>
      </c>
      <c r="AK7" s="56">
        <v>73</v>
      </c>
      <c r="AL7" s="57">
        <v>4.7</v>
      </c>
      <c r="AM7" s="56">
        <v>7</v>
      </c>
      <c r="AN7" s="57">
        <v>6.9</v>
      </c>
      <c r="AO7" s="57">
        <v>13.9</v>
      </c>
      <c r="AP7" s="56">
        <v>112</v>
      </c>
      <c r="AQ7" s="56">
        <v>541</v>
      </c>
      <c r="AR7" s="57">
        <v>77.3</v>
      </c>
      <c r="AS7" s="58">
        <v>5.74</v>
      </c>
      <c r="AT7" s="57">
        <v>44.9</v>
      </c>
      <c r="AU7" s="57">
        <v>12.3</v>
      </c>
      <c r="AV7" s="58">
        <v>1.65</v>
      </c>
    </row>
    <row r="8" spans="1:48" ht="18.600000000000001" thickBot="1" x14ac:dyDescent="0.35">
      <c r="G8" s="1"/>
      <c r="H8" s="50" t="s">
        <v>43</v>
      </c>
      <c r="I8" s="51">
        <f>VLOOKUP(I3,table,9,FALSE)</f>
        <v>43</v>
      </c>
      <c r="J8" s="27">
        <f>VLOOKUP(J3,table1,8,FALSE)</f>
        <v>53</v>
      </c>
      <c r="Q8" s="56">
        <v>180</v>
      </c>
      <c r="R8" s="57">
        <v>65.3</v>
      </c>
      <c r="S8" s="57">
        <v>51.2</v>
      </c>
      <c r="T8" s="56">
        <v>180</v>
      </c>
      <c r="U8" s="56">
        <v>180</v>
      </c>
      <c r="V8" s="57">
        <v>8.5</v>
      </c>
      <c r="W8" s="56">
        <v>14</v>
      </c>
      <c r="X8" s="56">
        <v>29</v>
      </c>
      <c r="Y8" s="56">
        <v>122</v>
      </c>
      <c r="Z8" s="56">
        <v>3830</v>
      </c>
      <c r="AA8" s="56">
        <v>426</v>
      </c>
      <c r="AB8" s="58">
        <v>7.66</v>
      </c>
      <c r="AC8" s="56">
        <v>1360</v>
      </c>
      <c r="AD8" s="56">
        <v>151</v>
      </c>
      <c r="AE8" s="58">
        <v>4.57</v>
      </c>
      <c r="AF8" s="54"/>
      <c r="AG8" s="56">
        <v>160</v>
      </c>
      <c r="AH8" s="57">
        <v>20.100000000000001</v>
      </c>
      <c r="AI8" s="57">
        <v>15.8</v>
      </c>
      <c r="AJ8" s="56">
        <v>160</v>
      </c>
      <c r="AK8" s="56">
        <v>82</v>
      </c>
      <c r="AL8" s="56">
        <v>5</v>
      </c>
      <c r="AM8" s="56">
        <v>9</v>
      </c>
      <c r="AN8" s="57">
        <v>7.4</v>
      </c>
      <c r="AO8" s="57">
        <v>16.399999999999999</v>
      </c>
      <c r="AP8" s="56">
        <v>127</v>
      </c>
      <c r="AQ8" s="56">
        <v>869</v>
      </c>
      <c r="AR8" s="56">
        <v>109</v>
      </c>
      <c r="AS8" s="58">
        <v>6.58</v>
      </c>
      <c r="AT8" s="57">
        <v>68.3</v>
      </c>
      <c r="AU8" s="57">
        <v>16.7</v>
      </c>
      <c r="AV8" s="58">
        <v>1.84</v>
      </c>
    </row>
    <row r="9" spans="1:48" ht="20.399999999999999" x14ac:dyDescent="0.3">
      <c r="A9" s="2" t="s">
        <v>129</v>
      </c>
      <c r="B9" s="2">
        <f>0.1*(F3-F6)</f>
        <v>43.54</v>
      </c>
      <c r="C9" s="2" t="s">
        <v>31</v>
      </c>
      <c r="Q9" s="56">
        <v>200</v>
      </c>
      <c r="R9" s="57">
        <v>78.099999999999994</v>
      </c>
      <c r="S9" s="57">
        <v>61.3</v>
      </c>
      <c r="T9" s="56">
        <v>200</v>
      </c>
      <c r="U9" s="56">
        <v>200</v>
      </c>
      <c r="V9" s="56">
        <v>9</v>
      </c>
      <c r="W9" s="56">
        <v>15</v>
      </c>
      <c r="X9" s="56">
        <v>33</v>
      </c>
      <c r="Y9" s="56">
        <v>134</v>
      </c>
      <c r="Z9" s="56">
        <v>5700</v>
      </c>
      <c r="AA9" s="56">
        <v>570</v>
      </c>
      <c r="AB9" s="58">
        <v>8.5399999999999991</v>
      </c>
      <c r="AC9" s="56">
        <v>2000</v>
      </c>
      <c r="AD9" s="56">
        <v>200</v>
      </c>
      <c r="AE9" s="58">
        <v>5.07</v>
      </c>
      <c r="AF9" s="54"/>
      <c r="AG9" s="56">
        <v>180</v>
      </c>
      <c r="AH9" s="57">
        <v>23.9</v>
      </c>
      <c r="AI9" s="57">
        <v>18.8</v>
      </c>
      <c r="AJ9" s="56">
        <v>180</v>
      </c>
      <c r="AK9" s="56">
        <v>91</v>
      </c>
      <c r="AL9" s="57">
        <v>5.3</v>
      </c>
      <c r="AM9" s="56">
        <v>9</v>
      </c>
      <c r="AN9" s="56">
        <v>8</v>
      </c>
      <c r="AO9" s="56">
        <v>17</v>
      </c>
      <c r="AP9" s="56">
        <v>146</v>
      </c>
      <c r="AQ9" s="56">
        <v>1320</v>
      </c>
      <c r="AR9" s="56">
        <v>146</v>
      </c>
      <c r="AS9" s="58">
        <v>7.42</v>
      </c>
      <c r="AT9" s="56">
        <v>101</v>
      </c>
      <c r="AU9" s="57">
        <v>22.2</v>
      </c>
      <c r="AV9" s="58">
        <v>2.0499999999999998</v>
      </c>
    </row>
    <row r="10" spans="1:48" ht="20.399999999999999" x14ac:dyDescent="0.3">
      <c r="A10" s="2" t="s">
        <v>88</v>
      </c>
      <c r="B10" s="2">
        <f>IF(F13&gt;0,(F12/B9)+0.5*ABS(F13),(F12/B9)-0.5*ABS(F13))</f>
        <v>6.3849333945796971</v>
      </c>
      <c r="C10" s="2" t="s">
        <v>6</v>
      </c>
      <c r="Q10" s="56">
        <v>220</v>
      </c>
      <c r="R10" s="56">
        <v>91</v>
      </c>
      <c r="S10" s="57">
        <v>71.5</v>
      </c>
      <c r="T10" s="56">
        <v>220</v>
      </c>
      <c r="U10" s="56">
        <v>220</v>
      </c>
      <c r="V10" s="57">
        <v>9.5</v>
      </c>
      <c r="W10" s="56">
        <v>16</v>
      </c>
      <c r="X10" s="56">
        <v>34</v>
      </c>
      <c r="Y10" s="56">
        <v>152</v>
      </c>
      <c r="Z10" s="56">
        <v>8090</v>
      </c>
      <c r="AA10" s="56">
        <v>736</v>
      </c>
      <c r="AB10" s="58">
        <v>9.43</v>
      </c>
      <c r="AC10" s="56">
        <v>2840</v>
      </c>
      <c r="AD10" s="56">
        <v>258</v>
      </c>
      <c r="AE10" s="58">
        <v>5.59</v>
      </c>
      <c r="AF10" s="54"/>
      <c r="AG10" s="56">
        <v>200</v>
      </c>
      <c r="AH10" s="57">
        <v>28.5</v>
      </c>
      <c r="AI10" s="57">
        <v>22.4</v>
      </c>
      <c r="AJ10" s="56">
        <v>200</v>
      </c>
      <c r="AK10" s="56">
        <v>100</v>
      </c>
      <c r="AL10" s="57">
        <v>5.6</v>
      </c>
      <c r="AM10" s="56">
        <v>12</v>
      </c>
      <c r="AN10" s="57">
        <v>8.5</v>
      </c>
      <c r="AO10" s="57">
        <v>20.5</v>
      </c>
      <c r="AP10" s="56">
        <v>159</v>
      </c>
      <c r="AQ10" s="56">
        <v>1940</v>
      </c>
      <c r="AR10" s="56">
        <v>194</v>
      </c>
      <c r="AS10" s="58">
        <v>8.26</v>
      </c>
      <c r="AT10" s="56">
        <v>142</v>
      </c>
      <c r="AU10" s="57">
        <v>28.5</v>
      </c>
      <c r="AV10" s="58">
        <v>2.2400000000000002</v>
      </c>
    </row>
    <row r="11" spans="1:48" ht="20.399999999999999" x14ac:dyDescent="0.3">
      <c r="A11" s="2" t="s">
        <v>89</v>
      </c>
      <c r="B11" s="2">
        <f>IF(F13&lt;0,(F12/B9)+0.5*ABS(F13),(F12/B9)-0.5*ABS(F13))</f>
        <v>6.3849333945796971</v>
      </c>
      <c r="C11" s="2" t="s">
        <v>6</v>
      </c>
      <c r="E11" s="96" t="s">
        <v>126</v>
      </c>
      <c r="F11" s="96"/>
      <c r="Q11" s="56">
        <v>240</v>
      </c>
      <c r="R11" s="56">
        <v>106</v>
      </c>
      <c r="S11" s="57">
        <v>83.2</v>
      </c>
      <c r="T11" s="56">
        <v>240</v>
      </c>
      <c r="U11" s="56">
        <v>240</v>
      </c>
      <c r="V11" s="56">
        <v>10</v>
      </c>
      <c r="W11" s="56">
        <v>17</v>
      </c>
      <c r="X11" s="56">
        <v>38</v>
      </c>
      <c r="Y11" s="56">
        <v>164</v>
      </c>
      <c r="Z11" s="56">
        <v>11260</v>
      </c>
      <c r="AA11" s="56">
        <v>938</v>
      </c>
      <c r="AB11" s="57">
        <v>10.3</v>
      </c>
      <c r="AC11" s="56">
        <v>3920</v>
      </c>
      <c r="AD11" s="56">
        <v>327</v>
      </c>
      <c r="AE11" s="58">
        <v>6.08</v>
      </c>
      <c r="AF11" s="54"/>
      <c r="AG11" s="56">
        <v>220</v>
      </c>
      <c r="AH11" s="57">
        <v>33.4</v>
      </c>
      <c r="AI11" s="57">
        <v>26.2</v>
      </c>
      <c r="AJ11" s="56">
        <v>220</v>
      </c>
      <c r="AK11" s="56">
        <v>110</v>
      </c>
      <c r="AL11" s="57">
        <v>5.9</v>
      </c>
      <c r="AM11" s="56">
        <v>12</v>
      </c>
      <c r="AN11" s="57">
        <v>9.1999999999999993</v>
      </c>
      <c r="AO11" s="57">
        <v>21.2</v>
      </c>
      <c r="AP11" s="56">
        <v>177</v>
      </c>
      <c r="AQ11" s="56">
        <v>2770</v>
      </c>
      <c r="AR11" s="56">
        <v>252</v>
      </c>
      <c r="AS11" s="58">
        <v>9.11</v>
      </c>
      <c r="AT11" s="56">
        <v>205</v>
      </c>
      <c r="AU11" s="57">
        <v>37.299999999999997</v>
      </c>
      <c r="AV11" s="58">
        <v>2.48</v>
      </c>
    </row>
    <row r="12" spans="1:48" ht="20.399999999999999" x14ac:dyDescent="0.3">
      <c r="E12" s="2" t="s">
        <v>175</v>
      </c>
      <c r="F12" s="36">
        <v>278</v>
      </c>
      <c r="G12" s="2" t="s">
        <v>4</v>
      </c>
      <c r="Q12" s="62">
        <v>260</v>
      </c>
      <c r="R12" s="56">
        <v>118</v>
      </c>
      <c r="S12" s="56">
        <v>93</v>
      </c>
      <c r="T12" s="56">
        <v>260</v>
      </c>
      <c r="U12" s="56">
        <v>260</v>
      </c>
      <c r="V12" s="56">
        <v>10</v>
      </c>
      <c r="W12" s="57">
        <v>17.5</v>
      </c>
      <c r="X12" s="57">
        <v>41.5</v>
      </c>
      <c r="Y12" s="56">
        <v>177</v>
      </c>
      <c r="Z12" s="56">
        <v>14920</v>
      </c>
      <c r="AA12" s="56">
        <v>1150</v>
      </c>
      <c r="AB12" s="57">
        <v>11.2</v>
      </c>
      <c r="AC12" s="56">
        <v>5130</v>
      </c>
      <c r="AD12" s="56">
        <v>395</v>
      </c>
      <c r="AE12" s="58">
        <v>6.58</v>
      </c>
      <c r="AF12" s="54"/>
      <c r="AG12" s="56">
        <v>240</v>
      </c>
      <c r="AH12" s="57">
        <v>39.1</v>
      </c>
      <c r="AI12" s="57">
        <v>30.7</v>
      </c>
      <c r="AJ12" s="56">
        <v>240</v>
      </c>
      <c r="AK12" s="56">
        <v>120</v>
      </c>
      <c r="AL12" s="57">
        <v>6.2</v>
      </c>
      <c r="AM12" s="56">
        <v>15</v>
      </c>
      <c r="AN12" s="57">
        <v>9.8000000000000007</v>
      </c>
      <c r="AO12" s="57">
        <v>24.8</v>
      </c>
      <c r="AP12" s="56">
        <v>190</v>
      </c>
      <c r="AQ12" s="56">
        <v>3890</v>
      </c>
      <c r="AR12" s="56">
        <v>324</v>
      </c>
      <c r="AS12" s="58">
        <v>9.9700000000000006</v>
      </c>
      <c r="AT12" s="56">
        <v>284</v>
      </c>
      <c r="AU12" s="57">
        <v>47.3</v>
      </c>
      <c r="AV12" s="58">
        <v>2.69</v>
      </c>
    </row>
    <row r="13" spans="1:48" ht="20.399999999999999" x14ac:dyDescent="0.3">
      <c r="A13" s="2" t="s">
        <v>127</v>
      </c>
      <c r="B13" s="36">
        <v>0.4</v>
      </c>
      <c r="C13" s="2" t="s">
        <v>31</v>
      </c>
      <c r="E13" s="2" t="s">
        <v>176</v>
      </c>
      <c r="F13" s="36">
        <v>0</v>
      </c>
      <c r="G13" s="2" t="s">
        <v>6</v>
      </c>
      <c r="Q13" s="56">
        <v>280</v>
      </c>
      <c r="R13" s="56">
        <v>131</v>
      </c>
      <c r="S13" s="56">
        <v>103</v>
      </c>
      <c r="T13" s="56">
        <v>280</v>
      </c>
      <c r="U13" s="56">
        <v>280</v>
      </c>
      <c r="V13" s="57">
        <v>10.5</v>
      </c>
      <c r="W13" s="56">
        <v>18</v>
      </c>
      <c r="X13" s="56">
        <v>42</v>
      </c>
      <c r="Y13" s="56">
        <v>196</v>
      </c>
      <c r="Z13" s="56">
        <v>19270</v>
      </c>
      <c r="AA13" s="56">
        <v>1380</v>
      </c>
      <c r="AB13" s="57">
        <v>12.1</v>
      </c>
      <c r="AC13" s="56">
        <v>6590</v>
      </c>
      <c r="AD13" s="56">
        <v>471</v>
      </c>
      <c r="AE13" s="58">
        <v>7.09</v>
      </c>
      <c r="AF13" s="54"/>
      <c r="AG13" s="56">
        <v>270</v>
      </c>
      <c r="AH13" s="57">
        <v>45.9</v>
      </c>
      <c r="AI13" s="57">
        <v>36.1</v>
      </c>
      <c r="AJ13" s="56">
        <v>270</v>
      </c>
      <c r="AK13" s="56">
        <v>135</v>
      </c>
      <c r="AL13" s="57">
        <v>6.6</v>
      </c>
      <c r="AM13" s="56">
        <v>15</v>
      </c>
      <c r="AN13" s="57">
        <v>10.199999999999999</v>
      </c>
      <c r="AO13" s="57">
        <v>25.2</v>
      </c>
      <c r="AP13" s="56">
        <v>219</v>
      </c>
      <c r="AQ13" s="56">
        <v>5790</v>
      </c>
      <c r="AR13" s="56">
        <v>429</v>
      </c>
      <c r="AS13" s="57">
        <v>11.2</v>
      </c>
      <c r="AT13" s="56">
        <v>420</v>
      </c>
      <c r="AU13" s="57">
        <v>62.2</v>
      </c>
      <c r="AV13" s="58">
        <v>3.02</v>
      </c>
    </row>
    <row r="14" spans="1:48" ht="20.399999999999999" x14ac:dyDescent="0.3">
      <c r="A14" s="2" t="s">
        <v>128</v>
      </c>
      <c r="B14" s="36">
        <v>0.4</v>
      </c>
      <c r="C14" s="2" t="s">
        <v>31</v>
      </c>
      <c r="E14" s="2" t="s">
        <v>174</v>
      </c>
      <c r="F14" s="36">
        <v>7.42</v>
      </c>
      <c r="G14" s="2" t="s">
        <v>6</v>
      </c>
      <c r="Q14" s="56">
        <v>300</v>
      </c>
      <c r="R14" s="56">
        <v>149</v>
      </c>
      <c r="S14" s="56">
        <v>117</v>
      </c>
      <c r="T14" s="56">
        <v>300</v>
      </c>
      <c r="U14" s="56">
        <v>300</v>
      </c>
      <c r="V14" s="56">
        <v>11</v>
      </c>
      <c r="W14" s="56">
        <v>19</v>
      </c>
      <c r="X14" s="56">
        <v>46</v>
      </c>
      <c r="Y14" s="56">
        <v>208</v>
      </c>
      <c r="Z14" s="56">
        <v>25170</v>
      </c>
      <c r="AA14" s="56">
        <v>1680</v>
      </c>
      <c r="AB14" s="56">
        <v>13</v>
      </c>
      <c r="AC14" s="56">
        <v>8560</v>
      </c>
      <c r="AD14" s="56">
        <v>571</v>
      </c>
      <c r="AE14" s="58">
        <v>7.58</v>
      </c>
      <c r="AF14" s="54"/>
      <c r="AG14" s="56">
        <v>300</v>
      </c>
      <c r="AH14" s="57">
        <v>53.8</v>
      </c>
      <c r="AI14" s="57">
        <v>42.2</v>
      </c>
      <c r="AJ14" s="56">
        <v>300</v>
      </c>
      <c r="AK14" s="56">
        <v>150</v>
      </c>
      <c r="AL14" s="57">
        <v>7.1</v>
      </c>
      <c r="AM14" s="56">
        <v>15</v>
      </c>
      <c r="AN14" s="57">
        <v>10.7</v>
      </c>
      <c r="AO14" s="57">
        <v>25.7</v>
      </c>
      <c r="AP14" s="56">
        <v>248</v>
      </c>
      <c r="AQ14" s="56">
        <v>8360</v>
      </c>
      <c r="AR14" s="56">
        <v>557</v>
      </c>
      <c r="AS14" s="57">
        <v>12.5</v>
      </c>
      <c r="AT14" s="56">
        <v>604</v>
      </c>
      <c r="AU14" s="57">
        <v>80.5</v>
      </c>
      <c r="AV14" s="58">
        <v>3.35</v>
      </c>
    </row>
    <row r="15" spans="1:48" ht="20.399999999999999" x14ac:dyDescent="0.3">
      <c r="A15" s="2" t="s">
        <v>132</v>
      </c>
      <c r="B15" s="2">
        <f>0.1*F4*B13+2*0.4*0.1*F4*B13</f>
        <v>13.680000000000003</v>
      </c>
      <c r="C15" s="2" t="s">
        <v>109</v>
      </c>
      <c r="F15" s="59"/>
      <c r="Q15" s="56">
        <v>320</v>
      </c>
      <c r="R15" s="56">
        <v>161</v>
      </c>
      <c r="S15" s="56">
        <v>127</v>
      </c>
      <c r="T15" s="56">
        <v>320</v>
      </c>
      <c r="U15" s="56">
        <v>300</v>
      </c>
      <c r="V15" s="57">
        <v>11.5</v>
      </c>
      <c r="W15" s="57">
        <v>20.5</v>
      </c>
      <c r="X15" s="57">
        <v>47.5</v>
      </c>
      <c r="Y15" s="56">
        <v>225</v>
      </c>
      <c r="Z15" s="56">
        <v>30820</v>
      </c>
      <c r="AA15" s="56">
        <v>1930</v>
      </c>
      <c r="AB15" s="57">
        <v>13.8</v>
      </c>
      <c r="AC15" s="56">
        <v>9240</v>
      </c>
      <c r="AD15" s="56">
        <v>616</v>
      </c>
      <c r="AE15" s="58">
        <v>7.57</v>
      </c>
      <c r="AF15" s="54"/>
      <c r="AG15" s="56">
        <v>330</v>
      </c>
      <c r="AH15" s="57">
        <v>62.6</v>
      </c>
      <c r="AI15" s="57">
        <v>49.1</v>
      </c>
      <c r="AJ15" s="56">
        <v>330</v>
      </c>
      <c r="AK15" s="56">
        <v>160</v>
      </c>
      <c r="AL15" s="57">
        <v>7.5</v>
      </c>
      <c r="AM15" s="56">
        <v>18</v>
      </c>
      <c r="AN15" s="57">
        <v>11.5</v>
      </c>
      <c r="AO15" s="57">
        <v>29.5</v>
      </c>
      <c r="AP15" s="56">
        <v>271</v>
      </c>
      <c r="AQ15" s="56">
        <v>11770</v>
      </c>
      <c r="AR15" s="56">
        <v>713</v>
      </c>
      <c r="AS15" s="57">
        <v>13.7</v>
      </c>
      <c r="AT15" s="56">
        <v>788</v>
      </c>
      <c r="AU15" s="57">
        <v>98.5</v>
      </c>
      <c r="AV15" s="58">
        <v>3.55</v>
      </c>
    </row>
    <row r="16" spans="1:48" ht="20.399999999999999" x14ac:dyDescent="0.3">
      <c r="A16" s="2" t="s">
        <v>133</v>
      </c>
      <c r="B16" s="2">
        <f>2*0.8*0.1*F3*B14</f>
        <v>28.800000000000008</v>
      </c>
      <c r="C16" s="2" t="s">
        <v>109</v>
      </c>
      <c r="E16" s="59"/>
      <c r="F16" s="59"/>
      <c r="Q16" s="56">
        <v>340</v>
      </c>
      <c r="R16" s="56">
        <v>171</v>
      </c>
      <c r="S16" s="56">
        <v>134</v>
      </c>
      <c r="T16" s="56">
        <v>340</v>
      </c>
      <c r="U16" s="56">
        <v>300</v>
      </c>
      <c r="V16" s="56">
        <v>12</v>
      </c>
      <c r="W16" s="57">
        <v>21.5</v>
      </c>
      <c r="X16" s="57">
        <v>48.5</v>
      </c>
      <c r="Y16" s="56">
        <v>243</v>
      </c>
      <c r="Z16" s="56">
        <v>36660</v>
      </c>
      <c r="AA16" s="56">
        <v>2160</v>
      </c>
      <c r="AB16" s="57">
        <v>14.6</v>
      </c>
      <c r="AC16" s="56">
        <v>9690</v>
      </c>
      <c r="AD16" s="56">
        <v>646</v>
      </c>
      <c r="AE16" s="58">
        <v>7.53</v>
      </c>
      <c r="AF16" s="54"/>
      <c r="AG16" s="56">
        <v>360</v>
      </c>
      <c r="AH16" s="57">
        <v>72.7</v>
      </c>
      <c r="AI16" s="57">
        <v>57.1</v>
      </c>
      <c r="AJ16" s="56">
        <v>360</v>
      </c>
      <c r="AK16" s="56">
        <v>170</v>
      </c>
      <c r="AL16" s="56">
        <v>8</v>
      </c>
      <c r="AM16" s="56">
        <v>18</v>
      </c>
      <c r="AN16" s="57">
        <v>12.7</v>
      </c>
      <c r="AO16" s="57">
        <v>30.7</v>
      </c>
      <c r="AP16" s="56">
        <v>298</v>
      </c>
      <c r="AQ16" s="56">
        <v>16270</v>
      </c>
      <c r="AR16" s="56">
        <v>904</v>
      </c>
      <c r="AS16" s="56">
        <v>15</v>
      </c>
      <c r="AT16" s="56">
        <v>1040</v>
      </c>
      <c r="AU16" s="56">
        <v>123</v>
      </c>
      <c r="AV16" s="58">
        <v>3.79</v>
      </c>
    </row>
    <row r="17" spans="5:48" x14ac:dyDescent="0.3">
      <c r="E17" s="104" t="s">
        <v>49</v>
      </c>
      <c r="F17" s="104"/>
      <c r="Q17" s="56">
        <v>360</v>
      </c>
      <c r="R17" s="56">
        <v>181</v>
      </c>
      <c r="S17" s="56">
        <v>142</v>
      </c>
      <c r="T17" s="56">
        <v>360</v>
      </c>
      <c r="U17" s="56">
        <v>300</v>
      </c>
      <c r="V17" s="57">
        <v>12.5</v>
      </c>
      <c r="W17" s="57">
        <v>22.5</v>
      </c>
      <c r="X17" s="57">
        <v>49.5</v>
      </c>
      <c r="Y17" s="56">
        <v>261</v>
      </c>
      <c r="Z17" s="56">
        <v>43190</v>
      </c>
      <c r="AA17" s="56">
        <v>2400</v>
      </c>
      <c r="AB17" s="57">
        <v>15.6</v>
      </c>
      <c r="AC17" s="56">
        <v>10140</v>
      </c>
      <c r="AD17" s="56">
        <v>676</v>
      </c>
      <c r="AE17" s="58">
        <v>7.49</v>
      </c>
      <c r="AF17" s="54"/>
      <c r="AG17" s="56">
        <v>400</v>
      </c>
      <c r="AH17" s="57">
        <v>84.5</v>
      </c>
      <c r="AI17" s="57">
        <v>66.3</v>
      </c>
      <c r="AJ17" s="56">
        <v>400</v>
      </c>
      <c r="AK17" s="56">
        <v>180</v>
      </c>
      <c r="AL17" s="57">
        <v>8.6</v>
      </c>
      <c r="AM17" s="56">
        <v>21</v>
      </c>
      <c r="AN17" s="57">
        <v>13.5</v>
      </c>
      <c r="AO17" s="57">
        <v>34.5</v>
      </c>
      <c r="AP17" s="56">
        <v>331</v>
      </c>
      <c r="AQ17" s="56">
        <v>23130</v>
      </c>
      <c r="AR17" s="56">
        <v>1160</v>
      </c>
      <c r="AS17" s="57">
        <v>16.5</v>
      </c>
      <c r="AT17" s="56">
        <v>1320</v>
      </c>
      <c r="AU17" s="56">
        <v>146</v>
      </c>
      <c r="AV17" s="58">
        <v>3.95</v>
      </c>
    </row>
    <row r="18" spans="5:48" x14ac:dyDescent="0.3">
      <c r="E18" s="96" t="s">
        <v>131</v>
      </c>
      <c r="F18" s="96"/>
      <c r="G18" s="96"/>
      <c r="H18" s="96"/>
      <c r="K18" s="96" t="s">
        <v>170</v>
      </c>
      <c r="L18" s="96"/>
      <c r="Q18" s="56">
        <v>400</v>
      </c>
      <c r="R18" s="56">
        <v>198</v>
      </c>
      <c r="S18" s="56">
        <v>155</v>
      </c>
      <c r="T18" s="56">
        <v>400</v>
      </c>
      <c r="U18" s="56">
        <v>300</v>
      </c>
      <c r="V18" s="57">
        <v>13.5</v>
      </c>
      <c r="W18" s="56">
        <v>24</v>
      </c>
      <c r="X18" s="56">
        <v>51</v>
      </c>
      <c r="Y18" s="56">
        <v>298</v>
      </c>
      <c r="Z18" s="56">
        <v>57680</v>
      </c>
      <c r="AA18" s="56">
        <v>2880</v>
      </c>
      <c r="AB18" s="57">
        <v>17.100000000000001</v>
      </c>
      <c r="AC18" s="56">
        <v>10820</v>
      </c>
      <c r="AD18" s="56">
        <v>721</v>
      </c>
      <c r="AE18" s="57">
        <v>7.4</v>
      </c>
      <c r="AF18" s="54"/>
      <c r="AG18" s="56">
        <v>450</v>
      </c>
      <c r="AH18" s="57">
        <v>98.8</v>
      </c>
      <c r="AI18" s="57">
        <v>77.599999999999994</v>
      </c>
      <c r="AJ18" s="56">
        <v>450</v>
      </c>
      <c r="AK18" s="56">
        <v>190</v>
      </c>
      <c r="AL18" s="57">
        <v>9.4</v>
      </c>
      <c r="AM18" s="56">
        <v>21</v>
      </c>
      <c r="AN18" s="57">
        <v>14.6</v>
      </c>
      <c r="AO18" s="57">
        <v>35.6</v>
      </c>
      <c r="AP18" s="56">
        <v>378</v>
      </c>
      <c r="AQ18" s="56">
        <v>33740</v>
      </c>
      <c r="AR18" s="56">
        <v>1500</v>
      </c>
      <c r="AS18" s="57">
        <v>18.5</v>
      </c>
      <c r="AT18" s="56">
        <v>1680</v>
      </c>
      <c r="AU18" s="56">
        <v>176</v>
      </c>
      <c r="AV18" s="58">
        <v>4.12</v>
      </c>
    </row>
    <row r="19" spans="5:48" ht="20.399999999999999" x14ac:dyDescent="0.3">
      <c r="E19" s="2" t="s">
        <v>130</v>
      </c>
      <c r="F19" s="2">
        <f>MAX(B10,B11)/B15</f>
        <v>0.4667348972645976</v>
      </c>
      <c r="G19" s="2" t="s">
        <v>78</v>
      </c>
      <c r="H19" s="34" t="str">
        <f>IF(F19&lt;=0.7*0.4*B7,"Safe","Unsafe")</f>
        <v>Safe</v>
      </c>
      <c r="K19" s="96" t="s">
        <v>56</v>
      </c>
      <c r="L19" s="96"/>
      <c r="Q19" s="56">
        <v>450</v>
      </c>
      <c r="R19" s="56">
        <v>218</v>
      </c>
      <c r="S19" s="56">
        <v>171</v>
      </c>
      <c r="T19" s="56">
        <v>450</v>
      </c>
      <c r="U19" s="56">
        <v>300</v>
      </c>
      <c r="V19" s="56">
        <v>14</v>
      </c>
      <c r="W19" s="56">
        <v>26</v>
      </c>
      <c r="X19" s="56">
        <v>53</v>
      </c>
      <c r="Y19" s="56">
        <v>344</v>
      </c>
      <c r="Z19" s="56">
        <v>79890</v>
      </c>
      <c r="AA19" s="56">
        <v>3550</v>
      </c>
      <c r="AB19" s="57">
        <v>19.100000000000001</v>
      </c>
      <c r="AC19" s="56">
        <v>11720</v>
      </c>
      <c r="AD19" s="56">
        <v>781</v>
      </c>
      <c r="AE19" s="58">
        <v>7.33</v>
      </c>
      <c r="AF19" s="54"/>
      <c r="AG19" s="56">
        <v>500</v>
      </c>
      <c r="AH19" s="56">
        <v>116</v>
      </c>
      <c r="AI19" s="57">
        <v>90.7</v>
      </c>
      <c r="AJ19" s="56">
        <v>500</v>
      </c>
      <c r="AK19" s="56">
        <v>200</v>
      </c>
      <c r="AL19" s="57">
        <v>10.199999999999999</v>
      </c>
      <c r="AM19" s="56">
        <v>21</v>
      </c>
      <c r="AN19" s="56">
        <v>16</v>
      </c>
      <c r="AO19" s="56">
        <v>37</v>
      </c>
      <c r="AP19" s="56">
        <v>426</v>
      </c>
      <c r="AQ19" s="56">
        <v>48200</v>
      </c>
      <c r="AR19" s="56">
        <v>1930</v>
      </c>
      <c r="AS19" s="57">
        <v>20.399999999999999</v>
      </c>
      <c r="AT19" s="56">
        <v>2140</v>
      </c>
      <c r="AU19" s="56">
        <v>214</v>
      </c>
      <c r="AV19" s="58">
        <v>4.3099999999999996</v>
      </c>
    </row>
    <row r="20" spans="5:48" ht="20.399999999999999" x14ac:dyDescent="0.3">
      <c r="K20" s="2" t="s">
        <v>93</v>
      </c>
      <c r="L20" s="2">
        <f>0.85*6.25*(0.1*I7)^2*B6</f>
        <v>46.027500000000003</v>
      </c>
      <c r="M20" s="2" t="s">
        <v>44</v>
      </c>
      <c r="N20" s="34" t="str">
        <f>IF(B10&lt;=L20,"Safe","Unsafe")</f>
        <v>Safe</v>
      </c>
      <c r="Q20" s="56">
        <v>500</v>
      </c>
      <c r="R20" s="56">
        <v>239</v>
      </c>
      <c r="S20" s="56">
        <v>187</v>
      </c>
      <c r="T20" s="56">
        <v>500</v>
      </c>
      <c r="U20" s="56">
        <v>300</v>
      </c>
      <c r="V20" s="57">
        <v>14.5</v>
      </c>
      <c r="W20" s="56">
        <v>28</v>
      </c>
      <c r="X20" s="56">
        <v>655</v>
      </c>
      <c r="Y20" s="56">
        <v>390</v>
      </c>
      <c r="Z20" s="56">
        <v>107200</v>
      </c>
      <c r="AA20" s="56">
        <v>4290</v>
      </c>
      <c r="AB20" s="57">
        <v>21.2</v>
      </c>
      <c r="AC20" s="56">
        <v>12620</v>
      </c>
      <c r="AD20" s="56">
        <v>842</v>
      </c>
      <c r="AE20" s="58">
        <v>7.27</v>
      </c>
      <c r="AF20" s="54"/>
      <c r="AG20" s="56">
        <v>550</v>
      </c>
      <c r="AH20" s="56">
        <v>134</v>
      </c>
      <c r="AI20" s="56">
        <v>106</v>
      </c>
      <c r="AJ20" s="56">
        <v>550</v>
      </c>
      <c r="AK20" s="56">
        <v>210</v>
      </c>
      <c r="AL20" s="57">
        <v>11.1</v>
      </c>
      <c r="AM20" s="56">
        <v>24</v>
      </c>
      <c r="AN20" s="57">
        <v>17.2</v>
      </c>
      <c r="AO20" s="57">
        <v>41.2</v>
      </c>
      <c r="AP20" s="56">
        <v>467</v>
      </c>
      <c r="AQ20" s="56">
        <v>67120</v>
      </c>
      <c r="AR20" s="56">
        <v>2440</v>
      </c>
      <c r="AS20" s="57">
        <v>22.3</v>
      </c>
      <c r="AT20" s="56">
        <v>2670</v>
      </c>
      <c r="AU20" s="56">
        <v>254</v>
      </c>
      <c r="AV20" s="58">
        <v>4.45</v>
      </c>
    </row>
    <row r="21" spans="5:48" x14ac:dyDescent="0.3">
      <c r="E21" s="96" t="s">
        <v>169</v>
      </c>
      <c r="F21" s="96"/>
      <c r="G21" s="96"/>
      <c r="H21" s="96"/>
      <c r="K21" s="164" t="str">
        <f>IF(N20="Unsafe","Use doubler plate","")</f>
        <v/>
      </c>
      <c r="L21" s="164"/>
      <c r="M21" s="164"/>
      <c r="N21" s="164"/>
      <c r="Q21" s="56">
        <v>550</v>
      </c>
      <c r="R21" s="56">
        <v>254</v>
      </c>
      <c r="S21" s="56">
        <v>199</v>
      </c>
      <c r="T21" s="56">
        <v>550</v>
      </c>
      <c r="U21" s="56">
        <v>300</v>
      </c>
      <c r="V21" s="56">
        <v>15</v>
      </c>
      <c r="W21" s="56">
        <v>29</v>
      </c>
      <c r="X21" s="56">
        <v>56</v>
      </c>
      <c r="Y21" s="56">
        <v>438</v>
      </c>
      <c r="Z21" s="56">
        <v>136700</v>
      </c>
      <c r="AA21" s="56">
        <v>4970</v>
      </c>
      <c r="AB21" s="57">
        <v>23.2</v>
      </c>
      <c r="AC21" s="56">
        <v>13080</v>
      </c>
      <c r="AD21" s="56">
        <v>872</v>
      </c>
      <c r="AE21" s="58">
        <v>7.17</v>
      </c>
      <c r="AF21" s="54"/>
      <c r="AG21" s="56">
        <v>600</v>
      </c>
      <c r="AH21" s="56">
        <v>156</v>
      </c>
      <c r="AI21" s="56">
        <v>122</v>
      </c>
      <c r="AJ21" s="56">
        <v>600</v>
      </c>
      <c r="AK21" s="56">
        <v>220</v>
      </c>
      <c r="AL21" s="56">
        <v>12</v>
      </c>
      <c r="AM21" s="56">
        <v>24</v>
      </c>
      <c r="AN21" s="56">
        <v>19</v>
      </c>
      <c r="AO21" s="56">
        <v>43</v>
      </c>
      <c r="AP21" s="56">
        <v>514</v>
      </c>
      <c r="AQ21" s="56">
        <v>92080</v>
      </c>
      <c r="AR21" s="56">
        <v>3070</v>
      </c>
      <c r="AS21" s="57">
        <v>24.3</v>
      </c>
      <c r="AT21" s="56">
        <v>3390</v>
      </c>
      <c r="AU21" s="56">
        <v>308</v>
      </c>
      <c r="AV21" s="58">
        <v>4.66</v>
      </c>
    </row>
    <row r="22" spans="5:48" ht="20.399999999999999" x14ac:dyDescent="0.3">
      <c r="E22" s="2" t="s">
        <v>130</v>
      </c>
      <c r="F22" s="2">
        <f>F14/B16</f>
        <v>0.25763888888888881</v>
      </c>
      <c r="G22" s="2" t="s">
        <v>78</v>
      </c>
      <c r="H22" s="34" t="str">
        <f>IF(F22&lt;=0.7*0.4*B7,"Safe","Unsafe")</f>
        <v>Safe</v>
      </c>
      <c r="K22" s="2" t="s">
        <v>114</v>
      </c>
      <c r="L22" s="36"/>
      <c r="M22" s="2" t="s">
        <v>31</v>
      </c>
      <c r="Q22" s="56">
        <v>600</v>
      </c>
      <c r="R22" s="56">
        <v>270</v>
      </c>
      <c r="S22" s="56">
        <v>212</v>
      </c>
      <c r="T22" s="56">
        <v>600</v>
      </c>
      <c r="U22" s="56">
        <v>300</v>
      </c>
      <c r="V22" s="57">
        <v>15.5</v>
      </c>
      <c r="W22" s="56">
        <v>30</v>
      </c>
      <c r="X22" s="56">
        <v>57</v>
      </c>
      <c r="Y22" s="56">
        <v>486</v>
      </c>
      <c r="Z22" s="56">
        <v>171000</v>
      </c>
      <c r="AA22" s="56">
        <v>5700</v>
      </c>
      <c r="AB22" s="57">
        <v>25.2</v>
      </c>
      <c r="AC22" s="56">
        <v>13530</v>
      </c>
      <c r="AD22" s="56">
        <v>902</v>
      </c>
      <c r="AE22" s="58">
        <v>7.08</v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5:48" ht="20.399999999999999" x14ac:dyDescent="0.3">
      <c r="K23" s="2" t="s">
        <v>93</v>
      </c>
      <c r="L23" s="2" t="str">
        <f>IF(N20="Unsafe",0.85*6.25*(0.1*I7+L22)^2*B6,"")</f>
        <v/>
      </c>
      <c r="M23" s="2" t="s">
        <v>44</v>
      </c>
      <c r="N23" s="34" t="str">
        <f>IF(B10&lt;=L23,"Safe","Unsafe")</f>
        <v>Safe</v>
      </c>
      <c r="Q23" s="56">
        <v>650</v>
      </c>
      <c r="R23" s="56">
        <v>286</v>
      </c>
      <c r="S23" s="56">
        <v>225</v>
      </c>
      <c r="T23" s="56">
        <v>650</v>
      </c>
      <c r="U23" s="56">
        <v>300</v>
      </c>
      <c r="V23" s="56">
        <v>16</v>
      </c>
      <c r="W23" s="56">
        <v>31</v>
      </c>
      <c r="X23" s="56">
        <v>58</v>
      </c>
      <c r="Y23" s="56">
        <v>534</v>
      </c>
      <c r="Z23" s="56">
        <v>210600</v>
      </c>
      <c r="AA23" s="56">
        <v>6480</v>
      </c>
      <c r="AB23" s="57">
        <v>27.1</v>
      </c>
      <c r="AC23" s="56">
        <v>13980</v>
      </c>
      <c r="AD23" s="56">
        <v>932</v>
      </c>
      <c r="AE23" s="58">
        <v>6.99</v>
      </c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5:48" x14ac:dyDescent="0.3">
      <c r="Q24" s="56">
        <v>700</v>
      </c>
      <c r="R24" s="56">
        <v>306</v>
      </c>
      <c r="S24" s="56">
        <v>241</v>
      </c>
      <c r="T24" s="56">
        <v>700</v>
      </c>
      <c r="U24" s="56">
        <v>300</v>
      </c>
      <c r="V24" s="56">
        <v>17</v>
      </c>
      <c r="W24" s="56">
        <v>32</v>
      </c>
      <c r="X24" s="56">
        <v>59</v>
      </c>
      <c r="Y24" s="56">
        <v>582</v>
      </c>
      <c r="Z24" s="56">
        <v>256900</v>
      </c>
      <c r="AA24" s="56">
        <v>7340</v>
      </c>
      <c r="AB24" s="56">
        <v>29</v>
      </c>
      <c r="AC24" s="56">
        <v>14440</v>
      </c>
      <c r="AD24" s="56">
        <v>963</v>
      </c>
      <c r="AE24" s="58">
        <v>6.87</v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5:48" x14ac:dyDescent="0.3">
      <c r="K25" s="96" t="s">
        <v>58</v>
      </c>
      <c r="L25" s="96"/>
      <c r="M25" s="96"/>
      <c r="Q25" s="56">
        <v>800</v>
      </c>
      <c r="R25" s="56">
        <v>334</v>
      </c>
      <c r="S25" s="56">
        <v>262</v>
      </c>
      <c r="T25" s="56">
        <v>800</v>
      </c>
      <c r="U25" s="56">
        <v>300</v>
      </c>
      <c r="V25" s="57">
        <v>17.5</v>
      </c>
      <c r="W25" s="56">
        <v>33</v>
      </c>
      <c r="X25" s="56">
        <v>63</v>
      </c>
      <c r="Y25" s="56">
        <v>674</v>
      </c>
      <c r="Z25" s="56">
        <v>359100</v>
      </c>
      <c r="AA25" s="56">
        <v>9890</v>
      </c>
      <c r="AB25" s="57">
        <v>32.799999999999997</v>
      </c>
      <c r="AC25" s="56">
        <v>14900</v>
      </c>
      <c r="AD25" s="56">
        <v>994</v>
      </c>
      <c r="AE25" s="58">
        <v>6.68</v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5:48" ht="20.399999999999999" x14ac:dyDescent="0.3">
      <c r="K26" s="2" t="s">
        <v>97</v>
      </c>
      <c r="L26" s="2">
        <f>0.95*(0.1*F6+5*2*0.1*I7)*0.1*I6*B6</f>
        <v>55.978560000000009</v>
      </c>
      <c r="M26" s="2" t="s">
        <v>44</v>
      </c>
      <c r="N26" s="60" t="str">
        <f>IF(B11&lt;=L26,"Safe","Unsafe")</f>
        <v>Safe</v>
      </c>
      <c r="Q26" s="56">
        <v>900</v>
      </c>
      <c r="R26" s="56">
        <v>371</v>
      </c>
      <c r="S26" s="56">
        <v>291</v>
      </c>
      <c r="T26" s="56">
        <v>900</v>
      </c>
      <c r="U26" s="56">
        <v>300</v>
      </c>
      <c r="V26" s="57">
        <v>18.5</v>
      </c>
      <c r="W26" s="56">
        <v>35</v>
      </c>
      <c r="X26" s="56">
        <v>65</v>
      </c>
      <c r="Y26" s="56">
        <v>770</v>
      </c>
      <c r="Z26" s="56">
        <v>494100</v>
      </c>
      <c r="AA26" s="56">
        <v>10980</v>
      </c>
      <c r="AB26" s="57">
        <v>36.5</v>
      </c>
      <c r="AC26" s="56">
        <v>15820</v>
      </c>
      <c r="AD26" s="56">
        <v>1050</v>
      </c>
      <c r="AE26" s="58">
        <v>6.53</v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5:48" x14ac:dyDescent="0.3">
      <c r="K27" s="106" t="str">
        <f>IF(N26="Unsafe","Use doubler plate","")</f>
        <v/>
      </c>
      <c r="L27" s="106"/>
      <c r="M27" s="106"/>
      <c r="N27" s="106"/>
      <c r="Q27" s="56">
        <v>1000</v>
      </c>
      <c r="R27" s="56">
        <v>400</v>
      </c>
      <c r="S27" s="56">
        <v>314</v>
      </c>
      <c r="T27" s="56">
        <v>1000</v>
      </c>
      <c r="U27" s="56">
        <v>300</v>
      </c>
      <c r="V27" s="56">
        <v>19</v>
      </c>
      <c r="W27" s="56">
        <v>36</v>
      </c>
      <c r="X27" s="56">
        <v>66</v>
      </c>
      <c r="Y27" s="56">
        <v>868</v>
      </c>
      <c r="Z27" s="56">
        <v>644700</v>
      </c>
      <c r="AA27" s="56">
        <v>12890</v>
      </c>
      <c r="AB27" s="57">
        <v>40.1</v>
      </c>
      <c r="AC27" s="56">
        <v>16280</v>
      </c>
      <c r="AD27" s="56">
        <v>1090</v>
      </c>
      <c r="AE27" s="58">
        <v>6.38</v>
      </c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5:48" ht="20.399999999999999" x14ac:dyDescent="0.3">
      <c r="K28" s="2" t="s">
        <v>114</v>
      </c>
      <c r="L28" s="36"/>
      <c r="M28" s="2" t="s">
        <v>31</v>
      </c>
    </row>
    <row r="29" spans="5:48" ht="20.399999999999999" x14ac:dyDescent="0.3">
      <c r="K29" s="2" t="s">
        <v>97</v>
      </c>
      <c r="L29" s="2" t="str">
        <f>IF(N26="Unsafe",0.95*(0.1*F6+5*2*0.1*I7)*(0.1*I6+L28)*B6,"")</f>
        <v/>
      </c>
      <c r="M29" s="2" t="s">
        <v>44</v>
      </c>
      <c r="N29" s="34" t="str">
        <f>IF(B11&lt;=L29,"Safe","Unsafe")</f>
        <v>Safe</v>
      </c>
    </row>
    <row r="31" spans="5:48" x14ac:dyDescent="0.3">
      <c r="K31" s="96" t="s">
        <v>59</v>
      </c>
      <c r="L31" s="96"/>
      <c r="M31" s="96"/>
    </row>
    <row r="32" spans="5:48" ht="20.399999999999999" x14ac:dyDescent="0.3">
      <c r="K32" s="2" t="s">
        <v>97</v>
      </c>
      <c r="L32" s="2">
        <f>0.7*(0.3627*(0.1*I6)^2*(1+3*((0.1*F6)/(0.1*I4))*((0.1*I6)/(0.1*I7))^1.5)*SQRT(2100*B6*(I7/I6)))</f>
        <v>33.856168635900751</v>
      </c>
      <c r="M32" s="2" t="s">
        <v>44</v>
      </c>
      <c r="N32" s="34" t="str">
        <f>IF(B11&lt;=L32,"Safe","Unsafe")</f>
        <v>Safe</v>
      </c>
    </row>
    <row r="33" spans="11:14" x14ac:dyDescent="0.3">
      <c r="K33" s="164" t="str">
        <f>IF(N32="Unsafe","Use doubler plate","")</f>
        <v/>
      </c>
      <c r="L33" s="164"/>
      <c r="M33" s="164"/>
      <c r="N33" s="164"/>
    </row>
    <row r="34" spans="11:14" ht="20.399999999999999" x14ac:dyDescent="0.3">
      <c r="K34" s="2" t="s">
        <v>114</v>
      </c>
      <c r="L34" s="36"/>
      <c r="M34" s="2" t="s">
        <v>31</v>
      </c>
    </row>
    <row r="35" spans="11:14" ht="20.399999999999999" x14ac:dyDescent="0.3">
      <c r="K35" s="2" t="s">
        <v>97</v>
      </c>
      <c r="L35" s="2" t="str">
        <f>IF(N32="Unsafe",0.7*(0.3627*(0.1*I6+L34)^2*(1+3*((0.1*F6)/(0.1*I4))*((0.1*I6+L34)/(0.1*I7))^1.5)*SQRT(2100*B6*(I7/(I6+L34)))),"")</f>
        <v/>
      </c>
      <c r="M35" s="2" t="s">
        <v>44</v>
      </c>
      <c r="N35" s="34" t="str">
        <f>IF(B11&lt;=L35,"Safe","Unsafe")</f>
        <v>Safe</v>
      </c>
    </row>
    <row r="37" spans="11:14" x14ac:dyDescent="0.3">
      <c r="K37" s="96" t="s">
        <v>60</v>
      </c>
      <c r="L37" s="96"/>
      <c r="M37" s="31"/>
    </row>
    <row r="38" spans="11:14" ht="20.399999999999999" x14ac:dyDescent="0.3">
      <c r="K38" s="2" t="s">
        <v>101</v>
      </c>
      <c r="L38" s="36">
        <v>20</v>
      </c>
      <c r="M38" s="2" t="s">
        <v>44</v>
      </c>
    </row>
    <row r="39" spans="11:14" ht="20.399999999999999" x14ac:dyDescent="0.3">
      <c r="K39" s="2" t="s">
        <v>172</v>
      </c>
      <c r="L39" s="2">
        <f>F12/B9</f>
        <v>6.3849333945796971</v>
      </c>
      <c r="M39" s="2" t="s">
        <v>44</v>
      </c>
    </row>
    <row r="40" spans="11:14" ht="20.399999999999999" x14ac:dyDescent="0.3">
      <c r="K40" s="2" t="s">
        <v>103</v>
      </c>
      <c r="L40" s="2">
        <f>IF(L38&lt;=(0.4*B6*0.1*I4*0.1*I6),0.85*0.1*I4*0.1*I6*0.6*B6,0.85*0.1*I4*0.1*I6*0.6*B6*(1.4-(L38/(B6*0.1*I4*0.1*I6))))</f>
        <v>88.128000000000014</v>
      </c>
      <c r="M40" s="2" t="s">
        <v>44</v>
      </c>
      <c r="N40" s="34" t="str">
        <f>IF(L39&lt;=L40,"Safe","Unsafe")</f>
        <v>Safe</v>
      </c>
    </row>
  </sheetData>
  <mergeCells count="24">
    <mergeCell ref="H1:J1"/>
    <mergeCell ref="AQ2:AS2"/>
    <mergeCell ref="AT2:AV2"/>
    <mergeCell ref="E11:F11"/>
    <mergeCell ref="AL1:AM1"/>
    <mergeCell ref="T2:Y2"/>
    <mergeCell ref="Z2:AB2"/>
    <mergeCell ref="AC2:AE2"/>
    <mergeCell ref="AJ2:AP2"/>
    <mergeCell ref="V1:W1"/>
    <mergeCell ref="H2:H3"/>
    <mergeCell ref="E1:F1"/>
    <mergeCell ref="K37:L37"/>
    <mergeCell ref="K21:N21"/>
    <mergeCell ref="K27:N27"/>
    <mergeCell ref="K33:N33"/>
    <mergeCell ref="B5:C5"/>
    <mergeCell ref="E18:H18"/>
    <mergeCell ref="E21:H21"/>
    <mergeCell ref="K18:L18"/>
    <mergeCell ref="K19:L19"/>
    <mergeCell ref="E17:F17"/>
    <mergeCell ref="K25:M25"/>
    <mergeCell ref="K31:M31"/>
  </mergeCells>
  <phoneticPr fontId="7" type="noConversion"/>
  <conditionalFormatting sqref="H19 H22">
    <cfRule type="cellIs" dxfId="21" priority="10" operator="equal">
      <formula>"unsafe"</formula>
    </cfRule>
    <cfRule type="cellIs" dxfId="20" priority="11" operator="equal">
      <formula>"safe"</formula>
    </cfRule>
  </conditionalFormatting>
  <conditionalFormatting sqref="N40 N20 N26 N32">
    <cfRule type="cellIs" dxfId="19" priority="9" operator="equal">
      <formula>"Safe"</formula>
    </cfRule>
  </conditionalFormatting>
  <conditionalFormatting sqref="N40 N20 N26 N32">
    <cfRule type="cellIs" dxfId="18" priority="8" operator="equal">
      <formula>"Unsafe"</formula>
    </cfRule>
  </conditionalFormatting>
  <conditionalFormatting sqref="N23">
    <cfRule type="cellIs" dxfId="17" priority="7" operator="equal">
      <formula>"Safe"</formula>
    </cfRule>
  </conditionalFormatting>
  <conditionalFormatting sqref="N23">
    <cfRule type="cellIs" dxfId="16" priority="6" operator="equal">
      <formula>"Unsafe"</formula>
    </cfRule>
  </conditionalFormatting>
  <conditionalFormatting sqref="N29 N35">
    <cfRule type="cellIs" dxfId="15" priority="4" operator="equal">
      <formula>"unsafe"</formula>
    </cfRule>
    <cfRule type="cellIs" dxfId="14" priority="5" operator="equal">
      <formula>"safe"</formula>
    </cfRule>
  </conditionalFormatting>
  <conditionalFormatting sqref="K21:N21">
    <cfRule type="cellIs" dxfId="13" priority="3" operator="equal">
      <formula>"Use doubler plate"</formula>
    </cfRule>
  </conditionalFormatting>
  <conditionalFormatting sqref="K27:N27">
    <cfRule type="cellIs" dxfId="12" priority="2" operator="equal">
      <formula>"Use doubler plate"</formula>
    </cfRule>
  </conditionalFormatting>
  <conditionalFormatting sqref="K33:N33">
    <cfRule type="cellIs" dxfId="11" priority="1" operator="equal">
      <formula>"Use doubler plate"</formula>
    </cfRule>
  </conditionalFormatting>
  <dataValidations disablePrompts="1" count="3">
    <dataValidation type="list" allowBlank="1" showInputMessage="1" showErrorMessage="1" sqref="B5:C5" xr:uid="{A58E9FA7-EA16-4B49-9819-F47E531EF695}">
      <formula1>$A$1:$A$3</formula1>
    </dataValidation>
    <dataValidation type="list" allowBlank="1" showInputMessage="1" showErrorMessage="1" sqref="J3" xr:uid="{160351BE-AB31-418D-9006-506716DCFDCC}">
      <formula1>$Q$4:$Q$27</formula1>
    </dataValidation>
    <dataValidation type="list" allowBlank="1" showInputMessage="1" showErrorMessage="1" sqref="F2 I3" xr:uid="{7482A5D4-7978-43A4-9502-07877D083074}">
      <formula1>$AG$4:$AG$21</formula1>
    </dataValidation>
  </dataValidations>
  <pageMargins left="0.7" right="0.7" top="0.75" bottom="0.75" header="0.3" footer="0.3"/>
  <pageSetup paperSize="8" scale="9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FF45-3DEF-4408-AD8D-E6FA392F4574}">
  <dimension ref="A1:M34"/>
  <sheetViews>
    <sheetView showGridLines="0" zoomScale="70" zoomScaleNormal="70" zoomScaleSheetLayoutView="25" workbookViewId="0">
      <selection activeCell="K13" sqref="K13"/>
    </sheetView>
  </sheetViews>
  <sheetFormatPr defaultColWidth="9" defaultRowHeight="18" x14ac:dyDescent="0.3"/>
  <cols>
    <col min="1" max="1" width="8" style="79" bestFit="1" customWidth="1"/>
    <col min="2" max="10" width="9" style="79"/>
    <col min="11" max="11" width="10.77734375" style="79" customWidth="1"/>
    <col min="12" max="16384" width="9" style="79"/>
  </cols>
  <sheetData>
    <row r="1" spans="1:12" x14ac:dyDescent="0.3">
      <c r="A1" s="78">
        <v>37</v>
      </c>
      <c r="E1" s="172" t="s">
        <v>7</v>
      </c>
      <c r="F1" s="173"/>
      <c r="G1" s="174"/>
      <c r="I1" s="172" t="s">
        <v>57</v>
      </c>
      <c r="J1" s="173"/>
      <c r="K1" s="174"/>
    </row>
    <row r="2" spans="1:12" x14ac:dyDescent="0.3">
      <c r="A2" s="78">
        <v>44</v>
      </c>
      <c r="E2" s="89" t="s">
        <v>8</v>
      </c>
      <c r="F2" s="81">
        <v>45</v>
      </c>
      <c r="G2" s="90" t="s">
        <v>135</v>
      </c>
      <c r="I2" s="89" t="s">
        <v>8</v>
      </c>
      <c r="J2" s="81">
        <v>45</v>
      </c>
      <c r="K2" s="90" t="s">
        <v>135</v>
      </c>
      <c r="L2" s="81"/>
    </row>
    <row r="3" spans="1:12" ht="21" customHeight="1" x14ac:dyDescent="0.3">
      <c r="A3" s="78">
        <v>52</v>
      </c>
      <c r="E3" s="89" t="s">
        <v>9</v>
      </c>
      <c r="F3" s="81">
        <v>30</v>
      </c>
      <c r="G3" s="90" t="s">
        <v>135</v>
      </c>
      <c r="I3" s="89" t="s">
        <v>9</v>
      </c>
      <c r="J3" s="81">
        <v>30</v>
      </c>
      <c r="K3" s="90" t="s">
        <v>135</v>
      </c>
      <c r="L3" s="81"/>
    </row>
    <row r="4" spans="1:12" x14ac:dyDescent="0.3">
      <c r="E4" s="89" t="s">
        <v>10</v>
      </c>
      <c r="F4" s="81">
        <v>1.4</v>
      </c>
      <c r="G4" s="90" t="s">
        <v>135</v>
      </c>
      <c r="I4" s="89" t="s">
        <v>10</v>
      </c>
      <c r="J4" s="81">
        <v>1.4</v>
      </c>
      <c r="K4" s="90" t="s">
        <v>135</v>
      </c>
      <c r="L4" s="81"/>
    </row>
    <row r="5" spans="1:12" ht="29.25" customHeight="1" thickBot="1" x14ac:dyDescent="0.35">
      <c r="E5" s="91" t="s">
        <v>11</v>
      </c>
      <c r="F5" s="92">
        <v>2.6</v>
      </c>
      <c r="G5" s="93" t="s">
        <v>135</v>
      </c>
      <c r="I5" s="89" t="s">
        <v>11</v>
      </c>
      <c r="J5" s="81">
        <v>2.6</v>
      </c>
      <c r="K5" s="90" t="s">
        <v>135</v>
      </c>
      <c r="L5" s="81"/>
    </row>
    <row r="6" spans="1:12" ht="18.600000000000001" thickBot="1" x14ac:dyDescent="0.35">
      <c r="I6" s="61" t="s">
        <v>43</v>
      </c>
      <c r="J6" s="92">
        <v>5.3</v>
      </c>
      <c r="K6" s="93" t="s">
        <v>135</v>
      </c>
      <c r="L6" s="81"/>
    </row>
    <row r="8" spans="1:12" x14ac:dyDescent="0.3">
      <c r="K8" s="80"/>
    </row>
    <row r="9" spans="1:12" x14ac:dyDescent="0.3">
      <c r="A9" s="79" t="s">
        <v>173</v>
      </c>
      <c r="B9" s="112">
        <v>37</v>
      </c>
      <c r="C9" s="112"/>
      <c r="E9" s="110" t="s">
        <v>126</v>
      </c>
      <c r="F9" s="110"/>
    </row>
    <row r="10" spans="1:12" ht="20.399999999999999" x14ac:dyDescent="0.3">
      <c r="A10" s="79" t="s">
        <v>220</v>
      </c>
      <c r="B10" s="79">
        <f>IF(B9=A1,2.4,IF(B9=A2,2.8,3.6))</f>
        <v>2.4</v>
      </c>
      <c r="C10" s="79" t="s">
        <v>178</v>
      </c>
      <c r="E10" s="94" t="s">
        <v>238</v>
      </c>
      <c r="F10" s="95"/>
      <c r="G10" s="81">
        <v>278</v>
      </c>
      <c r="H10" s="79" t="s">
        <v>4</v>
      </c>
    </row>
    <row r="11" spans="1:12" ht="20.399999999999999" x14ac:dyDescent="0.3">
      <c r="A11" s="79" t="s">
        <v>221</v>
      </c>
      <c r="B11" s="79">
        <f>IF(B9=A1,3.6,IF(B9=A2,4.4,5.2))</f>
        <v>3.6</v>
      </c>
      <c r="C11" s="79" t="s">
        <v>178</v>
      </c>
      <c r="E11" s="94" t="s">
        <v>176</v>
      </c>
      <c r="F11" s="95"/>
      <c r="G11" s="81">
        <v>0</v>
      </c>
      <c r="H11" s="79" t="s">
        <v>6</v>
      </c>
    </row>
    <row r="12" spans="1:12" ht="20.399999999999999" x14ac:dyDescent="0.3">
      <c r="E12" s="94" t="s">
        <v>239</v>
      </c>
      <c r="F12" s="95"/>
      <c r="G12" s="81">
        <v>7.42</v>
      </c>
      <c r="H12" s="79" t="s">
        <v>6</v>
      </c>
    </row>
    <row r="13" spans="1:12" ht="20.399999999999999" x14ac:dyDescent="0.3">
      <c r="A13" s="79" t="s">
        <v>240</v>
      </c>
      <c r="B13" s="79">
        <f>(F2-F5)</f>
        <v>42.4</v>
      </c>
      <c r="C13" s="79" t="s">
        <v>31</v>
      </c>
    </row>
    <row r="14" spans="1:12" ht="20.399999999999999" x14ac:dyDescent="0.3">
      <c r="A14" s="79" t="s">
        <v>241</v>
      </c>
      <c r="B14" s="79">
        <f>IF(G11&gt;0,(G10/B13)+0.5*ABS(G11),(G10/B13)-0.5*ABS(G11))</f>
        <v>6.5566037735849063</v>
      </c>
      <c r="C14" s="79" t="s">
        <v>6</v>
      </c>
    </row>
    <row r="15" spans="1:12" ht="20.399999999999999" x14ac:dyDescent="0.3">
      <c r="A15" s="79" t="s">
        <v>242</v>
      </c>
      <c r="B15" s="79">
        <f>IF(G11&gt;0,(G10/B13)-0.5*ABS(G11),(G10/B13)+0.5*ABS(G11))</f>
        <v>6.5566037735849063</v>
      </c>
      <c r="C15" s="79" t="s">
        <v>6</v>
      </c>
      <c r="E15" s="110" t="s">
        <v>49</v>
      </c>
      <c r="F15" s="110"/>
    </row>
    <row r="16" spans="1:12" x14ac:dyDescent="0.3">
      <c r="E16" s="110" t="s">
        <v>131</v>
      </c>
      <c r="F16" s="110"/>
      <c r="G16" s="110"/>
      <c r="H16" s="110"/>
    </row>
    <row r="17" spans="1:13" ht="20.399999999999999" x14ac:dyDescent="0.3">
      <c r="A17" s="79" t="s">
        <v>243</v>
      </c>
      <c r="B17" s="81">
        <v>0.4</v>
      </c>
      <c r="C17" s="79" t="s">
        <v>31</v>
      </c>
      <c r="E17" s="79" t="s">
        <v>244</v>
      </c>
      <c r="F17" s="79">
        <f>MAX(B14,B15)/B19</f>
        <v>0.30354647099930121</v>
      </c>
      <c r="G17" s="79" t="s">
        <v>178</v>
      </c>
      <c r="H17" s="78" t="str">
        <f>IF(F17&lt;=0.7*0.4*B11,"Safe","Unsafe")</f>
        <v>Safe</v>
      </c>
    </row>
    <row r="18" spans="1:13" ht="20.399999999999999" x14ac:dyDescent="0.3">
      <c r="A18" s="79" t="s">
        <v>245</v>
      </c>
      <c r="B18" s="81">
        <v>0.4</v>
      </c>
      <c r="C18" s="79" t="s">
        <v>31</v>
      </c>
    </row>
    <row r="19" spans="1:13" ht="20.399999999999999" x14ac:dyDescent="0.3">
      <c r="A19" s="79" t="s">
        <v>246</v>
      </c>
      <c r="B19" s="79">
        <f>F3*B17+2*0.4*F3*B17</f>
        <v>21.6</v>
      </c>
      <c r="C19" s="79" t="s">
        <v>185</v>
      </c>
      <c r="E19" s="110" t="s">
        <v>169</v>
      </c>
      <c r="F19" s="110"/>
      <c r="G19" s="110"/>
      <c r="H19" s="110"/>
    </row>
    <row r="20" spans="1:13" ht="20.399999999999999" x14ac:dyDescent="0.3">
      <c r="A20" s="79" t="s">
        <v>247</v>
      </c>
      <c r="B20" s="79">
        <f>2*0.8*F2*B18</f>
        <v>28.8</v>
      </c>
      <c r="C20" s="79" t="s">
        <v>185</v>
      </c>
      <c r="E20" s="79" t="s">
        <v>244</v>
      </c>
      <c r="F20" s="79">
        <f>G12/B20</f>
        <v>0.25763888888888886</v>
      </c>
      <c r="G20" s="79" t="s">
        <v>178</v>
      </c>
      <c r="H20" s="78" t="str">
        <f>IF(F20&lt;=0.7*0.4*B11,"Safe","Unsafe")</f>
        <v>Safe</v>
      </c>
    </row>
    <row r="23" spans="1:13" x14ac:dyDescent="0.3">
      <c r="E23" s="110" t="s">
        <v>170</v>
      </c>
      <c r="F23" s="110"/>
    </row>
    <row r="24" spans="1:13" x14ac:dyDescent="0.3">
      <c r="E24" s="110" t="s">
        <v>56</v>
      </c>
      <c r="F24" s="110"/>
    </row>
    <row r="25" spans="1:13" ht="20.399999999999999" x14ac:dyDescent="0.3">
      <c r="E25" s="79" t="s">
        <v>197</v>
      </c>
      <c r="F25" s="79">
        <f>0.85*6.25*(J5)^2*B10</f>
        <v>86.19</v>
      </c>
      <c r="G25" s="79" t="s">
        <v>44</v>
      </c>
      <c r="H25" s="78" t="str">
        <f>IF(B14&lt;=F25,"Safe","Unsafe")</f>
        <v>Safe</v>
      </c>
      <c r="J25" s="110" t="s">
        <v>59</v>
      </c>
      <c r="K25" s="110"/>
      <c r="L25" s="110"/>
    </row>
    <row r="26" spans="1:13" ht="20.399999999999999" x14ac:dyDescent="0.3">
      <c r="E26" s="171" t="str">
        <f>IF(H25="Unsafe","Use doubler plate","")</f>
        <v/>
      </c>
      <c r="F26" s="171"/>
      <c r="G26" s="171"/>
      <c r="H26" s="171"/>
      <c r="J26" s="79" t="s">
        <v>201</v>
      </c>
      <c r="K26" s="79">
        <f>0.7*(0.3627*(J4)^2*(1+3*((F5)/(J2))*((J4)/(J5))^1.5)*SQRT(2100*B10*(J5/J4)))</f>
        <v>51.440978026416133</v>
      </c>
      <c r="L26" s="79" t="s">
        <v>44</v>
      </c>
      <c r="M26" s="78" t="str">
        <f>IF(B15&lt;=K26,"Safe","Unsafe")</f>
        <v>Safe</v>
      </c>
    </row>
    <row r="27" spans="1:13" ht="20.399999999999999" x14ac:dyDescent="0.3">
      <c r="E27" s="79" t="s">
        <v>225</v>
      </c>
      <c r="F27" s="81"/>
      <c r="G27" s="79" t="s">
        <v>31</v>
      </c>
      <c r="J27" s="171" t="str">
        <f>IF(M26="Unsafe","Use doubler plate","")</f>
        <v/>
      </c>
      <c r="K27" s="171"/>
      <c r="L27" s="171"/>
      <c r="M27" s="171"/>
    </row>
    <row r="28" spans="1:13" ht="20.399999999999999" x14ac:dyDescent="0.3">
      <c r="E28" s="79" t="s">
        <v>197</v>
      </c>
      <c r="F28" s="79">
        <f>0.85*6.25*(J5+F27)^2*B10</f>
        <v>86.19</v>
      </c>
      <c r="G28" s="79" t="s">
        <v>44</v>
      </c>
      <c r="H28" s="78" t="str">
        <f>IF(B14&lt;=F28,"Safe","Unsafe")</f>
        <v>Safe</v>
      </c>
      <c r="J28" s="79" t="s">
        <v>225</v>
      </c>
      <c r="K28" s="81"/>
      <c r="L28" s="79" t="s">
        <v>31</v>
      </c>
    </row>
    <row r="29" spans="1:13" ht="20.399999999999999" x14ac:dyDescent="0.3">
      <c r="J29" s="79" t="s">
        <v>201</v>
      </c>
      <c r="K29" s="79">
        <f>0.7*(0.3627*(J4+K28)^2*(1+3*((F5)/(J2))*((J4+K28)/(J5))^1.5)*SQRT(2100*B10*(J5/(J4+K28))))</f>
        <v>51.440978026416133</v>
      </c>
      <c r="L29" s="79" t="s">
        <v>44</v>
      </c>
      <c r="M29" s="78" t="str">
        <f>IF(B15&lt;=K29,"Safe","Unsafe")</f>
        <v>Safe</v>
      </c>
    </row>
    <row r="30" spans="1:13" x14ac:dyDescent="0.3">
      <c r="E30" s="110" t="s">
        <v>58</v>
      </c>
      <c r="F30" s="110"/>
      <c r="G30" s="110"/>
    </row>
    <row r="31" spans="1:13" ht="20.399999999999999" x14ac:dyDescent="0.3">
      <c r="E31" s="79" t="s">
        <v>201</v>
      </c>
      <c r="F31" s="79">
        <f>0.95*(F5+5*2*J5)*J4*B10</f>
        <v>91.291199999999989</v>
      </c>
      <c r="G31" s="79" t="s">
        <v>44</v>
      </c>
      <c r="H31" s="78" t="str">
        <f>IF(B15&lt;=F31,"Safe","Unsafe")</f>
        <v>Safe</v>
      </c>
      <c r="J31" s="110" t="s">
        <v>60</v>
      </c>
      <c r="K31" s="110"/>
      <c r="L31" s="110"/>
    </row>
    <row r="32" spans="1:13" ht="20.399999999999999" x14ac:dyDescent="0.3">
      <c r="E32" s="171" t="str">
        <f>IF(H31="Unsafe","Use doubler plate","")</f>
        <v/>
      </c>
      <c r="F32" s="171"/>
      <c r="G32" s="171"/>
      <c r="H32" s="171"/>
      <c r="J32" s="79" t="s">
        <v>210</v>
      </c>
      <c r="K32" s="81">
        <v>20</v>
      </c>
      <c r="L32" s="79" t="s">
        <v>44</v>
      </c>
    </row>
    <row r="33" spans="5:13" ht="20.399999999999999" x14ac:dyDescent="0.3">
      <c r="E33" s="79" t="s">
        <v>225</v>
      </c>
      <c r="F33" s="81"/>
      <c r="G33" s="79" t="s">
        <v>31</v>
      </c>
      <c r="J33" s="79" t="s">
        <v>171</v>
      </c>
      <c r="K33" s="79">
        <f>G10/B13</f>
        <v>6.5566037735849063</v>
      </c>
      <c r="L33" s="79" t="s">
        <v>44</v>
      </c>
    </row>
    <row r="34" spans="5:13" ht="20.399999999999999" x14ac:dyDescent="0.3">
      <c r="E34" s="79" t="s">
        <v>201</v>
      </c>
      <c r="F34" s="79">
        <f>0.95*(F5+5*2*J5)*(J4+F33)*B10</f>
        <v>91.291199999999989</v>
      </c>
      <c r="G34" s="79" t="s">
        <v>44</v>
      </c>
      <c r="H34" s="78" t="str">
        <f>IF(B15&lt;=F34,"Safe","Unsafe")</f>
        <v>Safe</v>
      </c>
      <c r="J34" s="79" t="s">
        <v>212</v>
      </c>
      <c r="K34" s="79">
        <f>IF(K32&lt;=(0.4*B10*J2*J4),0.85*J2*J4*0.6*B10,0.85*J2*J4*0.6*B10*(1.4-(K32/(B10*J2*J4))))</f>
        <v>77.111999999999981</v>
      </c>
      <c r="L34" s="79" t="s">
        <v>44</v>
      </c>
      <c r="M34" s="78" t="str">
        <f>IF(K33&lt;=K34,"Safe","Unsafe")</f>
        <v>Safe</v>
      </c>
    </row>
  </sheetData>
  <mergeCells count="15">
    <mergeCell ref="B9:C9"/>
    <mergeCell ref="E9:F9"/>
    <mergeCell ref="E19:H19"/>
    <mergeCell ref="E30:G30"/>
    <mergeCell ref="I1:K1"/>
    <mergeCell ref="E1:G1"/>
    <mergeCell ref="E16:H16"/>
    <mergeCell ref="E15:F15"/>
    <mergeCell ref="E26:H26"/>
    <mergeCell ref="E32:H32"/>
    <mergeCell ref="J27:M27"/>
    <mergeCell ref="J25:L25"/>
    <mergeCell ref="J31:L31"/>
    <mergeCell ref="E23:F23"/>
    <mergeCell ref="E24:F24"/>
  </mergeCells>
  <conditionalFormatting sqref="H17 H20">
    <cfRule type="cellIs" dxfId="10" priority="10" operator="equal">
      <formula>"unsafe"</formula>
    </cfRule>
    <cfRule type="cellIs" dxfId="9" priority="11" operator="equal">
      <formula>"safe"</formula>
    </cfRule>
  </conditionalFormatting>
  <conditionalFormatting sqref="M34 H25 H31 M26">
    <cfRule type="cellIs" dxfId="8" priority="9" operator="equal">
      <formula>"Safe"</formula>
    </cfRule>
  </conditionalFormatting>
  <conditionalFormatting sqref="M34 H25 H31 M26">
    <cfRule type="cellIs" dxfId="7" priority="8" operator="equal">
      <formula>"Unsafe"</formula>
    </cfRule>
  </conditionalFormatting>
  <conditionalFormatting sqref="H28">
    <cfRule type="cellIs" dxfId="6" priority="7" operator="equal">
      <formula>"Safe"</formula>
    </cfRule>
  </conditionalFormatting>
  <conditionalFormatting sqref="H28">
    <cfRule type="cellIs" dxfId="5" priority="6" operator="equal">
      <formula>"Unsafe"</formula>
    </cfRule>
  </conditionalFormatting>
  <conditionalFormatting sqref="H34 M29">
    <cfRule type="cellIs" dxfId="4" priority="4" operator="equal">
      <formula>"unsafe"</formula>
    </cfRule>
    <cfRule type="cellIs" dxfId="3" priority="5" operator="equal">
      <formula>"safe"</formula>
    </cfRule>
  </conditionalFormatting>
  <conditionalFormatting sqref="E26:H26">
    <cfRule type="cellIs" dxfId="2" priority="3" operator="equal">
      <formula>"Use doubler plate"</formula>
    </cfRule>
  </conditionalFormatting>
  <conditionalFormatting sqref="E32:H32">
    <cfRule type="cellIs" dxfId="1" priority="2" operator="equal">
      <formula>"Use doubler plate"</formula>
    </cfRule>
  </conditionalFormatting>
  <conditionalFormatting sqref="J27:M27">
    <cfRule type="cellIs" dxfId="0" priority="1" operator="equal">
      <formula>"Use doubler plate"</formula>
    </cfRule>
  </conditionalFormatting>
  <dataValidations disablePrompts="1" count="1">
    <dataValidation type="list" allowBlank="1" showInputMessage="1" showErrorMessage="1" sqref="B9:C9" xr:uid="{3324A25B-F75D-4251-94C2-F44943FA9F38}">
      <formula1>$A$1:$A$3</formula1>
    </dataValidation>
  </dataValidations>
  <printOptions horizontalCentered="1" verticalCentered="1"/>
  <pageMargins left="0" right="0" top="0" bottom="0" header="0" footer="0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Extended</vt:lpstr>
      <vt:lpstr>Extended B.U.S</vt:lpstr>
      <vt:lpstr>Flushed</vt:lpstr>
      <vt:lpstr>Flushed B.U.S</vt:lpstr>
      <vt:lpstr>Extended Full depth B.U.S</vt:lpstr>
      <vt:lpstr>Welded Rolled Sec.</vt:lpstr>
      <vt:lpstr>Welded B.U.S</vt:lpstr>
      <vt:lpstr>Extended!Print_Area</vt:lpstr>
      <vt:lpstr>'Extended B.U.S'!Print_Area</vt:lpstr>
      <vt:lpstr>'Welded B.U.S'!Print_Area</vt:lpstr>
      <vt:lpstr>'Welded Rolled Sec.'!Print_Area</vt:lpstr>
      <vt:lpstr>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Mohamed H.Bezawy</cp:lastModifiedBy>
  <cp:lastPrinted>2022-03-18T12:47:54Z</cp:lastPrinted>
  <dcterms:created xsi:type="dcterms:W3CDTF">2019-09-09T20:04:13Z</dcterms:created>
  <dcterms:modified xsi:type="dcterms:W3CDTF">2022-12-05T01:34:35Z</dcterms:modified>
</cp:coreProperties>
</file>