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1-Study\all about steel structure\Excel Sheets\my sheets\LRFD\"/>
    </mc:Choice>
  </mc:AlternateContent>
  <xr:revisionPtr revIDLastSave="0" documentId="13_ncr:1_{9F9EF751-B4C2-4616-B5D0-AB5EE148D248}" xr6:coauthVersionLast="47" xr6:coauthVersionMax="47" xr10:uidLastSave="{00000000-0000-0000-0000-000000000000}"/>
  <bookViews>
    <workbookView xWindow="-120" yWindow="-120" windowWidth="20730" windowHeight="11310" xr2:uid="{12809C50-993F-490D-83BF-F37DDE094CBE}"/>
  </bookViews>
  <sheets>
    <sheet name="Angles" sheetId="1" r:id="rId1"/>
    <sheet name="Pipes" sheetId="2" r:id="rId2"/>
  </sheets>
  <definedNames>
    <definedName name="omar">Angles!$R$3:$R$12</definedName>
    <definedName name="omar22">Angles!$R$1:$AF$20</definedName>
    <definedName name="_xlnm.Print_Area" localSheetId="0">Angles!$A$4:$P$25</definedName>
    <definedName name="_xlnm.Print_Area" localSheetId="1">Pipes!$A$4:$M$20</definedName>
    <definedName name="table">Angles!$R$1:$AF$12</definedName>
    <definedName name="table2">Pipes!$P$1:$X$71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2" l="1"/>
  <c r="K14" i="2"/>
  <c r="M14" i="2" s="1"/>
  <c r="K13" i="2"/>
  <c r="M10" i="2"/>
  <c r="K10" i="2"/>
  <c r="M7" i="2"/>
  <c r="K7" i="2"/>
  <c r="B16" i="1"/>
  <c r="D24" i="1"/>
  <c r="B19" i="1" l="1"/>
  <c r="B18" i="1"/>
  <c r="B21" i="1"/>
  <c r="B20" i="1"/>
  <c r="B17" i="1"/>
  <c r="B23" i="1" s="1"/>
  <c r="B15" i="1"/>
  <c r="N13" i="1" s="1"/>
  <c r="D16" i="1"/>
  <c r="N14" i="1" l="1"/>
  <c r="P14" i="1" s="1"/>
  <c r="B25" i="1"/>
  <c r="I12" i="1"/>
  <c r="K12" i="1" s="1"/>
  <c r="I13" i="1"/>
  <c r="K13" i="1" s="1"/>
  <c r="B20" i="2"/>
  <c r="F12" i="2" s="1"/>
  <c r="B19" i="2"/>
  <c r="B18" i="2"/>
  <c r="B17" i="2"/>
  <c r="B16" i="2"/>
  <c r="B15" i="2"/>
  <c r="B14" i="2"/>
  <c r="B6" i="2"/>
  <c r="B5" i="2"/>
  <c r="F15" i="2" l="1"/>
  <c r="F16" i="2" s="1"/>
  <c r="F17" i="2" s="1"/>
  <c r="H17" i="2" s="1"/>
  <c r="F6" i="2"/>
  <c r="G6" i="2" s="1"/>
  <c r="I6" i="1"/>
  <c r="K6" i="1" l="1"/>
  <c r="B6" i="1"/>
  <c r="N10" i="1" s="1"/>
  <c r="P10" i="1" s="1"/>
  <c r="B5" i="1"/>
  <c r="N7" i="1" s="1"/>
  <c r="P7" i="1" s="1"/>
  <c r="I21" i="1" l="1"/>
  <c r="K21" i="1" s="1"/>
  <c r="I16" i="1"/>
  <c r="I17" i="1" s="1"/>
  <c r="I18" i="1" l="1"/>
  <c r="K18" i="1" s="1"/>
</calcChain>
</file>

<file path=xl/sharedStrings.xml><?xml version="1.0" encoding="utf-8"?>
<sst xmlns="http://schemas.openxmlformats.org/spreadsheetml/2006/main" count="258" uniqueCount="188">
  <si>
    <t>Area</t>
  </si>
  <si>
    <t>ton</t>
  </si>
  <si>
    <t>cm</t>
  </si>
  <si>
    <t>45x5</t>
  </si>
  <si>
    <t>50x5</t>
  </si>
  <si>
    <t>55x5</t>
  </si>
  <si>
    <t>60x6</t>
  </si>
  <si>
    <t>65x7</t>
  </si>
  <si>
    <t>70x7</t>
  </si>
  <si>
    <t>75x7</t>
  </si>
  <si>
    <t>80x8</t>
  </si>
  <si>
    <t>90x9</t>
  </si>
  <si>
    <t>100x10</t>
  </si>
  <si>
    <t xml:space="preserve">Angle </t>
  </si>
  <si>
    <t>Bolted</t>
  </si>
  <si>
    <t>Welded</t>
  </si>
  <si>
    <t>Single Angle</t>
  </si>
  <si>
    <t>Double Angle</t>
  </si>
  <si>
    <t>Star Shape</t>
  </si>
  <si>
    <t>a</t>
  </si>
  <si>
    <t>mm</t>
  </si>
  <si>
    <t>Checks :</t>
  </si>
  <si>
    <t>i- Min. Angle</t>
  </si>
  <si>
    <t>ii- Buckling</t>
  </si>
  <si>
    <t>iii- Capacity</t>
  </si>
  <si>
    <t>iv- Tie Plate</t>
  </si>
  <si>
    <t>unitless</t>
  </si>
  <si>
    <t>Section</t>
  </si>
  <si>
    <t>38x3</t>
  </si>
  <si>
    <t>38x4</t>
  </si>
  <si>
    <t>44.5x3</t>
  </si>
  <si>
    <t>i- Compactness</t>
  </si>
  <si>
    <t>44.5x4</t>
  </si>
  <si>
    <t>D/t =</t>
  </si>
  <si>
    <t>44.5x5</t>
  </si>
  <si>
    <t>Ton</t>
  </si>
  <si>
    <t>60x3</t>
  </si>
  <si>
    <t>60x4</t>
  </si>
  <si>
    <t>60x5</t>
  </si>
  <si>
    <t>70x3</t>
  </si>
  <si>
    <t>70x4</t>
  </si>
  <si>
    <t>159x5</t>
  </si>
  <si>
    <t>70x5</t>
  </si>
  <si>
    <t>70x6</t>
  </si>
  <si>
    <t>Weight</t>
  </si>
  <si>
    <t>Kg/m'</t>
  </si>
  <si>
    <t>76x3</t>
  </si>
  <si>
    <t>D</t>
  </si>
  <si>
    <t>76x4</t>
  </si>
  <si>
    <t>t</t>
  </si>
  <si>
    <t>76x5</t>
  </si>
  <si>
    <t>76x6</t>
  </si>
  <si>
    <t>89x4</t>
  </si>
  <si>
    <t>89x5</t>
  </si>
  <si>
    <t>89x6</t>
  </si>
  <si>
    <t>89x7</t>
  </si>
  <si>
    <t>108x5</t>
  </si>
  <si>
    <t>108x6</t>
  </si>
  <si>
    <t>108x7</t>
  </si>
  <si>
    <t>108x8</t>
  </si>
  <si>
    <t>133x5</t>
  </si>
  <si>
    <t>133x6</t>
  </si>
  <si>
    <t>133x7</t>
  </si>
  <si>
    <t>133x8</t>
  </si>
  <si>
    <t>159x6</t>
  </si>
  <si>
    <t>159x7</t>
  </si>
  <si>
    <t>159x8</t>
  </si>
  <si>
    <t>159x10</t>
  </si>
  <si>
    <t>194x6</t>
  </si>
  <si>
    <t>194x7</t>
  </si>
  <si>
    <t>194x8</t>
  </si>
  <si>
    <t>194x10</t>
  </si>
  <si>
    <t>219x6</t>
  </si>
  <si>
    <t>219x7</t>
  </si>
  <si>
    <t>219x8</t>
  </si>
  <si>
    <t>219x10</t>
  </si>
  <si>
    <t>219x12</t>
  </si>
  <si>
    <t>245x7</t>
  </si>
  <si>
    <t>245x8</t>
  </si>
  <si>
    <t>245x10</t>
  </si>
  <si>
    <t>245x12</t>
  </si>
  <si>
    <t>245x14</t>
  </si>
  <si>
    <t>273x7</t>
  </si>
  <si>
    <t>273x8</t>
  </si>
  <si>
    <t>273x10</t>
  </si>
  <si>
    <t>273x12</t>
  </si>
  <si>
    <t>273x14</t>
  </si>
  <si>
    <t>325x8</t>
  </si>
  <si>
    <t>325x10</t>
  </si>
  <si>
    <t>325x12</t>
  </si>
  <si>
    <t>325x14</t>
  </si>
  <si>
    <t>325x16</t>
  </si>
  <si>
    <t>368x8</t>
  </si>
  <si>
    <t>368x10</t>
  </si>
  <si>
    <t>368x12</t>
  </si>
  <si>
    <t>368x14</t>
  </si>
  <si>
    <t>368x16</t>
  </si>
  <si>
    <t>368x20</t>
  </si>
  <si>
    <t>419x10</t>
  </si>
  <si>
    <t>419x12</t>
  </si>
  <si>
    <t>419x16</t>
  </si>
  <si>
    <t>419x20</t>
  </si>
  <si>
    <t>529x9</t>
  </si>
  <si>
    <t>529x10</t>
  </si>
  <si>
    <t>Pipe</t>
  </si>
  <si>
    <t>x-x</t>
  </si>
  <si>
    <t>No.</t>
  </si>
  <si>
    <t>(mm)</t>
  </si>
  <si>
    <t>(kg/m`)</t>
  </si>
  <si>
    <t>L =</t>
  </si>
  <si>
    <t>Pult =</t>
  </si>
  <si>
    <t>Area =</t>
  </si>
  <si>
    <t>Weight =</t>
  </si>
  <si>
    <t>D =</t>
  </si>
  <si>
    <t>t =</t>
  </si>
  <si>
    <t>λ =</t>
  </si>
  <si>
    <t>λc =</t>
  </si>
  <si>
    <t>Angle (mm)</t>
  </si>
  <si>
    <t>Distances (cm)</t>
  </si>
  <si>
    <t>x-x &amp; y-y</t>
  </si>
  <si>
    <t>u-u</t>
  </si>
  <si>
    <t>v-v</t>
  </si>
  <si>
    <t>s</t>
  </si>
  <si>
    <t>e</t>
  </si>
  <si>
    <t>w</t>
  </si>
  <si>
    <t>cm²</t>
  </si>
  <si>
    <t>a =</t>
  </si>
  <si>
    <t>110x10</t>
  </si>
  <si>
    <t>120x12</t>
  </si>
  <si>
    <t>130x12</t>
  </si>
  <si>
    <t>140x13</t>
  </si>
  <si>
    <t>150x14</t>
  </si>
  <si>
    <t>160x15</t>
  </si>
  <si>
    <t>180x16</t>
  </si>
  <si>
    <t>200x16</t>
  </si>
  <si>
    <r>
      <t>(cm</t>
    </r>
    <r>
      <rPr>
        <b/>
        <vertAlign val="superscript"/>
        <sz val="14"/>
        <rFont val="Calibri"/>
        <family val="2"/>
      </rPr>
      <t>2</t>
    </r>
    <r>
      <rPr>
        <b/>
        <sz val="14"/>
        <rFont val="Calibri"/>
        <family val="2"/>
      </rPr>
      <t>)</t>
    </r>
  </si>
  <si>
    <r>
      <t>u</t>
    </r>
    <r>
      <rPr>
        <b/>
        <vertAlign val="subscript"/>
        <sz val="14"/>
        <rFont val="Calibri"/>
        <family val="2"/>
      </rPr>
      <t>1</t>
    </r>
  </si>
  <si>
    <r>
      <t>u</t>
    </r>
    <r>
      <rPr>
        <b/>
        <vertAlign val="subscript"/>
        <sz val="14"/>
        <rFont val="Calibri"/>
        <family val="2"/>
      </rPr>
      <t>2</t>
    </r>
  </si>
  <si>
    <r>
      <t>I</t>
    </r>
    <r>
      <rPr>
        <b/>
        <vertAlign val="subscript"/>
        <sz val="14"/>
        <rFont val="Calibri"/>
        <family val="2"/>
      </rPr>
      <t>x</t>
    </r>
    <r>
      <rPr>
        <b/>
        <sz val="14"/>
        <rFont val="Calibri"/>
        <family val="2"/>
      </rPr>
      <t>(cm</t>
    </r>
    <r>
      <rPr>
        <b/>
        <vertAlign val="superscript"/>
        <sz val="14"/>
        <rFont val="Calibri"/>
        <family val="2"/>
      </rPr>
      <t>4</t>
    </r>
    <r>
      <rPr>
        <b/>
        <sz val="14"/>
        <rFont val="Calibri"/>
        <family val="2"/>
      </rPr>
      <t>)</t>
    </r>
  </si>
  <si>
    <r>
      <t>S</t>
    </r>
    <r>
      <rPr>
        <b/>
        <vertAlign val="subscript"/>
        <sz val="14"/>
        <rFont val="Calibri"/>
        <family val="2"/>
      </rPr>
      <t>x</t>
    </r>
    <r>
      <rPr>
        <b/>
        <sz val="14"/>
        <rFont val="Calibri"/>
        <family val="2"/>
      </rPr>
      <t>(cm</t>
    </r>
    <r>
      <rPr>
        <b/>
        <vertAlign val="superscript"/>
        <sz val="14"/>
        <rFont val="Calibri"/>
        <family val="2"/>
      </rPr>
      <t>3</t>
    </r>
    <r>
      <rPr>
        <b/>
        <sz val="14"/>
        <rFont val="Calibri"/>
        <family val="2"/>
      </rPr>
      <t>)</t>
    </r>
  </si>
  <si>
    <r>
      <t>r</t>
    </r>
    <r>
      <rPr>
        <b/>
        <vertAlign val="subscript"/>
        <sz val="14"/>
        <rFont val="Calibri"/>
        <family val="2"/>
      </rPr>
      <t>x</t>
    </r>
    <r>
      <rPr>
        <b/>
        <sz val="14"/>
        <rFont val="Calibri"/>
        <family val="2"/>
      </rPr>
      <t>(cm)</t>
    </r>
  </si>
  <si>
    <r>
      <t>r</t>
    </r>
    <r>
      <rPr>
        <b/>
        <vertAlign val="subscript"/>
        <sz val="14"/>
        <rFont val="Calibri"/>
        <family val="2"/>
      </rPr>
      <t>u</t>
    </r>
    <r>
      <rPr>
        <b/>
        <sz val="14"/>
        <rFont val="Calibri"/>
        <family val="2"/>
      </rPr>
      <t>(cm)</t>
    </r>
  </si>
  <si>
    <r>
      <t>r</t>
    </r>
    <r>
      <rPr>
        <b/>
        <vertAlign val="subscript"/>
        <sz val="14"/>
        <rFont val="Calibri"/>
        <family val="2"/>
      </rPr>
      <t>v</t>
    </r>
    <r>
      <rPr>
        <b/>
        <sz val="14"/>
        <rFont val="Calibri"/>
        <family val="2"/>
      </rPr>
      <t>(cm)</t>
    </r>
  </si>
  <si>
    <r>
      <t>F</t>
    </r>
    <r>
      <rPr>
        <b/>
        <vertAlign val="subscript"/>
        <sz val="14"/>
        <color theme="1"/>
        <rFont val="Calibri"/>
        <family val="2"/>
      </rPr>
      <t>y</t>
    </r>
  </si>
  <si>
    <r>
      <t>t/cm</t>
    </r>
    <r>
      <rPr>
        <b/>
        <vertAlign val="superscript"/>
        <sz val="14"/>
        <color theme="1"/>
        <rFont val="Calibri"/>
        <family val="2"/>
      </rPr>
      <t>2</t>
    </r>
  </si>
  <si>
    <r>
      <t>F</t>
    </r>
    <r>
      <rPr>
        <b/>
        <vertAlign val="subscript"/>
        <sz val="14"/>
        <color theme="1"/>
        <rFont val="Calibri"/>
        <family val="2"/>
      </rPr>
      <t>u</t>
    </r>
  </si>
  <si>
    <r>
      <t>t</t>
    </r>
    <r>
      <rPr>
        <b/>
        <vertAlign val="subscript"/>
        <sz val="14"/>
        <color theme="1"/>
        <rFont val="Calibri"/>
        <family val="2"/>
      </rPr>
      <t>G.PL</t>
    </r>
    <r>
      <rPr>
        <b/>
        <sz val="14"/>
        <color theme="1"/>
        <rFont val="Calibri"/>
        <family val="2"/>
      </rPr>
      <t xml:space="preserve"> =</t>
    </r>
  </si>
  <si>
    <r>
      <t>L</t>
    </r>
    <r>
      <rPr>
        <b/>
        <vertAlign val="subscript"/>
        <sz val="14"/>
        <rFont val="Calibri"/>
        <family val="2"/>
      </rPr>
      <t>in</t>
    </r>
    <r>
      <rPr>
        <b/>
        <sz val="14"/>
        <rFont val="Calibri"/>
        <family val="2"/>
      </rPr>
      <t xml:space="preserve"> =</t>
    </r>
  </si>
  <si>
    <r>
      <t>L</t>
    </r>
    <r>
      <rPr>
        <b/>
        <vertAlign val="subscript"/>
        <sz val="14"/>
        <rFont val="Calibri"/>
        <family val="2"/>
      </rPr>
      <t>out</t>
    </r>
    <r>
      <rPr>
        <b/>
        <sz val="14"/>
        <rFont val="Calibri"/>
        <family val="2"/>
      </rPr>
      <t xml:space="preserve"> =</t>
    </r>
  </si>
  <si>
    <r>
      <t>λ</t>
    </r>
    <r>
      <rPr>
        <b/>
        <vertAlign val="subscript"/>
        <sz val="14"/>
        <rFont val="Calibri"/>
        <family val="2"/>
      </rPr>
      <t>in</t>
    </r>
    <r>
      <rPr>
        <b/>
        <sz val="14"/>
        <rFont val="Calibri"/>
        <family val="2"/>
      </rPr>
      <t xml:space="preserve"> =</t>
    </r>
  </si>
  <si>
    <r>
      <t>λ</t>
    </r>
    <r>
      <rPr>
        <b/>
        <vertAlign val="subscript"/>
        <sz val="14"/>
        <rFont val="Calibri"/>
        <family val="2"/>
      </rPr>
      <t>out</t>
    </r>
    <r>
      <rPr>
        <b/>
        <sz val="14"/>
        <rFont val="Calibri"/>
        <family val="2"/>
      </rPr>
      <t xml:space="preserve"> =</t>
    </r>
  </si>
  <si>
    <r>
      <t>r</t>
    </r>
    <r>
      <rPr>
        <b/>
        <vertAlign val="subscript"/>
        <sz val="14"/>
        <rFont val="Calibri"/>
        <family val="2"/>
      </rPr>
      <t>x</t>
    </r>
    <r>
      <rPr>
        <b/>
        <sz val="14"/>
        <rFont val="Calibri"/>
        <family val="2"/>
      </rPr>
      <t xml:space="preserve"> =</t>
    </r>
  </si>
  <si>
    <r>
      <t>r</t>
    </r>
    <r>
      <rPr>
        <b/>
        <vertAlign val="subscript"/>
        <sz val="14"/>
        <rFont val="Calibri"/>
        <family val="2"/>
      </rPr>
      <t>y</t>
    </r>
    <r>
      <rPr>
        <b/>
        <sz val="14"/>
        <rFont val="Calibri"/>
        <family val="2"/>
      </rPr>
      <t xml:space="preserve"> =</t>
    </r>
  </si>
  <si>
    <r>
      <t>λ</t>
    </r>
    <r>
      <rPr>
        <b/>
        <vertAlign val="subscript"/>
        <sz val="14"/>
        <rFont val="Calibri"/>
        <family val="2"/>
      </rPr>
      <t>C</t>
    </r>
    <r>
      <rPr>
        <b/>
        <sz val="14"/>
        <rFont val="Calibri"/>
        <family val="2"/>
      </rPr>
      <t xml:space="preserve"> =</t>
    </r>
  </si>
  <si>
    <r>
      <t>r</t>
    </r>
    <r>
      <rPr>
        <b/>
        <vertAlign val="subscript"/>
        <sz val="14"/>
        <rFont val="Calibri"/>
        <family val="2"/>
      </rPr>
      <t>v</t>
    </r>
    <r>
      <rPr>
        <b/>
        <sz val="14"/>
        <rFont val="Calibri"/>
        <family val="2"/>
      </rPr>
      <t xml:space="preserve"> =</t>
    </r>
  </si>
  <si>
    <r>
      <t>F</t>
    </r>
    <r>
      <rPr>
        <b/>
        <vertAlign val="subscript"/>
        <sz val="14"/>
        <color theme="1"/>
        <rFont val="Calibri"/>
        <family val="2"/>
      </rPr>
      <t>cr</t>
    </r>
    <r>
      <rPr>
        <b/>
        <sz val="14"/>
        <color theme="1"/>
        <rFont val="Calibri"/>
        <family val="2"/>
      </rPr>
      <t xml:space="preserve"> =</t>
    </r>
  </si>
  <si>
    <r>
      <t>r</t>
    </r>
    <r>
      <rPr>
        <b/>
        <vertAlign val="subscript"/>
        <sz val="14"/>
        <rFont val="Calibri"/>
        <family val="2"/>
      </rPr>
      <t>u</t>
    </r>
    <r>
      <rPr>
        <b/>
        <sz val="14"/>
        <rFont val="Calibri"/>
        <family val="2"/>
      </rPr>
      <t xml:space="preserve"> =</t>
    </r>
  </si>
  <si>
    <r>
      <t>P</t>
    </r>
    <r>
      <rPr>
        <b/>
        <vertAlign val="subscript"/>
        <sz val="14"/>
        <color theme="1"/>
        <rFont val="Calibri"/>
        <family val="2"/>
      </rPr>
      <t>r</t>
    </r>
    <r>
      <rPr>
        <b/>
        <sz val="14"/>
        <color theme="1"/>
        <rFont val="Calibri"/>
        <family val="2"/>
      </rPr>
      <t xml:space="preserve"> =</t>
    </r>
  </si>
  <si>
    <r>
      <t>L</t>
    </r>
    <r>
      <rPr>
        <b/>
        <vertAlign val="superscript"/>
        <sz val="14"/>
        <color theme="1"/>
        <rFont val="Calibri"/>
        <family val="2"/>
      </rPr>
      <t>\</t>
    </r>
    <r>
      <rPr>
        <b/>
        <sz val="14"/>
        <color theme="1"/>
        <rFont val="Calibri"/>
        <family val="2"/>
      </rPr>
      <t xml:space="preserve"> =</t>
    </r>
  </si>
  <si>
    <t>st</t>
  </si>
  <si>
    <t>L</t>
  </si>
  <si>
    <r>
      <t>A</t>
    </r>
    <r>
      <rPr>
        <b/>
        <vertAlign val="subscript"/>
        <sz val="14"/>
        <color theme="1"/>
        <rFont val="Calibri"/>
        <family val="2"/>
      </rPr>
      <t>net</t>
    </r>
    <r>
      <rPr>
        <b/>
        <sz val="14"/>
        <color theme="1"/>
        <rFont val="Calibri"/>
        <family val="2"/>
      </rPr>
      <t xml:space="preserve"> =</t>
    </r>
  </si>
  <si>
    <r>
      <t>cm</t>
    </r>
    <r>
      <rPr>
        <b/>
        <vertAlign val="superscript"/>
        <sz val="14"/>
        <color theme="1"/>
        <rFont val="Calibri"/>
        <family val="2"/>
      </rPr>
      <t>2</t>
    </r>
  </si>
  <si>
    <t>U =</t>
  </si>
  <si>
    <r>
      <t>A</t>
    </r>
    <r>
      <rPr>
        <b/>
        <vertAlign val="subscript"/>
        <sz val="14"/>
        <color theme="1"/>
        <rFont val="Calibri"/>
        <family val="2"/>
      </rPr>
      <t>neff</t>
    </r>
    <r>
      <rPr>
        <b/>
        <sz val="14"/>
        <color theme="1"/>
        <rFont val="Calibri"/>
        <family val="2"/>
      </rPr>
      <t xml:space="preserve"> =</t>
    </r>
  </si>
  <si>
    <t>d =</t>
  </si>
  <si>
    <t>L/d =</t>
  </si>
  <si>
    <t>a min  =</t>
  </si>
  <si>
    <t>Yielding</t>
  </si>
  <si>
    <t>Fracture</t>
  </si>
  <si>
    <t>Deflection</t>
  </si>
  <si>
    <t>As a compression member</t>
  </si>
  <si>
    <t>As a Tension member</t>
  </si>
  <si>
    <r>
      <t>Tr</t>
    </r>
    <r>
      <rPr>
        <b/>
        <vertAlign val="subscript"/>
        <sz val="14"/>
        <color theme="1"/>
        <rFont val="Calibri"/>
        <family val="2"/>
      </rPr>
      <t>1</t>
    </r>
    <r>
      <rPr>
        <b/>
        <sz val="14"/>
        <color theme="1"/>
        <rFont val="Calibri"/>
        <family val="2"/>
      </rPr>
      <t xml:space="preserve"> =</t>
    </r>
  </si>
  <si>
    <r>
      <t>Tr</t>
    </r>
    <r>
      <rPr>
        <b/>
        <vertAlign val="subscript"/>
        <sz val="14"/>
        <color theme="1"/>
        <rFont val="Calibri"/>
        <family val="2"/>
      </rPr>
      <t>2</t>
    </r>
    <r>
      <rPr>
        <b/>
        <sz val="14"/>
        <color theme="1"/>
        <rFont val="Calibri"/>
        <family val="2"/>
      </rPr>
      <t xml:space="preserve"> =</t>
    </r>
  </si>
  <si>
    <t>Data</t>
  </si>
  <si>
    <t>Force =</t>
  </si>
  <si>
    <r>
      <t>F</t>
    </r>
    <r>
      <rPr>
        <b/>
        <vertAlign val="subscript"/>
        <sz val="14"/>
        <color theme="1"/>
        <rFont val="Calibri"/>
        <family val="2"/>
      </rPr>
      <t>y</t>
    </r>
    <r>
      <rPr>
        <b/>
        <sz val="14"/>
        <color theme="1"/>
        <rFont val="Calibri"/>
        <family val="2"/>
      </rPr>
      <t xml:space="preserve"> =</t>
    </r>
  </si>
  <si>
    <r>
      <t>F</t>
    </r>
    <r>
      <rPr>
        <b/>
        <vertAlign val="subscript"/>
        <sz val="14"/>
        <color theme="1"/>
        <rFont val="Calibri"/>
        <family val="2"/>
      </rPr>
      <t>u</t>
    </r>
    <r>
      <rPr>
        <b/>
        <sz val="14"/>
        <color theme="1"/>
        <rFont val="Calibri"/>
        <family val="2"/>
      </rPr>
      <t xml:space="preserve"> =</t>
    </r>
  </si>
  <si>
    <r>
      <t>L</t>
    </r>
    <r>
      <rPr>
        <b/>
        <vertAlign val="subscript"/>
        <sz val="14"/>
        <color theme="1"/>
        <rFont val="Calibri"/>
        <family val="2"/>
      </rPr>
      <t>in</t>
    </r>
    <r>
      <rPr>
        <b/>
        <sz val="14"/>
        <color theme="1"/>
        <rFont val="Calibri"/>
        <family val="2"/>
      </rPr>
      <t xml:space="preserve"> =</t>
    </r>
  </si>
  <si>
    <r>
      <t>L</t>
    </r>
    <r>
      <rPr>
        <b/>
        <vertAlign val="subscript"/>
        <sz val="14"/>
        <color theme="1"/>
        <rFont val="Calibri"/>
        <family val="2"/>
      </rPr>
      <t>out</t>
    </r>
    <r>
      <rPr>
        <b/>
        <sz val="14"/>
        <color theme="1"/>
        <rFont val="Calibri"/>
        <family val="2"/>
      </rPr>
      <t xml:space="preserve"> =</t>
    </r>
  </si>
  <si>
    <r>
      <t>I</t>
    </r>
    <r>
      <rPr>
        <b/>
        <vertAlign val="subscript"/>
        <sz val="14"/>
        <color theme="1"/>
        <rFont val="Calibri"/>
        <family val="2"/>
      </rPr>
      <t>x</t>
    </r>
    <r>
      <rPr>
        <b/>
        <sz val="14"/>
        <color theme="1"/>
        <rFont val="Calibri"/>
        <family val="2"/>
      </rPr>
      <t xml:space="preserve"> =</t>
    </r>
  </si>
  <si>
    <r>
      <t>cm</t>
    </r>
    <r>
      <rPr>
        <b/>
        <vertAlign val="superscript"/>
        <sz val="14"/>
        <color theme="1"/>
        <rFont val="Calibri"/>
        <family val="2"/>
      </rPr>
      <t>4</t>
    </r>
  </si>
  <si>
    <r>
      <t>S</t>
    </r>
    <r>
      <rPr>
        <b/>
        <vertAlign val="subscript"/>
        <sz val="14"/>
        <color theme="1"/>
        <rFont val="Calibri"/>
        <family val="2"/>
      </rPr>
      <t>x</t>
    </r>
    <r>
      <rPr>
        <b/>
        <sz val="14"/>
        <color theme="1"/>
        <rFont val="Calibri"/>
        <family val="2"/>
      </rPr>
      <t xml:space="preserve"> =</t>
    </r>
  </si>
  <si>
    <r>
      <t>cm</t>
    </r>
    <r>
      <rPr>
        <b/>
        <vertAlign val="superscript"/>
        <sz val="14"/>
        <color theme="1"/>
        <rFont val="Calibri"/>
        <family val="2"/>
      </rPr>
      <t>3</t>
    </r>
  </si>
  <si>
    <r>
      <t>r</t>
    </r>
    <r>
      <rPr>
        <b/>
        <vertAlign val="subscript"/>
        <sz val="14"/>
        <color theme="1"/>
        <rFont val="Calibri"/>
        <family val="2"/>
      </rPr>
      <t>x</t>
    </r>
    <r>
      <rPr>
        <b/>
        <sz val="14"/>
        <color theme="1"/>
        <rFont val="Calibri"/>
        <family val="2"/>
      </rPr>
      <t xml:space="preserve"> =</t>
    </r>
  </si>
  <si>
    <t>Choice of section</t>
  </si>
  <si>
    <t>As a tension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</si>
</sst>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Arial"/>
      <family val="2"/>
      <charset val="178"/>
      <scheme val="minor"/>
    </font>
    <font>
      <sz val="8"/>
      <name val="Arial"/>
      <family val="2"/>
      <charset val="178"/>
      <scheme val="minor"/>
    </font>
    <font>
      <b/>
      <sz val="14"/>
      <color theme="0"/>
      <name val="Calibri"/>
      <family val="2"/>
    </font>
    <font>
      <b/>
      <sz val="14"/>
      <color theme="1"/>
      <name val="Calibri"/>
      <family val="2"/>
    </font>
    <font>
      <b/>
      <sz val="14"/>
      <name val="Calibri"/>
      <family val="2"/>
    </font>
    <font>
      <b/>
      <sz val="14"/>
      <color indexed="0"/>
      <name val="Calibri"/>
      <family val="2"/>
    </font>
    <font>
      <b/>
      <vertAlign val="superscript"/>
      <sz val="14"/>
      <name val="Calibri"/>
      <family val="2"/>
    </font>
    <font>
      <b/>
      <vertAlign val="subscript"/>
      <sz val="14"/>
      <name val="Calibri"/>
      <family val="2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u val="double"/>
      <sz val="14"/>
      <color theme="1"/>
      <name val="Calibri"/>
      <family val="2"/>
    </font>
    <font>
      <b/>
      <vertAlign val="subscript"/>
      <sz val="14"/>
      <color theme="1"/>
      <name val="Calibri"/>
      <family val="2"/>
    </font>
    <font>
      <b/>
      <vertAlign val="superscript"/>
      <sz val="14"/>
      <color theme="1"/>
      <name val="Calibri"/>
      <family val="2"/>
    </font>
    <font>
      <b/>
      <u/>
      <sz val="14"/>
      <color theme="1"/>
      <name val="Calibri"/>
      <family val="2"/>
    </font>
    <font>
      <b/>
      <sz val="22"/>
      <color theme="1"/>
      <name val="Calibri"/>
      <family val="2"/>
    </font>
    <font>
      <b/>
      <u val="double"/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 wrapText="1"/>
    </xf>
    <xf numFmtId="1" fontId="8" fillId="2" borderId="1" xfId="0" applyNumberFormat="1" applyFont="1" applyFill="1" applyBorder="1" applyAlignment="1">
      <alignment horizontal="center" vertical="center" shrinkToFit="1"/>
    </xf>
    <xf numFmtId="164" fontId="8" fillId="2" borderId="1" xfId="0" applyNumberFormat="1" applyFont="1" applyFill="1" applyBorder="1" applyAlignment="1">
      <alignment horizontal="center" vertical="center" shrinkToFit="1"/>
    </xf>
    <xf numFmtId="2" fontId="8" fillId="2" borderId="1" xfId="0" applyNumberFormat="1" applyFont="1" applyFill="1" applyBorder="1" applyAlignment="1">
      <alignment horizontal="center" vertical="center" shrinkToFit="1"/>
    </xf>
    <xf numFmtId="0" fontId="3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 shrinkToFit="1"/>
    </xf>
    <xf numFmtId="164" fontId="8" fillId="0" borderId="1" xfId="0" applyNumberFormat="1" applyFont="1" applyBorder="1" applyAlignment="1">
      <alignment horizontal="center" vertical="center" shrinkToFit="1"/>
    </xf>
    <xf numFmtId="2" fontId="8" fillId="0" borderId="1" xfId="0" applyNumberFormat="1" applyFont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3" fillId="2" borderId="0" xfId="0" applyFont="1" applyFill="1" applyBorder="1" applyAlignment="1">
      <alignment vertical="center"/>
    </xf>
    <xf numFmtId="0" fontId="4" fillId="2" borderId="0" xfId="0" applyFont="1" applyFill="1" applyBorder="1" applyAlignment="1" applyProtection="1">
      <alignment horizontal="center" vertical="center"/>
      <protection hidden="1"/>
    </xf>
    <xf numFmtId="0" fontId="3" fillId="2" borderId="0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1" fontId="8" fillId="2" borderId="0" xfId="0" applyNumberFormat="1" applyFont="1" applyFill="1" applyBorder="1" applyAlignment="1">
      <alignment horizontal="center" vertical="center" shrinkToFit="1"/>
    </xf>
    <xf numFmtId="164" fontId="8" fillId="2" borderId="0" xfId="0" applyNumberFormat="1" applyFont="1" applyFill="1" applyBorder="1" applyAlignment="1">
      <alignment horizontal="center" vertical="center" shrinkToFit="1"/>
    </xf>
    <xf numFmtId="2" fontId="8" fillId="2" borderId="0" xfId="0" applyNumberFormat="1" applyFont="1" applyFill="1" applyBorder="1" applyAlignment="1">
      <alignment horizontal="center" vertical="center" shrinkToFit="1"/>
    </xf>
    <xf numFmtId="0" fontId="15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1" fontId="8" fillId="2" borderId="0" xfId="0" applyNumberFormat="1" applyFont="1" applyFill="1" applyBorder="1" applyAlignment="1">
      <alignment horizontal="center" vertical="center" shrinkToFit="1"/>
    </xf>
    <xf numFmtId="164" fontId="8" fillId="2" borderId="0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20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91BA8-63EC-41F6-A47A-6042D372620F}">
  <sheetPr codeName="Sheet1"/>
  <dimension ref="A1:AF26"/>
  <sheetViews>
    <sheetView tabSelected="1" view="pageBreakPreview" zoomScale="60" zoomScaleNormal="70" workbookViewId="0">
      <selection activeCell="G24" sqref="G24"/>
    </sheetView>
  </sheetViews>
  <sheetFormatPr defaultRowHeight="18.75" x14ac:dyDescent="0.2"/>
  <cols>
    <col min="1" max="1" width="8.75" style="2" customWidth="1"/>
    <col min="2" max="2" width="7" style="2" customWidth="1"/>
    <col min="3" max="3" width="7.5" style="2" customWidth="1"/>
    <col min="4" max="4" width="16.375" style="2" bestFit="1" customWidth="1"/>
    <col min="5" max="5" width="7.25" style="2" customWidth="1"/>
    <col min="6" max="6" width="9" style="2"/>
    <col min="7" max="7" width="6.375" style="2" customWidth="1"/>
    <col min="8" max="8" width="10.75" style="2" customWidth="1"/>
    <col min="9" max="9" width="8.25" style="2" customWidth="1"/>
    <col min="10" max="10" width="9.25" style="2" customWidth="1"/>
    <col min="11" max="11" width="8.125" style="2" customWidth="1"/>
    <col min="12" max="14" width="10.75" style="2" customWidth="1"/>
    <col min="15" max="16" width="10.625" style="2" customWidth="1"/>
    <col min="17" max="17" width="9" style="2" customWidth="1"/>
    <col min="18" max="18" width="11.125" style="2" customWidth="1"/>
    <col min="19" max="19" width="16.625" style="2" customWidth="1"/>
    <col min="20" max="23" width="9" style="2"/>
    <col min="24" max="24" width="10.625" style="2" customWidth="1"/>
    <col min="25" max="25" width="12.125" style="2" customWidth="1"/>
    <col min="26" max="26" width="13.375" style="2" customWidth="1"/>
    <col min="27" max="16384" width="9" style="2"/>
  </cols>
  <sheetData>
    <row r="1" spans="1:32" ht="26.25" customHeight="1" x14ac:dyDescent="0.2">
      <c r="A1" s="1">
        <v>37</v>
      </c>
      <c r="B1" s="1" t="s">
        <v>15</v>
      </c>
      <c r="C1" s="1" t="s">
        <v>16</v>
      </c>
      <c r="R1" s="3" t="s">
        <v>13</v>
      </c>
      <c r="S1" s="36" t="s">
        <v>117</v>
      </c>
      <c r="T1" s="36"/>
      <c r="U1" s="36"/>
      <c r="V1" s="4" t="s">
        <v>0</v>
      </c>
      <c r="W1" s="4" t="s">
        <v>44</v>
      </c>
      <c r="X1" s="36" t="s">
        <v>118</v>
      </c>
      <c r="Y1" s="36"/>
      <c r="Z1" s="36"/>
      <c r="AA1" s="36"/>
      <c r="AB1" s="36" t="s">
        <v>119</v>
      </c>
      <c r="AC1" s="36"/>
      <c r="AD1" s="36"/>
      <c r="AE1" s="4" t="s">
        <v>120</v>
      </c>
      <c r="AF1" s="4" t="s">
        <v>121</v>
      </c>
    </row>
    <row r="2" spans="1:32" ht="21" customHeight="1" x14ac:dyDescent="0.2">
      <c r="A2" s="1">
        <v>44</v>
      </c>
      <c r="B2" s="1" t="s">
        <v>14</v>
      </c>
      <c r="C2" s="1" t="s">
        <v>17</v>
      </c>
      <c r="R2" s="5"/>
      <c r="S2" s="39" t="s">
        <v>19</v>
      </c>
      <c r="T2" s="39"/>
      <c r="U2" s="6" t="s">
        <v>122</v>
      </c>
      <c r="V2" s="6" t="s">
        <v>135</v>
      </c>
      <c r="W2" s="6" t="s">
        <v>108</v>
      </c>
      <c r="X2" s="6" t="s">
        <v>123</v>
      </c>
      <c r="Y2" s="6" t="s">
        <v>124</v>
      </c>
      <c r="Z2" s="6" t="s">
        <v>136</v>
      </c>
      <c r="AA2" s="6" t="s">
        <v>137</v>
      </c>
      <c r="AB2" s="6" t="s">
        <v>138</v>
      </c>
      <c r="AC2" s="6" t="s">
        <v>139</v>
      </c>
      <c r="AD2" s="6" t="s">
        <v>140</v>
      </c>
      <c r="AE2" s="6" t="s">
        <v>141</v>
      </c>
      <c r="AF2" s="6" t="s">
        <v>142</v>
      </c>
    </row>
    <row r="3" spans="1:32" ht="21" customHeight="1" x14ac:dyDescent="0.2">
      <c r="A3" s="1">
        <v>52</v>
      </c>
      <c r="B3" s="1"/>
      <c r="C3" s="1" t="s">
        <v>18</v>
      </c>
      <c r="R3" s="5" t="s">
        <v>3</v>
      </c>
      <c r="S3" s="37">
        <v>45</v>
      </c>
      <c r="T3" s="37"/>
      <c r="U3" s="7">
        <v>5</v>
      </c>
      <c r="V3" s="8">
        <v>4.3</v>
      </c>
      <c r="W3" s="9">
        <v>3.38</v>
      </c>
      <c r="X3" s="9">
        <v>1.28</v>
      </c>
      <c r="Y3" s="9">
        <v>3.18</v>
      </c>
      <c r="Z3" s="9">
        <v>1.81</v>
      </c>
      <c r="AA3" s="9">
        <v>1.58</v>
      </c>
      <c r="AB3" s="9">
        <v>7.83</v>
      </c>
      <c r="AC3" s="9">
        <v>2.4300000000000002</v>
      </c>
      <c r="AD3" s="9">
        <v>1.35</v>
      </c>
      <c r="AE3" s="8">
        <v>1.7</v>
      </c>
      <c r="AF3" s="9">
        <v>0.87</v>
      </c>
    </row>
    <row r="4" spans="1:32" ht="21" customHeight="1" x14ac:dyDescent="0.3">
      <c r="A4" s="10" t="s">
        <v>159</v>
      </c>
      <c r="B4" s="38">
        <v>37</v>
      </c>
      <c r="C4" s="38"/>
      <c r="D4" s="10"/>
      <c r="H4" s="11" t="s">
        <v>21</v>
      </c>
      <c r="I4" s="10"/>
      <c r="J4" s="10"/>
      <c r="K4" s="10"/>
      <c r="L4" s="10"/>
      <c r="R4" s="5" t="s">
        <v>4</v>
      </c>
      <c r="S4" s="37">
        <v>50</v>
      </c>
      <c r="T4" s="37"/>
      <c r="U4" s="7">
        <v>5</v>
      </c>
      <c r="V4" s="8">
        <v>4.8</v>
      </c>
      <c r="W4" s="9">
        <v>3.77</v>
      </c>
      <c r="X4" s="8">
        <v>1.4</v>
      </c>
      <c r="Y4" s="9">
        <v>3.54</v>
      </c>
      <c r="Z4" s="9">
        <v>1.98</v>
      </c>
      <c r="AA4" s="9">
        <v>1.76</v>
      </c>
      <c r="AB4" s="7">
        <v>11</v>
      </c>
      <c r="AC4" s="9">
        <v>3.05</v>
      </c>
      <c r="AD4" s="9">
        <v>1.51</v>
      </c>
      <c r="AE4" s="8">
        <v>1.9</v>
      </c>
      <c r="AF4" s="9">
        <v>0.98</v>
      </c>
    </row>
    <row r="5" spans="1:32" ht="21" customHeight="1" x14ac:dyDescent="0.2">
      <c r="A5" s="10" t="s">
        <v>143</v>
      </c>
      <c r="B5" s="10">
        <f>IF(B4=A1,2.4,IF(B4=A2,2.8,IF(B4=A3,3.6)))</f>
        <v>2.4</v>
      </c>
      <c r="C5" s="10" t="s">
        <v>144</v>
      </c>
      <c r="D5" s="10"/>
      <c r="H5" s="12" t="s">
        <v>22</v>
      </c>
      <c r="I5" s="10"/>
      <c r="J5" s="10"/>
      <c r="K5" s="10"/>
      <c r="L5" s="10"/>
      <c r="M5" s="33" t="s">
        <v>172</v>
      </c>
      <c r="N5" s="33"/>
      <c r="R5" s="5" t="s">
        <v>5</v>
      </c>
      <c r="S5" s="37">
        <v>55</v>
      </c>
      <c r="T5" s="37"/>
      <c r="U5" s="7">
        <v>5</v>
      </c>
      <c r="V5" s="9">
        <v>5.32</v>
      </c>
      <c r="W5" s="9">
        <v>4.18</v>
      </c>
      <c r="X5" s="9">
        <v>1.52</v>
      </c>
      <c r="Y5" s="9">
        <v>3.89</v>
      </c>
      <c r="Z5" s="9">
        <v>2.15</v>
      </c>
      <c r="AA5" s="9">
        <v>1.93</v>
      </c>
      <c r="AB5" s="8">
        <v>14.7</v>
      </c>
      <c r="AC5" s="8">
        <v>3.7</v>
      </c>
      <c r="AD5" s="9">
        <v>1.66</v>
      </c>
      <c r="AE5" s="9">
        <v>2.09</v>
      </c>
      <c r="AF5" s="9">
        <v>1.07</v>
      </c>
    </row>
    <row r="6" spans="1:32" ht="21" x14ac:dyDescent="0.2">
      <c r="A6" s="10" t="s">
        <v>145</v>
      </c>
      <c r="B6" s="10">
        <f>IF(B4=A1,3.7,IF(B4=A2,4.4,IF(B4=A3,5.2)))</f>
        <v>3.7</v>
      </c>
      <c r="C6" s="10" t="s">
        <v>144</v>
      </c>
      <c r="D6" s="10"/>
      <c r="H6" s="10" t="s">
        <v>167</v>
      </c>
      <c r="I6" s="10">
        <f>IF(D15=B1,45,3.3*E16)</f>
        <v>52.8</v>
      </c>
      <c r="J6" s="10" t="s">
        <v>20</v>
      </c>
      <c r="K6" s="13" t="str">
        <f>IF(I6&lt;=B15, "Safe", "Unsafe" )</f>
        <v>Safe</v>
      </c>
      <c r="M6" s="12" t="s">
        <v>168</v>
      </c>
      <c r="N6" s="10"/>
      <c r="R6" s="5" t="s">
        <v>6</v>
      </c>
      <c r="S6" s="37">
        <v>60</v>
      </c>
      <c r="T6" s="37"/>
      <c r="U6" s="7">
        <v>6</v>
      </c>
      <c r="V6" s="9">
        <v>6.91</v>
      </c>
      <c r="W6" s="9">
        <v>5.42</v>
      </c>
      <c r="X6" s="9">
        <v>1.69</v>
      </c>
      <c r="Y6" s="9">
        <v>4.24</v>
      </c>
      <c r="Z6" s="9">
        <v>2.39</v>
      </c>
      <c r="AA6" s="9">
        <v>2.11</v>
      </c>
      <c r="AB6" s="8">
        <v>22.8</v>
      </c>
      <c r="AC6" s="9">
        <v>5.29</v>
      </c>
      <c r="AD6" s="9">
        <v>1.82</v>
      </c>
      <c r="AE6" s="9">
        <v>2.29</v>
      </c>
      <c r="AF6" s="9">
        <v>1.17</v>
      </c>
    </row>
    <row r="7" spans="1:32" ht="20.25" x14ac:dyDescent="0.2">
      <c r="A7" s="10"/>
      <c r="B7" s="10"/>
      <c r="C7" s="10"/>
      <c r="D7" s="10"/>
      <c r="H7" s="10"/>
      <c r="I7" s="10"/>
      <c r="J7" s="10"/>
      <c r="K7" s="13"/>
      <c r="M7" s="10" t="s">
        <v>173</v>
      </c>
      <c r="N7" s="10">
        <f>0.85*B17*B5</f>
        <v>63.239999999999995</v>
      </c>
      <c r="O7" s="2" t="s">
        <v>1</v>
      </c>
      <c r="P7" s="1" t="str">
        <f>IF(N7&gt;=B9,"Safe","Unsafe")</f>
        <v>Safe</v>
      </c>
      <c r="R7" s="5" t="s">
        <v>7</v>
      </c>
      <c r="S7" s="37">
        <v>65</v>
      </c>
      <c r="T7" s="37"/>
      <c r="U7" s="7">
        <v>7</v>
      </c>
      <c r="V7" s="8">
        <v>8.6999999999999993</v>
      </c>
      <c r="W7" s="9">
        <v>6.83</v>
      </c>
      <c r="X7" s="9">
        <v>1.85</v>
      </c>
      <c r="Y7" s="8">
        <v>4.5999999999999996</v>
      </c>
      <c r="Z7" s="9">
        <v>2.62</v>
      </c>
      <c r="AA7" s="9">
        <v>2.29</v>
      </c>
      <c r="AB7" s="8">
        <v>33.4</v>
      </c>
      <c r="AC7" s="9">
        <v>7.13</v>
      </c>
      <c r="AD7" s="9">
        <v>1.96</v>
      </c>
      <c r="AE7" s="9">
        <v>2.4700000000000002</v>
      </c>
      <c r="AF7" s="9">
        <v>1.26</v>
      </c>
    </row>
    <row r="8" spans="1:32" x14ac:dyDescent="0.2">
      <c r="A8" s="33" t="s">
        <v>175</v>
      </c>
      <c r="B8" s="33"/>
      <c r="C8" s="33"/>
      <c r="D8" s="10"/>
      <c r="H8" s="33" t="s">
        <v>171</v>
      </c>
      <c r="I8" s="33"/>
      <c r="J8" s="33"/>
      <c r="K8" s="10"/>
      <c r="L8" s="10"/>
      <c r="M8" s="10"/>
      <c r="N8" s="10"/>
      <c r="R8" s="5" t="s">
        <v>8</v>
      </c>
      <c r="S8" s="37">
        <v>70</v>
      </c>
      <c r="T8" s="37"/>
      <c r="U8" s="7">
        <v>7</v>
      </c>
      <c r="V8" s="8">
        <v>9.4</v>
      </c>
      <c r="W8" s="9">
        <v>7.38</v>
      </c>
      <c r="X8" s="9">
        <v>1.97</v>
      </c>
      <c r="Y8" s="9">
        <v>4.95</v>
      </c>
      <c r="Z8" s="9">
        <v>2.79</v>
      </c>
      <c r="AA8" s="9">
        <v>2.4700000000000002</v>
      </c>
      <c r="AB8" s="8">
        <v>42.4</v>
      </c>
      <c r="AC8" s="9">
        <v>8.43</v>
      </c>
      <c r="AD8" s="9">
        <v>2.12</v>
      </c>
      <c r="AE8" s="9">
        <v>2.67</v>
      </c>
      <c r="AF8" s="9">
        <v>1.37</v>
      </c>
    </row>
    <row r="9" spans="1:32" x14ac:dyDescent="0.2">
      <c r="A9" s="24" t="s">
        <v>176</v>
      </c>
      <c r="B9" s="14">
        <v>44.8</v>
      </c>
      <c r="C9" s="10" t="s">
        <v>1</v>
      </c>
      <c r="D9" s="10"/>
      <c r="H9" s="12" t="s">
        <v>23</v>
      </c>
      <c r="I9" s="10"/>
      <c r="J9" s="10"/>
      <c r="K9" s="10"/>
      <c r="L9" s="10"/>
      <c r="M9" s="12" t="s">
        <v>169</v>
      </c>
      <c r="N9" s="10"/>
      <c r="R9" s="5" t="s">
        <v>9</v>
      </c>
      <c r="S9" s="37">
        <v>75</v>
      </c>
      <c r="T9" s="37"/>
      <c r="U9" s="7">
        <v>7</v>
      </c>
      <c r="V9" s="8">
        <v>10.1</v>
      </c>
      <c r="W9" s="9">
        <v>7.94</v>
      </c>
      <c r="X9" s="9">
        <v>2.0299999999999998</v>
      </c>
      <c r="Y9" s="8">
        <v>5.3</v>
      </c>
      <c r="Z9" s="9">
        <v>2.87</v>
      </c>
      <c r="AA9" s="9">
        <v>2.63</v>
      </c>
      <c r="AB9" s="8">
        <v>52.4</v>
      </c>
      <c r="AC9" s="9">
        <v>8.67</v>
      </c>
      <c r="AD9" s="9">
        <v>2.2799999999999998</v>
      </c>
      <c r="AE9" s="9">
        <v>2.88</v>
      </c>
      <c r="AF9" s="9">
        <v>1.45</v>
      </c>
    </row>
    <row r="10" spans="1:32" ht="20.25" x14ac:dyDescent="0.2">
      <c r="A10" s="10" t="s">
        <v>146</v>
      </c>
      <c r="B10" s="14">
        <v>1</v>
      </c>
      <c r="C10" s="10" t="s">
        <v>2</v>
      </c>
      <c r="D10" s="10"/>
      <c r="H10" s="24" t="s">
        <v>147</v>
      </c>
      <c r="I10" s="16">
        <v>210</v>
      </c>
      <c r="J10" s="10" t="s">
        <v>2</v>
      </c>
      <c r="M10" s="10" t="s">
        <v>174</v>
      </c>
      <c r="N10" s="10">
        <f>0.7*B25*B6</f>
        <v>57.518719999999995</v>
      </c>
      <c r="O10" s="2" t="s">
        <v>1</v>
      </c>
      <c r="P10" s="1" t="str">
        <f>IF(N10&gt;=B9,"Safe","Unsafe")</f>
        <v>Safe</v>
      </c>
      <c r="R10" s="5" t="s">
        <v>10</v>
      </c>
      <c r="S10" s="37">
        <v>80</v>
      </c>
      <c r="T10" s="37"/>
      <c r="U10" s="7">
        <v>8</v>
      </c>
      <c r="V10" s="8">
        <v>12.3</v>
      </c>
      <c r="W10" s="9">
        <v>9.66</v>
      </c>
      <c r="X10" s="9">
        <v>2.2599999999999998</v>
      </c>
      <c r="Y10" s="9">
        <v>5.66</v>
      </c>
      <c r="Z10" s="8">
        <v>3.2</v>
      </c>
      <c r="AA10" s="9">
        <v>2.82</v>
      </c>
      <c r="AB10" s="8">
        <v>72.3</v>
      </c>
      <c r="AC10" s="8">
        <v>12.6</v>
      </c>
      <c r="AD10" s="9">
        <v>2.42</v>
      </c>
      <c r="AE10" s="9">
        <v>3.06</v>
      </c>
      <c r="AF10" s="9">
        <v>1.55</v>
      </c>
    </row>
    <row r="11" spans="1:32" ht="20.25" x14ac:dyDescent="0.2">
      <c r="A11" s="10" t="s">
        <v>109</v>
      </c>
      <c r="B11" s="14">
        <v>210</v>
      </c>
      <c r="C11" s="10" t="s">
        <v>2</v>
      </c>
      <c r="D11" s="10"/>
      <c r="H11" s="24" t="s">
        <v>148</v>
      </c>
      <c r="I11" s="16">
        <v>210</v>
      </c>
      <c r="J11" s="10" t="s">
        <v>2</v>
      </c>
      <c r="M11" s="10"/>
      <c r="N11" s="10"/>
      <c r="R11" s="5" t="s">
        <v>11</v>
      </c>
      <c r="S11" s="37">
        <v>90</v>
      </c>
      <c r="T11" s="37"/>
      <c r="U11" s="7">
        <v>9</v>
      </c>
      <c r="V11" s="8">
        <v>15.5</v>
      </c>
      <c r="W11" s="8">
        <v>12.2</v>
      </c>
      <c r="X11" s="9">
        <v>2.54</v>
      </c>
      <c r="Y11" s="9">
        <v>6.36</v>
      </c>
      <c r="Z11" s="9">
        <v>3.59</v>
      </c>
      <c r="AA11" s="9">
        <v>3.18</v>
      </c>
      <c r="AB11" s="7">
        <v>116</v>
      </c>
      <c r="AC11" s="7">
        <v>18</v>
      </c>
      <c r="AD11" s="9">
        <v>2.74</v>
      </c>
      <c r="AE11" s="9">
        <v>3.45</v>
      </c>
      <c r="AF11" s="9">
        <v>1.76</v>
      </c>
    </row>
    <row r="12" spans="1:32" ht="20.25" x14ac:dyDescent="0.2">
      <c r="A12" s="10"/>
      <c r="B12" s="10"/>
      <c r="C12" s="10"/>
      <c r="D12" s="10"/>
      <c r="H12" s="24" t="s">
        <v>149</v>
      </c>
      <c r="I12" s="10">
        <f>IF(D14=C2,I10/B18,IF(D14=C1,I10/B21,I10/B20))</f>
        <v>76.642335766423358</v>
      </c>
      <c r="J12" s="10" t="s">
        <v>26</v>
      </c>
      <c r="K12" s="15" t="str">
        <f>IF(I12&lt;=200,"Safe","Unsafe")</f>
        <v>Safe</v>
      </c>
      <c r="L12" s="13"/>
      <c r="M12" s="27" t="s">
        <v>170</v>
      </c>
      <c r="R12" s="5" t="s">
        <v>12</v>
      </c>
      <c r="S12" s="37">
        <v>100</v>
      </c>
      <c r="T12" s="37"/>
      <c r="U12" s="7">
        <v>10</v>
      </c>
      <c r="V12" s="8">
        <v>19.2</v>
      </c>
      <c r="W12" s="8">
        <v>15.1</v>
      </c>
      <c r="X12" s="9">
        <v>2.82</v>
      </c>
      <c r="Y12" s="9">
        <v>7.07</v>
      </c>
      <c r="Z12" s="9">
        <v>3.99</v>
      </c>
      <c r="AA12" s="9">
        <v>3.54</v>
      </c>
      <c r="AB12" s="7">
        <v>177</v>
      </c>
      <c r="AC12" s="8">
        <v>24.7</v>
      </c>
      <c r="AD12" s="9">
        <v>3.04</v>
      </c>
      <c r="AE12" s="9">
        <v>3.82</v>
      </c>
      <c r="AF12" s="9">
        <v>1.95</v>
      </c>
    </row>
    <row r="13" spans="1:32" ht="20.25" x14ac:dyDescent="0.2">
      <c r="A13" s="10"/>
      <c r="B13" s="10"/>
      <c r="C13" s="10"/>
      <c r="H13" s="24" t="s">
        <v>150</v>
      </c>
      <c r="I13" s="10">
        <f>IF(D14=C1,I11/B20,IF(D14=C2,I11/B19,IF(D14=C3,I11/B21)))</f>
        <v>51.31239201483541</v>
      </c>
      <c r="J13" s="10" t="s">
        <v>26</v>
      </c>
      <c r="K13" s="13" t="str">
        <f>IF(I13&lt;=200,"Safe","Unsafe" )</f>
        <v>Safe</v>
      </c>
      <c r="L13" s="13"/>
      <c r="M13" s="2" t="s">
        <v>165</v>
      </c>
      <c r="N13" s="2">
        <f>IF(D14=C1,B15,2*B15+B10*10)</f>
        <v>190</v>
      </c>
      <c r="O13" s="2" t="s">
        <v>20</v>
      </c>
      <c r="R13" s="17" t="s">
        <v>127</v>
      </c>
      <c r="S13" s="35">
        <v>110</v>
      </c>
      <c r="T13" s="35"/>
      <c r="U13" s="18">
        <v>10</v>
      </c>
      <c r="V13" s="19">
        <v>21.2</v>
      </c>
      <c r="W13" s="19">
        <v>16.600000000000001</v>
      </c>
      <c r="X13" s="20">
        <v>3.07</v>
      </c>
      <c r="Y13" s="20">
        <v>7.78</v>
      </c>
      <c r="Z13" s="20">
        <v>4.34</v>
      </c>
      <c r="AA13" s="20">
        <v>3.89</v>
      </c>
      <c r="AB13" s="18">
        <v>239</v>
      </c>
      <c r="AC13" s="19">
        <v>30.1</v>
      </c>
      <c r="AD13" s="20">
        <v>3.36</v>
      </c>
      <c r="AE13" s="20">
        <v>4.2300000000000004</v>
      </c>
      <c r="AF13" s="20">
        <v>2.16</v>
      </c>
    </row>
    <row r="14" spans="1:32" x14ac:dyDescent="0.2">
      <c r="A14" s="24" t="s">
        <v>160</v>
      </c>
      <c r="B14" s="34" t="s">
        <v>11</v>
      </c>
      <c r="C14" s="34"/>
      <c r="D14" s="14" t="s">
        <v>17</v>
      </c>
      <c r="H14" s="10"/>
      <c r="I14" s="10"/>
      <c r="J14" s="10"/>
      <c r="K14" s="10"/>
      <c r="L14" s="10"/>
      <c r="M14" s="2" t="s">
        <v>166</v>
      </c>
      <c r="N14" s="2">
        <f>B11/(0.1*N13)</f>
        <v>11.052631578947368</v>
      </c>
      <c r="O14" s="2" t="s">
        <v>26</v>
      </c>
      <c r="P14" s="1" t="str">
        <f>IF(N14&lt;=60, "Safe", "Unsafe"  )</f>
        <v>Safe</v>
      </c>
      <c r="R14" s="17" t="s">
        <v>128</v>
      </c>
      <c r="S14" s="35">
        <v>120</v>
      </c>
      <c r="T14" s="35"/>
      <c r="U14" s="18">
        <v>12</v>
      </c>
      <c r="V14" s="19">
        <v>27.5</v>
      </c>
      <c r="W14" s="19">
        <v>21.6</v>
      </c>
      <c r="X14" s="19">
        <v>3.4</v>
      </c>
      <c r="Y14" s="20">
        <v>8.49</v>
      </c>
      <c r="Z14" s="19">
        <v>4.8</v>
      </c>
      <c r="AA14" s="20">
        <v>4.26</v>
      </c>
      <c r="AB14" s="18">
        <v>368</v>
      </c>
      <c r="AC14" s="19">
        <v>42.7</v>
      </c>
      <c r="AD14" s="20">
        <v>3.65</v>
      </c>
      <c r="AE14" s="19">
        <v>4.5999999999999996</v>
      </c>
      <c r="AF14" s="20">
        <v>2.35</v>
      </c>
    </row>
    <row r="15" spans="1:32" x14ac:dyDescent="0.2">
      <c r="A15" s="10" t="s">
        <v>126</v>
      </c>
      <c r="B15" s="10">
        <f>VLOOKUP(B14,omar22,2,FALSE)</f>
        <v>90</v>
      </c>
      <c r="C15" s="10" t="s">
        <v>20</v>
      </c>
      <c r="D15" s="14" t="s">
        <v>14</v>
      </c>
      <c r="H15" s="12" t="s">
        <v>24</v>
      </c>
      <c r="I15" s="10"/>
      <c r="J15" s="10"/>
      <c r="K15" s="10"/>
      <c r="L15" s="10"/>
      <c r="M15" s="10"/>
      <c r="N15" s="10"/>
      <c r="R15" s="17" t="s">
        <v>129</v>
      </c>
      <c r="S15" s="35">
        <v>130</v>
      </c>
      <c r="T15" s="35"/>
      <c r="U15" s="18">
        <v>12</v>
      </c>
      <c r="V15" s="18">
        <v>30</v>
      </c>
      <c r="W15" s="19">
        <v>23.6</v>
      </c>
      <c r="X15" s="20">
        <v>3.64</v>
      </c>
      <c r="Y15" s="20">
        <v>9.19</v>
      </c>
      <c r="Z15" s="20">
        <v>5.15</v>
      </c>
      <c r="AA15" s="19">
        <v>4.5999999999999996</v>
      </c>
      <c r="AB15" s="18">
        <v>472</v>
      </c>
      <c r="AC15" s="19">
        <v>50.4</v>
      </c>
      <c r="AD15" s="20">
        <v>3.97</v>
      </c>
      <c r="AE15" s="18">
        <v>5</v>
      </c>
      <c r="AF15" s="20">
        <v>2.54</v>
      </c>
    </row>
    <row r="16" spans="1:32" ht="20.25" x14ac:dyDescent="0.2">
      <c r="A16" s="10" t="s">
        <v>114</v>
      </c>
      <c r="B16" s="10">
        <f>VLOOKUP(B14,omar22,4,FALSE)</f>
        <v>9</v>
      </c>
      <c r="C16" s="10" t="s">
        <v>20</v>
      </c>
      <c r="D16" s="10" t="str">
        <f>IF(D15=B2, "Bolt Diameter=","Size of weld=" )</f>
        <v>Bolt Diameter=</v>
      </c>
      <c r="E16" s="14">
        <v>16</v>
      </c>
      <c r="F16" s="10" t="s">
        <v>20</v>
      </c>
      <c r="H16" s="24" t="s">
        <v>153</v>
      </c>
      <c r="I16" s="10">
        <f>MAX(I12,I13)*SQRT( (B5) / ( (22/7)^2 * 2100 ))</f>
        <v>0.82440395119503607</v>
      </c>
      <c r="J16" s="10" t="s">
        <v>26</v>
      </c>
      <c r="K16" s="10"/>
      <c r="L16" s="10"/>
      <c r="M16" s="10"/>
      <c r="N16" s="10"/>
      <c r="R16" s="17" t="s">
        <v>130</v>
      </c>
      <c r="S16" s="35">
        <v>140</v>
      </c>
      <c r="T16" s="35"/>
      <c r="U16" s="18">
        <v>13</v>
      </c>
      <c r="V16" s="18">
        <v>35</v>
      </c>
      <c r="W16" s="19">
        <v>27.5</v>
      </c>
      <c r="X16" s="20">
        <v>3.92</v>
      </c>
      <c r="Y16" s="19">
        <v>9.9</v>
      </c>
      <c r="Z16" s="20">
        <v>5.54</v>
      </c>
      <c r="AA16" s="20">
        <v>4.96</v>
      </c>
      <c r="AB16" s="18">
        <v>638</v>
      </c>
      <c r="AC16" s="19">
        <v>63.3</v>
      </c>
      <c r="AD16" s="20">
        <v>4.2699999999999996</v>
      </c>
      <c r="AE16" s="20">
        <v>5.38</v>
      </c>
      <c r="AF16" s="20">
        <v>2.74</v>
      </c>
    </row>
    <row r="17" spans="1:32" ht="21" x14ac:dyDescent="0.2">
      <c r="A17" s="24" t="s">
        <v>111</v>
      </c>
      <c r="B17" s="10">
        <f>IF(D14=C2,VLOOKUP(B14,omar22,5,FALSE)*2,IF(D14=C1,VLOOKUP(B14,omar22,5,FALSE),IF(D14=C3,VLOOKUP(B14,omar22,5,FALSE)*2)))</f>
        <v>31</v>
      </c>
      <c r="C17" s="10" t="s">
        <v>125</v>
      </c>
      <c r="D17" s="10"/>
      <c r="H17" s="10" t="s">
        <v>155</v>
      </c>
      <c r="I17" s="10">
        <f>IF(I16&lt;=1.1,B5* ( 1-0.384* (I16)^2 ), ((0.648* B5)/ (I16)^2))</f>
        <v>1.773642048234098</v>
      </c>
      <c r="J17" s="10" t="s">
        <v>144</v>
      </c>
      <c r="K17" s="10"/>
      <c r="L17" s="10"/>
      <c r="M17" s="10"/>
      <c r="N17" s="10"/>
      <c r="R17" s="17" t="s">
        <v>131</v>
      </c>
      <c r="S17" s="35">
        <v>150</v>
      </c>
      <c r="T17" s="35"/>
      <c r="U17" s="18">
        <v>14</v>
      </c>
      <c r="V17" s="19">
        <v>40.299999999999997</v>
      </c>
      <c r="W17" s="19">
        <v>31.6</v>
      </c>
      <c r="X17" s="20">
        <v>4.21</v>
      </c>
      <c r="Y17" s="19">
        <v>10.6</v>
      </c>
      <c r="Z17" s="20">
        <v>5.95</v>
      </c>
      <c r="AA17" s="20">
        <v>5.31</v>
      </c>
      <c r="AB17" s="18">
        <v>845</v>
      </c>
      <c r="AC17" s="19">
        <v>78.2</v>
      </c>
      <c r="AD17" s="20">
        <v>4.58</v>
      </c>
      <c r="AE17" s="20">
        <v>5.77</v>
      </c>
      <c r="AF17" s="20">
        <v>2.94</v>
      </c>
    </row>
    <row r="18" spans="1:32" ht="20.25" x14ac:dyDescent="0.2">
      <c r="A18" s="24" t="s">
        <v>151</v>
      </c>
      <c r="B18" s="10">
        <f>VLOOKUP(B14,omar22,13,FALSE)</f>
        <v>2.74</v>
      </c>
      <c r="C18" s="10" t="s">
        <v>2</v>
      </c>
      <c r="D18" s="10"/>
      <c r="H18" s="10" t="s">
        <v>157</v>
      </c>
      <c r="I18" s="10">
        <f>0.8*I17*B17</f>
        <v>43.986322796205634</v>
      </c>
      <c r="J18" s="10" t="s">
        <v>1</v>
      </c>
      <c r="K18" s="13" t="str">
        <f>IF(I18&gt;=ABS(B9), "Safe", "Unsafe" )</f>
        <v>Unsafe</v>
      </c>
      <c r="L18" s="13"/>
      <c r="M18" s="13"/>
      <c r="N18" s="13"/>
      <c r="R18" s="17" t="s">
        <v>132</v>
      </c>
      <c r="S18" s="35">
        <v>160</v>
      </c>
      <c r="T18" s="35"/>
      <c r="U18" s="18">
        <v>15</v>
      </c>
      <c r="V18" s="19">
        <v>46.1</v>
      </c>
      <c r="W18" s="19">
        <v>36.200000000000003</v>
      </c>
      <c r="X18" s="20">
        <v>4.49</v>
      </c>
      <c r="Y18" s="19">
        <v>11.3</v>
      </c>
      <c r="Z18" s="20">
        <v>6.35</v>
      </c>
      <c r="AA18" s="20">
        <v>5.67</v>
      </c>
      <c r="AB18" s="18">
        <v>1100</v>
      </c>
      <c r="AC18" s="19">
        <v>95.6</v>
      </c>
      <c r="AD18" s="20">
        <v>4.88</v>
      </c>
      <c r="AE18" s="20">
        <v>6.15</v>
      </c>
      <c r="AF18" s="20">
        <v>3.14</v>
      </c>
    </row>
    <row r="19" spans="1:32" ht="20.25" x14ac:dyDescent="0.2">
      <c r="A19" s="24" t="s">
        <v>152</v>
      </c>
      <c r="B19" s="10">
        <f>IF(OR(D14=C1,D14=C3),VLOOKUP(B14,omar22,13,FALSE),IF(D14=C2,SQRT((VLOOKUP(B14,omar22,13,FALSE))^2+ ( VLOOKUP(B14,omar22,7,FALSE)+ (B10/2 ) )^2)))</f>
        <v>4.0925786492137206</v>
      </c>
      <c r="C19" s="10" t="s">
        <v>2</v>
      </c>
      <c r="D19" s="10"/>
      <c r="H19" s="10"/>
      <c r="I19" s="10"/>
      <c r="J19" s="10"/>
      <c r="K19" s="10"/>
      <c r="L19" s="10"/>
      <c r="M19" s="10"/>
      <c r="N19" s="10"/>
      <c r="R19" s="17" t="s">
        <v>133</v>
      </c>
      <c r="S19" s="35">
        <v>180</v>
      </c>
      <c r="T19" s="35"/>
      <c r="U19" s="18">
        <v>16</v>
      </c>
      <c r="V19" s="19">
        <v>55.4</v>
      </c>
      <c r="W19" s="19">
        <v>43.5</v>
      </c>
      <c r="X19" s="20">
        <v>5.0199999999999996</v>
      </c>
      <c r="Y19" s="19">
        <v>12.7</v>
      </c>
      <c r="Z19" s="20">
        <v>7.11</v>
      </c>
      <c r="AA19" s="20">
        <v>6.39</v>
      </c>
      <c r="AB19" s="18">
        <v>1680</v>
      </c>
      <c r="AC19" s="18">
        <v>130</v>
      </c>
      <c r="AD19" s="20">
        <v>5.51</v>
      </c>
      <c r="AE19" s="20">
        <v>6.96</v>
      </c>
      <c r="AF19" s="19">
        <v>3.5</v>
      </c>
    </row>
    <row r="20" spans="1:32" ht="20.25" x14ac:dyDescent="0.2">
      <c r="A20" s="24" t="s">
        <v>154</v>
      </c>
      <c r="B20" s="10">
        <f>VLOOKUP(B14,omar22,15,FALSE)</f>
        <v>1.76</v>
      </c>
      <c r="C20" s="10" t="s">
        <v>2</v>
      </c>
      <c r="D20" s="10"/>
      <c r="H20" s="12" t="s">
        <v>25</v>
      </c>
      <c r="I20" s="10"/>
      <c r="J20" s="10"/>
      <c r="K20" s="10"/>
      <c r="L20" s="10"/>
      <c r="M20" s="10"/>
      <c r="N20" s="10"/>
      <c r="R20" s="17" t="s">
        <v>134</v>
      </c>
      <c r="S20" s="35">
        <v>200</v>
      </c>
      <c r="T20" s="35"/>
      <c r="U20" s="18">
        <v>16</v>
      </c>
      <c r="V20" s="19">
        <v>61.8</v>
      </c>
      <c r="W20" s="19">
        <v>48.5</v>
      </c>
      <c r="X20" s="20">
        <v>5.52</v>
      </c>
      <c r="Y20" s="19">
        <v>14.1</v>
      </c>
      <c r="Z20" s="19">
        <v>7.8</v>
      </c>
      <c r="AA20" s="20">
        <v>7.09</v>
      </c>
      <c r="AB20" s="18">
        <v>2340</v>
      </c>
      <c r="AC20" s="18">
        <v>168</v>
      </c>
      <c r="AD20" s="20">
        <v>6.15</v>
      </c>
      <c r="AE20" s="20">
        <v>7.78</v>
      </c>
      <c r="AF20" s="20">
        <v>3.91</v>
      </c>
    </row>
    <row r="21" spans="1:32" ht="21" x14ac:dyDescent="0.2">
      <c r="A21" s="24" t="s">
        <v>156</v>
      </c>
      <c r="B21" s="10">
        <f>VLOOKUP(B14,omar22,14,FALSE)</f>
        <v>3.45</v>
      </c>
      <c r="C21" s="10" t="s">
        <v>2</v>
      </c>
      <c r="D21" s="10"/>
      <c r="H21" s="10" t="s">
        <v>158</v>
      </c>
      <c r="I21" s="10">
        <f>IF(D14=C1,"0",MAX(I12,I13)*B20)</f>
        <v>134.8905109489051</v>
      </c>
      <c r="J21" s="21" t="s">
        <v>2</v>
      </c>
      <c r="K21" s="25" t="str">
        <f>IF(D14=C1,"No tie plate",IF(I21&gt;0.5*B11,"One Tie plate","Two Tie Plates"))</f>
        <v>One Tie plate</v>
      </c>
      <c r="L21" s="10"/>
      <c r="M21" s="10"/>
      <c r="N21" s="10"/>
      <c r="R21" s="22"/>
    </row>
    <row r="22" spans="1:32" x14ac:dyDescent="0.2">
      <c r="R22" s="22"/>
    </row>
    <row r="23" spans="1:32" ht="18" customHeight="1" x14ac:dyDescent="0.2">
      <c r="A23" s="2" t="s">
        <v>161</v>
      </c>
      <c r="B23" s="2">
        <f>IF(D14=B1,B17,B17-2*((0.1*E16+0.2)*0.1*B16))</f>
        <v>27.759999999999998</v>
      </c>
      <c r="C23" s="2" t="s">
        <v>162</v>
      </c>
    </row>
    <row r="24" spans="1:32" x14ac:dyDescent="0.2">
      <c r="A24" s="2" t="s">
        <v>163</v>
      </c>
      <c r="B24" s="26">
        <v>0.8</v>
      </c>
      <c r="C24" s="2" t="s">
        <v>26</v>
      </c>
      <c r="D24" s="2">
        <f>MIN(B24,0.9)</f>
        <v>0.8</v>
      </c>
      <c r="Q24" s="22"/>
    </row>
    <row r="25" spans="1:32" ht="21" x14ac:dyDescent="0.2">
      <c r="A25" s="2" t="s">
        <v>164</v>
      </c>
      <c r="B25" s="2">
        <f>D24*B23</f>
        <v>22.207999999999998</v>
      </c>
      <c r="C25" s="2" t="s">
        <v>162</v>
      </c>
    </row>
    <row r="26" spans="1:32" x14ac:dyDescent="0.2">
      <c r="A26" s="10"/>
      <c r="B26" s="10"/>
      <c r="C26" s="10"/>
    </row>
  </sheetData>
  <mergeCells count="27">
    <mergeCell ref="B4:C4"/>
    <mergeCell ref="AB1:AD1"/>
    <mergeCell ref="S7:T7"/>
    <mergeCell ref="S6:T6"/>
    <mergeCell ref="S5:T5"/>
    <mergeCell ref="S2:T2"/>
    <mergeCell ref="S3:T3"/>
    <mergeCell ref="S4:T4"/>
    <mergeCell ref="X1:AA1"/>
    <mergeCell ref="S20:T20"/>
    <mergeCell ref="S1:U1"/>
    <mergeCell ref="S12:T12"/>
    <mergeCell ref="S11:T11"/>
    <mergeCell ref="S10:T10"/>
    <mergeCell ref="S9:T9"/>
    <mergeCell ref="S8:T8"/>
    <mergeCell ref="S15:T15"/>
    <mergeCell ref="S16:T16"/>
    <mergeCell ref="S17:T17"/>
    <mergeCell ref="S18:T18"/>
    <mergeCell ref="S19:T19"/>
    <mergeCell ref="H8:J8"/>
    <mergeCell ref="M5:N5"/>
    <mergeCell ref="A8:C8"/>
    <mergeCell ref="B14:C14"/>
    <mergeCell ref="S13:T13"/>
    <mergeCell ref="S14:T14"/>
  </mergeCells>
  <phoneticPr fontId="1" type="noConversion"/>
  <conditionalFormatting sqref="K12:L13 M10 K18:N18 M7:N9 K6:K7">
    <cfRule type="cellIs" dxfId="19" priority="10" operator="equal">
      <formula>"Safe"</formula>
    </cfRule>
  </conditionalFormatting>
  <conditionalFormatting sqref="K12:L13 M10 K18:N18 M7:N9 K6:K7">
    <cfRule type="cellIs" dxfId="18" priority="9" operator="equal">
      <formula>"Unsafe"</formula>
    </cfRule>
  </conditionalFormatting>
  <conditionalFormatting sqref="P14">
    <cfRule type="cellIs" dxfId="17" priority="6" operator="equal">
      <formula>"Unsafe"</formula>
    </cfRule>
  </conditionalFormatting>
  <conditionalFormatting sqref="P14">
    <cfRule type="cellIs" dxfId="16" priority="5" operator="equal">
      <formula>"Safe"</formula>
    </cfRule>
  </conditionalFormatting>
  <conditionalFormatting sqref="P7">
    <cfRule type="cellIs" dxfId="15" priority="4" operator="equal">
      <formula>"Unsafe"</formula>
    </cfRule>
  </conditionalFormatting>
  <conditionalFormatting sqref="P7">
    <cfRule type="cellIs" dxfId="14" priority="3" operator="equal">
      <formula>"Safe"</formula>
    </cfRule>
  </conditionalFormatting>
  <conditionalFormatting sqref="P10">
    <cfRule type="cellIs" dxfId="13" priority="2" operator="equal">
      <formula>"Unsafe"</formula>
    </cfRule>
  </conditionalFormatting>
  <conditionalFormatting sqref="P10">
    <cfRule type="cellIs" dxfId="12" priority="1" operator="equal">
      <formula>"Safe"</formula>
    </cfRule>
  </conditionalFormatting>
  <dataValidations count="4">
    <dataValidation type="list" allowBlank="1" showInputMessage="1" showErrorMessage="1" sqref="B4" xr:uid="{61FB654F-831F-4D5D-80F2-E486802822EE}">
      <formula1>$A$1:$A$3</formula1>
    </dataValidation>
    <dataValidation type="list" allowBlank="1" showInputMessage="1" showErrorMessage="1" sqref="D14" xr:uid="{85DF575D-9A3F-4D3A-8636-54AB6427FD2B}">
      <formula1>$C$1:$C$3</formula1>
    </dataValidation>
    <dataValidation type="list" allowBlank="1" showInputMessage="1" showErrorMessage="1" sqref="D15" xr:uid="{538AA8DB-5165-4E7F-B9F4-63CB08FAC4B6}">
      <formula1>$B$1:$B$2</formula1>
    </dataValidation>
    <dataValidation type="list" allowBlank="1" showInputMessage="1" showErrorMessage="1" sqref="B14" xr:uid="{143682DD-E90E-4829-9DC1-2EA6DB0EB770}">
      <formula1>$R$3:$R$20</formula1>
    </dataValidation>
  </dataValidations>
  <pageMargins left="0.7" right="0.7" top="0.75" bottom="0.75" header="0.3" footer="0.3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9E1F-7C86-4481-934D-6CAC7A21F592}">
  <sheetPr codeName="Sheet2"/>
  <dimension ref="A1:X71"/>
  <sheetViews>
    <sheetView view="pageBreakPreview" topLeftCell="A2" zoomScale="85" zoomScaleNormal="100" zoomScaleSheetLayoutView="85" workbookViewId="0">
      <selection activeCell="H13" sqref="H13"/>
    </sheetView>
  </sheetViews>
  <sheetFormatPr defaultRowHeight="18.75" x14ac:dyDescent="0.2"/>
  <cols>
    <col min="1" max="1" width="10.125" style="10" bestFit="1" customWidth="1"/>
    <col min="2" max="9" width="9" style="10"/>
    <col min="10" max="15" width="9" style="10" customWidth="1"/>
    <col min="16" max="16384" width="9" style="10"/>
  </cols>
  <sheetData>
    <row r="1" spans="1:24" ht="18.75" customHeight="1" x14ac:dyDescent="0.2">
      <c r="A1" s="13">
        <v>37</v>
      </c>
      <c r="P1" s="40" t="s">
        <v>27</v>
      </c>
      <c r="Q1" s="28" t="s">
        <v>104</v>
      </c>
      <c r="R1" s="28" t="s">
        <v>47</v>
      </c>
      <c r="S1" s="28" t="s">
        <v>49</v>
      </c>
      <c r="T1" s="28" t="s">
        <v>0</v>
      </c>
      <c r="U1" s="28" t="s">
        <v>44</v>
      </c>
      <c r="V1" s="42" t="s">
        <v>105</v>
      </c>
      <c r="W1" s="42"/>
      <c r="X1" s="42"/>
    </row>
    <row r="2" spans="1:24" ht="21.75" x14ac:dyDescent="0.2">
      <c r="A2" s="13">
        <v>44</v>
      </c>
      <c r="P2" s="41"/>
      <c r="Q2" s="28" t="s">
        <v>106</v>
      </c>
      <c r="R2" s="28" t="s">
        <v>107</v>
      </c>
      <c r="S2" s="28" t="s">
        <v>107</v>
      </c>
      <c r="T2" s="28" t="s">
        <v>135</v>
      </c>
      <c r="U2" s="28" t="s">
        <v>108</v>
      </c>
      <c r="V2" s="28" t="s">
        <v>138</v>
      </c>
      <c r="W2" s="28" t="s">
        <v>139</v>
      </c>
      <c r="X2" s="28" t="s">
        <v>140</v>
      </c>
    </row>
    <row r="3" spans="1:24" ht="18.75" customHeight="1" x14ac:dyDescent="0.2">
      <c r="A3" s="13">
        <v>52</v>
      </c>
      <c r="F3" s="32"/>
      <c r="P3" s="10" t="s">
        <v>28</v>
      </c>
      <c r="Q3" s="43">
        <v>38</v>
      </c>
      <c r="R3" s="29">
        <v>38</v>
      </c>
      <c r="S3" s="29">
        <v>3</v>
      </c>
      <c r="T3" s="30">
        <v>3.3</v>
      </c>
      <c r="U3" s="31">
        <v>2.59</v>
      </c>
      <c r="V3" s="29">
        <v>5</v>
      </c>
      <c r="W3" s="31">
        <v>2.63</v>
      </c>
      <c r="X3" s="31">
        <v>1.24</v>
      </c>
    </row>
    <row r="4" spans="1:24" ht="18.75" customHeight="1" x14ac:dyDescent="0.2">
      <c r="A4" s="10" t="s">
        <v>159</v>
      </c>
      <c r="B4" s="34">
        <v>37</v>
      </c>
      <c r="C4" s="34"/>
      <c r="E4" s="32" t="s">
        <v>21</v>
      </c>
      <c r="F4" s="32"/>
      <c r="P4" s="10" t="s">
        <v>29</v>
      </c>
      <c r="Q4" s="43"/>
      <c r="R4" s="29">
        <v>38</v>
      </c>
      <c r="S4" s="29">
        <v>4</v>
      </c>
      <c r="T4" s="31">
        <v>4.2699999999999996</v>
      </c>
      <c r="U4" s="31">
        <v>3.35</v>
      </c>
      <c r="V4" s="31">
        <v>6.26</v>
      </c>
      <c r="W4" s="31">
        <v>3.29</v>
      </c>
      <c r="X4" s="31">
        <v>1.21</v>
      </c>
    </row>
    <row r="5" spans="1:24" ht="21" x14ac:dyDescent="0.2">
      <c r="A5" s="10" t="s">
        <v>177</v>
      </c>
      <c r="B5" s="10">
        <f>IF(B4=A1,2.4,IF(B4=A2,2.8,3.6))</f>
        <v>2.4</v>
      </c>
      <c r="C5" s="10" t="s">
        <v>144</v>
      </c>
      <c r="E5" s="12" t="s">
        <v>31</v>
      </c>
      <c r="F5" s="12"/>
      <c r="J5" s="23" t="s">
        <v>187</v>
      </c>
      <c r="P5" s="10" t="s">
        <v>30</v>
      </c>
      <c r="Q5" s="44">
        <v>44.5</v>
      </c>
      <c r="R5" s="30">
        <v>44.5</v>
      </c>
      <c r="S5" s="29">
        <v>3</v>
      </c>
      <c r="T5" s="31">
        <v>3.91</v>
      </c>
      <c r="U5" s="31">
        <v>3.07</v>
      </c>
      <c r="V5" s="31">
        <v>8.4600000000000009</v>
      </c>
      <c r="W5" s="30">
        <v>3.8</v>
      </c>
      <c r="X5" s="31">
        <v>1.47</v>
      </c>
    </row>
    <row r="6" spans="1:24" ht="21" x14ac:dyDescent="0.2">
      <c r="A6" s="10" t="s">
        <v>178</v>
      </c>
      <c r="B6" s="10">
        <f>IF(B4=A1,3.7,IF(B4=A2,4.4,5.2))</f>
        <v>3.7</v>
      </c>
      <c r="C6" s="10" t="s">
        <v>144</v>
      </c>
      <c r="E6" s="10" t="s">
        <v>33</v>
      </c>
      <c r="F6" s="10">
        <f>B16/B17</f>
        <v>31.8</v>
      </c>
      <c r="G6" s="10" t="str">
        <f>IF(F6&lt;=165/B5,"Compact",IF(AND(F6&lt;=211/B5,F6&gt;165/B5),"Non-Compact"))</f>
        <v>Compact</v>
      </c>
      <c r="J6" s="12" t="s">
        <v>168</v>
      </c>
      <c r="L6" s="2"/>
      <c r="M6" s="2"/>
      <c r="P6" s="10" t="s">
        <v>32</v>
      </c>
      <c r="Q6" s="44"/>
      <c r="R6" s="30">
        <v>44.5</v>
      </c>
      <c r="S6" s="29">
        <v>4</v>
      </c>
      <c r="T6" s="31">
        <v>5.09</v>
      </c>
      <c r="U6" s="31">
        <v>4</v>
      </c>
      <c r="V6" s="30">
        <v>10.5</v>
      </c>
      <c r="W6" s="31">
        <v>4.74</v>
      </c>
      <c r="X6" s="31">
        <v>1.44</v>
      </c>
    </row>
    <row r="7" spans="1:24" ht="20.25" x14ac:dyDescent="0.2">
      <c r="J7" s="10" t="s">
        <v>173</v>
      </c>
      <c r="K7" s="10">
        <f>0.85*B14*B5</f>
        <v>49.368000000000002</v>
      </c>
      <c r="L7" s="2" t="s">
        <v>1</v>
      </c>
      <c r="M7" s="13" t="str">
        <f>IF(K7&gt;=B9,"Safe","Unsafe")</f>
        <v>Safe</v>
      </c>
      <c r="P7" s="10" t="s">
        <v>34</v>
      </c>
      <c r="Q7" s="44"/>
      <c r="R7" s="30">
        <v>44.5</v>
      </c>
      <c r="S7" s="29">
        <v>5</v>
      </c>
      <c r="T7" s="30">
        <v>6.2</v>
      </c>
      <c r="U7" s="31">
        <v>4.87</v>
      </c>
      <c r="V7" s="30">
        <v>12.3</v>
      </c>
      <c r="W7" s="31">
        <v>5.53</v>
      </c>
      <c r="X7" s="31">
        <v>1.41</v>
      </c>
    </row>
    <row r="8" spans="1:24" x14ac:dyDescent="0.2">
      <c r="A8" s="40" t="s">
        <v>175</v>
      </c>
      <c r="B8" s="40"/>
      <c r="C8" s="40"/>
      <c r="E8" s="23" t="s">
        <v>171</v>
      </c>
      <c r="L8" s="2"/>
      <c r="M8" s="2"/>
      <c r="P8" s="10" t="s">
        <v>36</v>
      </c>
      <c r="Q8" s="43">
        <v>60</v>
      </c>
      <c r="R8" s="29">
        <v>60</v>
      </c>
      <c r="S8" s="29">
        <v>3</v>
      </c>
      <c r="T8" s="31">
        <v>5.37</v>
      </c>
      <c r="U8" s="31">
        <v>4.22</v>
      </c>
      <c r="V8" s="30">
        <v>21.9</v>
      </c>
      <c r="W8" s="31">
        <v>7.29</v>
      </c>
      <c r="X8" s="31">
        <v>2.02</v>
      </c>
    </row>
    <row r="9" spans="1:24" x14ac:dyDescent="0.2">
      <c r="A9" s="10" t="s">
        <v>110</v>
      </c>
      <c r="B9" s="14">
        <v>5.5</v>
      </c>
      <c r="C9" s="10" t="s">
        <v>35</v>
      </c>
      <c r="E9" s="12" t="s">
        <v>23</v>
      </c>
      <c r="F9" s="12"/>
      <c r="J9" s="12" t="s">
        <v>169</v>
      </c>
      <c r="L9" s="2"/>
      <c r="M9" s="2"/>
      <c r="P9" s="10" t="s">
        <v>37</v>
      </c>
      <c r="Q9" s="43"/>
      <c r="R9" s="29">
        <v>60</v>
      </c>
      <c r="S9" s="29">
        <v>4</v>
      </c>
      <c r="T9" s="31">
        <v>7.04</v>
      </c>
      <c r="U9" s="31">
        <v>5.52</v>
      </c>
      <c r="V9" s="30">
        <v>27.7</v>
      </c>
      <c r="W9" s="31">
        <v>9.24</v>
      </c>
      <c r="X9" s="31">
        <v>1.99</v>
      </c>
    </row>
    <row r="10" spans="1:24" ht="20.25" x14ac:dyDescent="0.2">
      <c r="A10" s="10" t="s">
        <v>109</v>
      </c>
      <c r="B10" s="14">
        <v>943</v>
      </c>
      <c r="C10" s="10" t="s">
        <v>2</v>
      </c>
      <c r="E10" s="10" t="s">
        <v>179</v>
      </c>
      <c r="F10" s="14">
        <v>471.5</v>
      </c>
      <c r="G10" s="10" t="s">
        <v>2</v>
      </c>
      <c r="J10" s="10" t="s">
        <v>174</v>
      </c>
      <c r="K10" s="10">
        <f>0.7*B14*B6</f>
        <v>62.677999999999997</v>
      </c>
      <c r="L10" s="2" t="s">
        <v>1</v>
      </c>
      <c r="M10" s="1" t="str">
        <f>IF(K10&gt;=B9,"Safe","Unsafe")</f>
        <v>Safe</v>
      </c>
      <c r="P10" s="10" t="s">
        <v>38</v>
      </c>
      <c r="Q10" s="43"/>
      <c r="R10" s="29">
        <v>60</v>
      </c>
      <c r="S10" s="29">
        <v>5</v>
      </c>
      <c r="T10" s="31">
        <v>8.64</v>
      </c>
      <c r="U10" s="31">
        <v>6.78</v>
      </c>
      <c r="V10" s="30">
        <v>32.9</v>
      </c>
      <c r="W10" s="29">
        <v>11</v>
      </c>
      <c r="X10" s="31">
        <v>1.95</v>
      </c>
    </row>
    <row r="11" spans="1:24" ht="20.25" x14ac:dyDescent="0.2">
      <c r="E11" s="10" t="s">
        <v>180</v>
      </c>
      <c r="F11" s="14">
        <v>707.3</v>
      </c>
      <c r="G11" s="10" t="s">
        <v>2</v>
      </c>
      <c r="L11" s="2"/>
      <c r="M11" s="2"/>
      <c r="P11" s="10" t="s">
        <v>39</v>
      </c>
      <c r="Q11" s="43">
        <v>70</v>
      </c>
      <c r="R11" s="29">
        <v>70</v>
      </c>
      <c r="S11" s="29">
        <v>3</v>
      </c>
      <c r="T11" s="31">
        <v>6.31</v>
      </c>
      <c r="U11" s="31">
        <v>4.96</v>
      </c>
      <c r="V11" s="30">
        <v>35.5</v>
      </c>
      <c r="W11" s="30">
        <v>10.1</v>
      </c>
      <c r="X11" s="31">
        <v>2.37</v>
      </c>
    </row>
    <row r="12" spans="1:24" x14ac:dyDescent="0.2">
      <c r="A12" s="40" t="s">
        <v>186</v>
      </c>
      <c r="B12" s="40"/>
      <c r="C12" s="40"/>
      <c r="E12" s="10" t="s">
        <v>115</v>
      </c>
      <c r="F12" s="10">
        <f>(MAX(F11,F10))/B20</f>
        <v>129.77981651376146</v>
      </c>
      <c r="G12" s="10" t="s">
        <v>26</v>
      </c>
      <c r="H12" s="13" t="str">
        <f>IF(F12&lt;=200,"Safe","Unsafe")</f>
        <v>Safe</v>
      </c>
      <c r="J12" s="27" t="s">
        <v>170</v>
      </c>
      <c r="K12" s="2"/>
      <c r="L12" s="2"/>
      <c r="M12" s="2"/>
      <c r="P12" s="10" t="s">
        <v>40</v>
      </c>
      <c r="Q12" s="43"/>
      <c r="R12" s="29">
        <v>70</v>
      </c>
      <c r="S12" s="29">
        <v>4</v>
      </c>
      <c r="T12" s="31">
        <v>8.2899999999999991</v>
      </c>
      <c r="U12" s="31">
        <v>6.51</v>
      </c>
      <c r="V12" s="30">
        <v>45.3</v>
      </c>
      <c r="W12" s="29">
        <v>13</v>
      </c>
      <c r="X12" s="31">
        <v>2.34</v>
      </c>
    </row>
    <row r="13" spans="1:24" x14ac:dyDescent="0.2">
      <c r="A13" s="10" t="s">
        <v>104</v>
      </c>
      <c r="B13" s="34" t="s">
        <v>41</v>
      </c>
      <c r="C13" s="34"/>
      <c r="J13" s="2" t="s">
        <v>165</v>
      </c>
      <c r="K13" s="2">
        <f>B16</f>
        <v>159</v>
      </c>
      <c r="L13" s="2" t="s">
        <v>20</v>
      </c>
      <c r="M13" s="2"/>
      <c r="P13" s="10" t="s">
        <v>42</v>
      </c>
      <c r="Q13" s="43"/>
      <c r="R13" s="29">
        <v>70</v>
      </c>
      <c r="S13" s="29">
        <v>5</v>
      </c>
      <c r="T13" s="30">
        <v>10.199999999999999</v>
      </c>
      <c r="U13" s="31">
        <v>8.01</v>
      </c>
      <c r="V13" s="30">
        <v>54.2</v>
      </c>
      <c r="W13" s="30">
        <v>15.5</v>
      </c>
      <c r="X13" s="31">
        <v>2.31</v>
      </c>
    </row>
    <row r="14" spans="1:24" ht="21" x14ac:dyDescent="0.2">
      <c r="A14" s="10" t="s">
        <v>111</v>
      </c>
      <c r="B14" s="10">
        <f>VLOOKUP(B13,table2,5,FALSE)</f>
        <v>24.2</v>
      </c>
      <c r="C14" s="10" t="s">
        <v>162</v>
      </c>
      <c r="E14" s="12" t="s">
        <v>24</v>
      </c>
      <c r="F14" s="12"/>
      <c r="J14" s="2" t="s">
        <v>166</v>
      </c>
      <c r="K14" s="2">
        <f>B10/(0.1*K13)</f>
        <v>59.308176100628927</v>
      </c>
      <c r="L14" s="2" t="s">
        <v>26</v>
      </c>
      <c r="M14" s="1" t="str">
        <f>IF(K14&lt;=60, "Safe", "Unsafe"  )</f>
        <v>Safe</v>
      </c>
      <c r="P14" s="10" t="s">
        <v>43</v>
      </c>
      <c r="Q14" s="43"/>
      <c r="R14" s="29">
        <v>70</v>
      </c>
      <c r="S14" s="29">
        <v>6</v>
      </c>
      <c r="T14" s="31">
        <v>12.06</v>
      </c>
      <c r="U14" s="31">
        <v>9.4700000000000006</v>
      </c>
      <c r="V14" s="30">
        <v>62.3</v>
      </c>
      <c r="W14" s="30">
        <v>17.8</v>
      </c>
      <c r="X14" s="31">
        <v>2.27</v>
      </c>
    </row>
    <row r="15" spans="1:24" x14ac:dyDescent="0.2">
      <c r="A15" s="10" t="s">
        <v>112</v>
      </c>
      <c r="B15" s="10">
        <f>VLOOKUP(B13,table2,6,FALSE)</f>
        <v>19</v>
      </c>
      <c r="C15" s="10" t="s">
        <v>45</v>
      </c>
      <c r="E15" s="10" t="s">
        <v>116</v>
      </c>
      <c r="F15" s="10">
        <f>F12*SQRT(B5/((22/7)^2*2100))</f>
        <v>1.3959777249662579</v>
      </c>
      <c r="G15" s="10" t="s">
        <v>26</v>
      </c>
      <c r="P15" s="10" t="s">
        <v>46</v>
      </c>
      <c r="Q15" s="43">
        <v>76</v>
      </c>
      <c r="R15" s="29">
        <v>76</v>
      </c>
      <c r="S15" s="29">
        <v>3</v>
      </c>
      <c r="T15" s="31">
        <v>6.88</v>
      </c>
      <c r="U15" s="31">
        <v>5.4</v>
      </c>
      <c r="V15" s="30">
        <v>45.9</v>
      </c>
      <c r="W15" s="30">
        <v>12.1</v>
      </c>
      <c r="X15" s="31">
        <v>2.58</v>
      </c>
    </row>
    <row r="16" spans="1:24" ht="21" x14ac:dyDescent="0.2">
      <c r="A16" s="10" t="s">
        <v>113</v>
      </c>
      <c r="B16" s="10">
        <f>VLOOKUP(B13,table2,3,FALSE)</f>
        <v>159</v>
      </c>
      <c r="C16" s="10" t="s">
        <v>20</v>
      </c>
      <c r="E16" s="10" t="s">
        <v>155</v>
      </c>
      <c r="F16" s="10">
        <f>IF(F15&lt;=1.1,B5* ( 1-0.384* (F15)^2 ), 0.648* (B5/ (F15)^2))</f>
        <v>0.79804847238025223</v>
      </c>
      <c r="G16" s="10" t="s">
        <v>144</v>
      </c>
      <c r="P16" s="10" t="s">
        <v>48</v>
      </c>
      <c r="Q16" s="43"/>
      <c r="R16" s="29">
        <v>76</v>
      </c>
      <c r="S16" s="29">
        <v>4</v>
      </c>
      <c r="T16" s="31">
        <v>9.0500000000000007</v>
      </c>
      <c r="U16" s="31">
        <v>7.1</v>
      </c>
      <c r="V16" s="30">
        <v>58.5</v>
      </c>
      <c r="W16" s="30">
        <v>15.5</v>
      </c>
      <c r="X16" s="31">
        <v>2.5499999999999998</v>
      </c>
    </row>
    <row r="17" spans="1:24" ht="20.25" x14ac:dyDescent="0.2">
      <c r="A17" s="10" t="s">
        <v>114</v>
      </c>
      <c r="B17" s="10">
        <f>VLOOKUP(B13,table2,4,FALSE)</f>
        <v>5</v>
      </c>
      <c r="C17" s="10" t="s">
        <v>20</v>
      </c>
      <c r="E17" s="10" t="s">
        <v>157</v>
      </c>
      <c r="F17" s="10">
        <f>0.8*B14*F16</f>
        <v>15.450218425281683</v>
      </c>
      <c r="G17" s="10" t="s">
        <v>35</v>
      </c>
      <c r="H17" s="13" t="str">
        <f>IF(F17&gt;=B9,"Safe","Unsafe")</f>
        <v>Safe</v>
      </c>
      <c r="P17" s="10" t="s">
        <v>50</v>
      </c>
      <c r="Q17" s="43"/>
      <c r="R17" s="29">
        <v>76</v>
      </c>
      <c r="S17" s="29">
        <v>5</v>
      </c>
      <c r="T17" s="31">
        <v>11.15</v>
      </c>
      <c r="U17" s="31">
        <v>8.75</v>
      </c>
      <c r="V17" s="30">
        <v>70.599999999999994</v>
      </c>
      <c r="W17" s="30">
        <v>18.600000000000001</v>
      </c>
      <c r="X17" s="31">
        <v>2.52</v>
      </c>
    </row>
    <row r="18" spans="1:24" ht="21" x14ac:dyDescent="0.2">
      <c r="A18" s="10" t="s">
        <v>181</v>
      </c>
      <c r="B18" s="10">
        <f>VLOOKUP(B13,table2,7,FALSE)</f>
        <v>718</v>
      </c>
      <c r="C18" s="10" t="s">
        <v>182</v>
      </c>
      <c r="P18" s="10" t="s">
        <v>51</v>
      </c>
      <c r="Q18" s="43"/>
      <c r="R18" s="29">
        <v>76</v>
      </c>
      <c r="S18" s="29">
        <v>6</v>
      </c>
      <c r="T18" s="30">
        <v>13.2</v>
      </c>
      <c r="U18" s="30">
        <v>10.4</v>
      </c>
      <c r="V18" s="30">
        <v>81.400000000000006</v>
      </c>
      <c r="W18" s="30">
        <v>21.4</v>
      </c>
      <c r="X18" s="31">
        <v>2.48</v>
      </c>
    </row>
    <row r="19" spans="1:24" ht="21" x14ac:dyDescent="0.2">
      <c r="A19" s="10" t="s">
        <v>183</v>
      </c>
      <c r="B19" s="10">
        <f>VLOOKUP(B13,table2,8,FALSE)</f>
        <v>90.3</v>
      </c>
      <c r="C19" s="10" t="s">
        <v>184</v>
      </c>
      <c r="P19" s="10" t="s">
        <v>52</v>
      </c>
      <c r="Q19" s="43">
        <v>89</v>
      </c>
      <c r="R19" s="29">
        <v>89</v>
      </c>
      <c r="S19" s="29">
        <v>4</v>
      </c>
      <c r="T19" s="30">
        <v>10.7</v>
      </c>
      <c r="U19" s="31">
        <v>8.3800000000000008</v>
      </c>
      <c r="V19" s="30">
        <v>96.7</v>
      </c>
      <c r="W19" s="30">
        <v>21.7</v>
      </c>
      <c r="X19" s="31">
        <v>3.01</v>
      </c>
    </row>
    <row r="20" spans="1:24" ht="20.25" x14ac:dyDescent="0.2">
      <c r="A20" s="10" t="s">
        <v>185</v>
      </c>
      <c r="B20" s="10">
        <f>VLOOKUP(B13,table2,9,FALSE)</f>
        <v>5.45</v>
      </c>
      <c r="C20" s="10" t="s">
        <v>2</v>
      </c>
      <c r="P20" s="10" t="s">
        <v>53</v>
      </c>
      <c r="Q20" s="43"/>
      <c r="R20" s="29">
        <v>89</v>
      </c>
      <c r="S20" s="29">
        <v>5</v>
      </c>
      <c r="T20" s="30">
        <v>13.2</v>
      </c>
      <c r="U20" s="31">
        <v>10.4</v>
      </c>
      <c r="V20" s="29">
        <v>117</v>
      </c>
      <c r="W20" s="30">
        <v>26.2</v>
      </c>
      <c r="X20" s="31">
        <v>2.98</v>
      </c>
    </row>
    <row r="21" spans="1:24" x14ac:dyDescent="0.2">
      <c r="P21" s="10" t="s">
        <v>54</v>
      </c>
      <c r="Q21" s="43"/>
      <c r="R21" s="29">
        <v>89</v>
      </c>
      <c r="S21" s="29">
        <v>6</v>
      </c>
      <c r="T21" s="30">
        <v>15.6</v>
      </c>
      <c r="U21" s="31">
        <v>12.3</v>
      </c>
      <c r="V21" s="29">
        <v>135</v>
      </c>
      <c r="W21" s="30">
        <v>30.4</v>
      </c>
      <c r="X21" s="31">
        <v>2.94</v>
      </c>
    </row>
    <row r="22" spans="1:24" x14ac:dyDescent="0.2">
      <c r="P22" s="10" t="s">
        <v>55</v>
      </c>
      <c r="Q22" s="43"/>
      <c r="R22" s="29">
        <v>89</v>
      </c>
      <c r="S22" s="29">
        <v>7</v>
      </c>
      <c r="T22" s="29">
        <v>18</v>
      </c>
      <c r="U22" s="30">
        <v>14.2</v>
      </c>
      <c r="V22" s="29">
        <v>153</v>
      </c>
      <c r="W22" s="30">
        <v>34.299999999999997</v>
      </c>
      <c r="X22" s="31">
        <v>2.91</v>
      </c>
    </row>
    <row r="23" spans="1:24" x14ac:dyDescent="0.2">
      <c r="P23" s="10" t="s">
        <v>56</v>
      </c>
      <c r="Q23" s="43">
        <v>108</v>
      </c>
      <c r="R23" s="29">
        <v>108</v>
      </c>
      <c r="S23" s="29">
        <v>5</v>
      </c>
      <c r="T23" s="30">
        <v>16.2</v>
      </c>
      <c r="U23" s="31">
        <v>12.7</v>
      </c>
      <c r="V23" s="29">
        <v>215</v>
      </c>
      <c r="W23" s="30">
        <v>39.799999999999997</v>
      </c>
      <c r="X23" s="31">
        <v>3.65</v>
      </c>
    </row>
    <row r="24" spans="1:24" x14ac:dyDescent="0.2">
      <c r="P24" s="10" t="s">
        <v>57</v>
      </c>
      <c r="Q24" s="43"/>
      <c r="R24" s="29">
        <v>108</v>
      </c>
      <c r="S24" s="29">
        <v>6</v>
      </c>
      <c r="T24" s="30">
        <v>19.2</v>
      </c>
      <c r="U24" s="31">
        <v>15.1</v>
      </c>
      <c r="V24" s="29">
        <v>251</v>
      </c>
      <c r="W24" s="30">
        <v>46.5</v>
      </c>
      <c r="X24" s="31">
        <v>3.61</v>
      </c>
    </row>
    <row r="25" spans="1:24" x14ac:dyDescent="0.2">
      <c r="P25" s="10" t="s">
        <v>58</v>
      </c>
      <c r="Q25" s="43"/>
      <c r="R25" s="29">
        <v>108</v>
      </c>
      <c r="S25" s="29">
        <v>7</v>
      </c>
      <c r="T25" s="30">
        <v>22.2</v>
      </c>
      <c r="U25" s="31">
        <v>17.399999999999999</v>
      </c>
      <c r="V25" s="29">
        <v>285</v>
      </c>
      <c r="W25" s="30">
        <v>52.7</v>
      </c>
      <c r="X25" s="31">
        <v>3.58</v>
      </c>
    </row>
    <row r="26" spans="1:24" x14ac:dyDescent="0.2">
      <c r="P26" s="10" t="s">
        <v>59</v>
      </c>
      <c r="Q26" s="43"/>
      <c r="R26" s="29">
        <v>108</v>
      </c>
      <c r="S26" s="29">
        <v>8</v>
      </c>
      <c r="T26" s="30">
        <v>25.1</v>
      </c>
      <c r="U26" s="30">
        <v>19.7</v>
      </c>
      <c r="V26" s="29">
        <v>316</v>
      </c>
      <c r="W26" s="30">
        <v>58.6</v>
      </c>
      <c r="X26" s="31">
        <v>3.55</v>
      </c>
    </row>
    <row r="27" spans="1:24" x14ac:dyDescent="0.2">
      <c r="P27" s="10" t="s">
        <v>60</v>
      </c>
      <c r="Q27" s="43">
        <v>133</v>
      </c>
      <c r="R27" s="29">
        <v>133</v>
      </c>
      <c r="S27" s="29">
        <v>5</v>
      </c>
      <c r="T27" s="30">
        <v>20.100000000000001</v>
      </c>
      <c r="U27" s="31">
        <v>15.8</v>
      </c>
      <c r="V27" s="29">
        <v>412</v>
      </c>
      <c r="W27" s="29">
        <v>62</v>
      </c>
      <c r="X27" s="31">
        <v>4.53</v>
      </c>
    </row>
    <row r="28" spans="1:24" x14ac:dyDescent="0.2">
      <c r="P28" s="10" t="s">
        <v>61</v>
      </c>
      <c r="Q28" s="43"/>
      <c r="R28" s="29">
        <v>133</v>
      </c>
      <c r="S28" s="29">
        <v>6</v>
      </c>
      <c r="T28" s="30">
        <v>23.9</v>
      </c>
      <c r="U28" s="31">
        <v>18.8</v>
      </c>
      <c r="V28" s="29">
        <v>484</v>
      </c>
      <c r="W28" s="30">
        <v>72.7</v>
      </c>
      <c r="X28" s="30">
        <v>4.5</v>
      </c>
    </row>
    <row r="29" spans="1:24" x14ac:dyDescent="0.2">
      <c r="P29" s="10" t="s">
        <v>62</v>
      </c>
      <c r="Q29" s="43"/>
      <c r="R29" s="29">
        <v>133</v>
      </c>
      <c r="S29" s="29">
        <v>7</v>
      </c>
      <c r="T29" s="30">
        <v>27.7</v>
      </c>
      <c r="U29" s="31">
        <v>21.8</v>
      </c>
      <c r="V29" s="29">
        <v>552</v>
      </c>
      <c r="W29" s="30">
        <v>82.9</v>
      </c>
      <c r="X29" s="31">
        <v>4.46</v>
      </c>
    </row>
    <row r="30" spans="1:24" x14ac:dyDescent="0.2">
      <c r="P30" s="10" t="s">
        <v>63</v>
      </c>
      <c r="Q30" s="43"/>
      <c r="R30" s="29">
        <v>133</v>
      </c>
      <c r="S30" s="29">
        <v>8</v>
      </c>
      <c r="T30" s="30">
        <v>31.4</v>
      </c>
      <c r="U30" s="30">
        <v>24.7</v>
      </c>
      <c r="V30" s="29">
        <v>616</v>
      </c>
      <c r="W30" s="30">
        <v>92.6</v>
      </c>
      <c r="X30" s="31">
        <v>4.43</v>
      </c>
    </row>
    <row r="31" spans="1:24" x14ac:dyDescent="0.2">
      <c r="P31" s="10" t="s">
        <v>41</v>
      </c>
      <c r="Q31" s="43">
        <v>159</v>
      </c>
      <c r="R31" s="29">
        <v>159</v>
      </c>
      <c r="S31" s="29">
        <v>5</v>
      </c>
      <c r="T31" s="30">
        <v>24.2</v>
      </c>
      <c r="U31" s="31">
        <v>19</v>
      </c>
      <c r="V31" s="29">
        <v>718</v>
      </c>
      <c r="W31" s="30">
        <v>90.3</v>
      </c>
      <c r="X31" s="31">
        <v>5.45</v>
      </c>
    </row>
    <row r="32" spans="1:24" x14ac:dyDescent="0.2">
      <c r="P32" s="10" t="s">
        <v>64</v>
      </c>
      <c r="Q32" s="43"/>
      <c r="R32" s="29">
        <v>159</v>
      </c>
      <c r="S32" s="29">
        <v>6</v>
      </c>
      <c r="T32" s="30">
        <v>28.8</v>
      </c>
      <c r="U32" s="31">
        <v>22.6</v>
      </c>
      <c r="V32" s="29">
        <v>845</v>
      </c>
      <c r="W32" s="29">
        <v>106</v>
      </c>
      <c r="X32" s="31">
        <v>5.41</v>
      </c>
    </row>
    <row r="33" spans="16:24" x14ac:dyDescent="0.2">
      <c r="P33" s="10" t="s">
        <v>65</v>
      </c>
      <c r="Q33" s="43"/>
      <c r="R33" s="29">
        <v>159</v>
      </c>
      <c r="S33" s="29">
        <v>7</v>
      </c>
      <c r="T33" s="30">
        <v>33.4</v>
      </c>
      <c r="U33" s="31">
        <v>26.2</v>
      </c>
      <c r="V33" s="29">
        <v>967</v>
      </c>
      <c r="W33" s="29">
        <v>122</v>
      </c>
      <c r="X33" s="31">
        <v>5.38</v>
      </c>
    </row>
    <row r="34" spans="16:24" x14ac:dyDescent="0.2">
      <c r="P34" s="10" t="s">
        <v>66</v>
      </c>
      <c r="Q34" s="43"/>
      <c r="R34" s="29">
        <v>159</v>
      </c>
      <c r="S34" s="29">
        <v>8</v>
      </c>
      <c r="T34" s="29">
        <v>38</v>
      </c>
      <c r="U34" s="31">
        <v>29.8</v>
      </c>
      <c r="V34" s="29">
        <v>1080</v>
      </c>
      <c r="W34" s="29">
        <v>136</v>
      </c>
      <c r="X34" s="31">
        <v>5.35</v>
      </c>
    </row>
    <row r="35" spans="16:24" x14ac:dyDescent="0.2">
      <c r="P35" s="10" t="s">
        <v>67</v>
      </c>
      <c r="Q35" s="43"/>
      <c r="R35" s="29">
        <v>159</v>
      </c>
      <c r="S35" s="29">
        <v>10</v>
      </c>
      <c r="T35" s="30">
        <v>46.8</v>
      </c>
      <c r="U35" s="31">
        <v>36.700000000000003</v>
      </c>
      <c r="V35" s="29">
        <v>1300</v>
      </c>
      <c r="W35" s="29">
        <v>164</v>
      </c>
      <c r="X35" s="31">
        <v>5.28</v>
      </c>
    </row>
    <row r="36" spans="16:24" x14ac:dyDescent="0.2">
      <c r="P36" s="10" t="s">
        <v>68</v>
      </c>
      <c r="Q36" s="43">
        <v>194</v>
      </c>
      <c r="R36" s="29">
        <v>194</v>
      </c>
      <c r="S36" s="29">
        <v>6</v>
      </c>
      <c r="T36" s="30">
        <v>35.4</v>
      </c>
      <c r="U36" s="30">
        <v>27.8</v>
      </c>
      <c r="V36" s="29">
        <v>1570</v>
      </c>
      <c r="W36" s="29">
        <v>162</v>
      </c>
      <c r="X36" s="31">
        <v>6.65</v>
      </c>
    </row>
    <row r="37" spans="16:24" x14ac:dyDescent="0.2">
      <c r="P37" s="10" t="s">
        <v>69</v>
      </c>
      <c r="Q37" s="43"/>
      <c r="R37" s="29">
        <v>194</v>
      </c>
      <c r="S37" s="29">
        <v>7</v>
      </c>
      <c r="T37" s="30">
        <v>41.1</v>
      </c>
      <c r="U37" s="30">
        <v>32.299999999999997</v>
      </c>
      <c r="V37" s="29">
        <v>1800</v>
      </c>
      <c r="W37" s="29">
        <v>186</v>
      </c>
      <c r="X37" s="31">
        <v>6.62</v>
      </c>
    </row>
    <row r="38" spans="16:24" x14ac:dyDescent="0.2">
      <c r="P38" s="10" t="s">
        <v>70</v>
      </c>
      <c r="Q38" s="43"/>
      <c r="R38" s="29">
        <v>194</v>
      </c>
      <c r="S38" s="29">
        <v>8</v>
      </c>
      <c r="T38" s="30">
        <v>46.7</v>
      </c>
      <c r="U38" s="30">
        <v>36.700000000000003</v>
      </c>
      <c r="V38" s="29">
        <v>2030</v>
      </c>
      <c r="W38" s="29">
        <v>209</v>
      </c>
      <c r="X38" s="31">
        <v>6.59</v>
      </c>
    </row>
    <row r="39" spans="16:24" x14ac:dyDescent="0.2">
      <c r="P39" s="10" t="s">
        <v>71</v>
      </c>
      <c r="Q39" s="43"/>
      <c r="R39" s="29">
        <v>194</v>
      </c>
      <c r="S39" s="29">
        <v>10</v>
      </c>
      <c r="T39" s="30">
        <v>57.8</v>
      </c>
      <c r="U39" s="30">
        <v>45.4</v>
      </c>
      <c r="V39" s="29">
        <v>2440</v>
      </c>
      <c r="W39" s="29">
        <v>253</v>
      </c>
      <c r="X39" s="31">
        <v>6.53</v>
      </c>
    </row>
    <row r="40" spans="16:24" x14ac:dyDescent="0.2">
      <c r="P40" s="10" t="s">
        <v>72</v>
      </c>
      <c r="Q40" s="43">
        <v>219</v>
      </c>
      <c r="R40" s="29">
        <v>219</v>
      </c>
      <c r="S40" s="29">
        <v>6</v>
      </c>
      <c r="T40" s="30">
        <v>40.200000000000003</v>
      </c>
      <c r="U40" s="30">
        <v>31.6</v>
      </c>
      <c r="V40" s="29">
        <v>2280</v>
      </c>
      <c r="W40" s="29">
        <v>208</v>
      </c>
      <c r="X40" s="31">
        <v>7.53</v>
      </c>
    </row>
    <row r="41" spans="16:24" x14ac:dyDescent="0.2">
      <c r="P41" s="10" t="s">
        <v>73</v>
      </c>
      <c r="Q41" s="43"/>
      <c r="R41" s="29">
        <v>219</v>
      </c>
      <c r="S41" s="29">
        <v>7</v>
      </c>
      <c r="T41" s="30">
        <v>46.6</v>
      </c>
      <c r="U41" s="30">
        <v>36.6</v>
      </c>
      <c r="V41" s="29">
        <v>2620</v>
      </c>
      <c r="W41" s="29">
        <v>240</v>
      </c>
      <c r="X41" s="30">
        <v>7.5</v>
      </c>
    </row>
    <row r="42" spans="16:24" x14ac:dyDescent="0.2">
      <c r="P42" s="10" t="s">
        <v>74</v>
      </c>
      <c r="Q42" s="43"/>
      <c r="R42" s="29">
        <v>219</v>
      </c>
      <c r="S42" s="29">
        <v>8</v>
      </c>
      <c r="T42" s="29">
        <v>53</v>
      </c>
      <c r="U42" s="30">
        <v>41.6</v>
      </c>
      <c r="V42" s="29">
        <v>2960</v>
      </c>
      <c r="W42" s="29">
        <v>270</v>
      </c>
      <c r="X42" s="31">
        <v>7.46</v>
      </c>
    </row>
    <row r="43" spans="16:24" x14ac:dyDescent="0.2">
      <c r="P43" s="10" t="s">
        <v>75</v>
      </c>
      <c r="Q43" s="43"/>
      <c r="R43" s="29">
        <v>219</v>
      </c>
      <c r="S43" s="29">
        <v>10</v>
      </c>
      <c r="T43" s="30">
        <v>65.7</v>
      </c>
      <c r="U43" s="30">
        <v>51.6</v>
      </c>
      <c r="V43" s="29">
        <v>3590</v>
      </c>
      <c r="W43" s="29">
        <v>328</v>
      </c>
      <c r="X43" s="30">
        <v>7.4</v>
      </c>
    </row>
    <row r="44" spans="16:24" x14ac:dyDescent="0.2">
      <c r="P44" s="10" t="s">
        <v>76</v>
      </c>
      <c r="Q44" s="43"/>
      <c r="R44" s="29">
        <v>219</v>
      </c>
      <c r="S44" s="29">
        <v>12</v>
      </c>
      <c r="T44" s="29">
        <v>78</v>
      </c>
      <c r="U44" s="30">
        <v>61.2</v>
      </c>
      <c r="V44" s="29">
        <v>4190</v>
      </c>
      <c r="W44" s="29">
        <v>383</v>
      </c>
      <c r="X44" s="31">
        <v>7.32</v>
      </c>
    </row>
    <row r="45" spans="16:24" x14ac:dyDescent="0.2">
      <c r="P45" s="10" t="s">
        <v>77</v>
      </c>
      <c r="Q45" s="43">
        <v>245</v>
      </c>
      <c r="R45" s="29">
        <v>245</v>
      </c>
      <c r="S45" s="29">
        <v>7</v>
      </c>
      <c r="T45" s="30">
        <v>52.3</v>
      </c>
      <c r="U45" s="30">
        <v>41.1</v>
      </c>
      <c r="V45" s="29">
        <v>3710</v>
      </c>
      <c r="W45" s="29">
        <v>303</v>
      </c>
      <c r="X45" s="31">
        <v>8.42</v>
      </c>
    </row>
    <row r="46" spans="16:24" x14ac:dyDescent="0.2">
      <c r="P46" s="10" t="s">
        <v>78</v>
      </c>
      <c r="Q46" s="43"/>
      <c r="R46" s="29">
        <v>245</v>
      </c>
      <c r="S46" s="29">
        <v>8</v>
      </c>
      <c r="T46" s="30">
        <v>59.6</v>
      </c>
      <c r="U46" s="30">
        <v>46.8</v>
      </c>
      <c r="V46" s="29">
        <v>4190</v>
      </c>
      <c r="W46" s="29">
        <v>342</v>
      </c>
      <c r="X46" s="31">
        <v>8.3699999999999992</v>
      </c>
    </row>
    <row r="47" spans="16:24" x14ac:dyDescent="0.2">
      <c r="P47" s="10" t="s">
        <v>79</v>
      </c>
      <c r="Q47" s="43"/>
      <c r="R47" s="29">
        <v>245</v>
      </c>
      <c r="S47" s="29">
        <v>10</v>
      </c>
      <c r="T47" s="30">
        <v>73.8</v>
      </c>
      <c r="U47" s="30">
        <v>57.9</v>
      </c>
      <c r="V47" s="29">
        <v>5110</v>
      </c>
      <c r="W47" s="29">
        <v>417</v>
      </c>
      <c r="X47" s="31">
        <v>8.32</v>
      </c>
    </row>
    <row r="48" spans="16:24" x14ac:dyDescent="0.2">
      <c r="P48" s="10" t="s">
        <v>80</v>
      </c>
      <c r="Q48" s="43"/>
      <c r="R48" s="29">
        <v>245</v>
      </c>
      <c r="S48" s="29">
        <v>12</v>
      </c>
      <c r="T48" s="30">
        <v>87.8</v>
      </c>
      <c r="U48" s="30">
        <v>68.900000000000006</v>
      </c>
      <c r="V48" s="29">
        <v>5980</v>
      </c>
      <c r="W48" s="29">
        <v>488</v>
      </c>
      <c r="X48" s="31">
        <v>8.25</v>
      </c>
    </row>
    <row r="49" spans="16:24" x14ac:dyDescent="0.2">
      <c r="P49" s="10" t="s">
        <v>81</v>
      </c>
      <c r="Q49" s="43"/>
      <c r="R49" s="29">
        <v>245</v>
      </c>
      <c r="S49" s="29">
        <v>14</v>
      </c>
      <c r="T49" s="29">
        <v>102</v>
      </c>
      <c r="U49" s="30">
        <v>80.099999999999994</v>
      </c>
      <c r="V49" s="29">
        <v>6800</v>
      </c>
      <c r="W49" s="29">
        <v>555</v>
      </c>
      <c r="X49" s="31">
        <v>8.17</v>
      </c>
    </row>
    <row r="50" spans="16:24" x14ac:dyDescent="0.2">
      <c r="P50" s="10" t="s">
        <v>82</v>
      </c>
      <c r="Q50" s="43">
        <v>273</v>
      </c>
      <c r="R50" s="29">
        <v>273</v>
      </c>
      <c r="S50" s="29">
        <v>7</v>
      </c>
      <c r="T50" s="30">
        <v>58.5</v>
      </c>
      <c r="U50" s="30">
        <v>45.9</v>
      </c>
      <c r="V50" s="29">
        <v>5180</v>
      </c>
      <c r="W50" s="29">
        <v>379</v>
      </c>
      <c r="X50" s="30">
        <v>9.4</v>
      </c>
    </row>
    <row r="51" spans="16:24" x14ac:dyDescent="0.2">
      <c r="P51" s="10" t="s">
        <v>83</v>
      </c>
      <c r="Q51" s="43"/>
      <c r="R51" s="29">
        <v>273</v>
      </c>
      <c r="S51" s="29">
        <v>8</v>
      </c>
      <c r="T51" s="30">
        <v>66.599999999999994</v>
      </c>
      <c r="U51" s="30">
        <v>52.3</v>
      </c>
      <c r="V51" s="29">
        <v>5850</v>
      </c>
      <c r="W51" s="29">
        <v>429</v>
      </c>
      <c r="X51" s="31">
        <v>9.3699999999999992</v>
      </c>
    </row>
    <row r="52" spans="16:24" x14ac:dyDescent="0.2">
      <c r="P52" s="10" t="s">
        <v>84</v>
      </c>
      <c r="Q52" s="43"/>
      <c r="R52" s="29">
        <v>273</v>
      </c>
      <c r="S52" s="29">
        <v>10</v>
      </c>
      <c r="T52" s="30">
        <v>82.6</v>
      </c>
      <c r="U52" s="30">
        <v>64.8</v>
      </c>
      <c r="V52" s="29">
        <v>7150</v>
      </c>
      <c r="W52" s="29">
        <v>524</v>
      </c>
      <c r="X52" s="30">
        <v>9.3000000000000007</v>
      </c>
    </row>
    <row r="53" spans="16:24" x14ac:dyDescent="0.2">
      <c r="P53" s="10" t="s">
        <v>85</v>
      </c>
      <c r="Q53" s="43"/>
      <c r="R53" s="29">
        <v>273</v>
      </c>
      <c r="S53" s="29">
        <v>12</v>
      </c>
      <c r="T53" s="30">
        <v>98.4</v>
      </c>
      <c r="U53" s="30">
        <v>77.2</v>
      </c>
      <c r="V53" s="29">
        <v>8400</v>
      </c>
      <c r="W53" s="29">
        <v>615</v>
      </c>
      <c r="X53" s="31">
        <v>9.24</v>
      </c>
    </row>
    <row r="54" spans="16:24" x14ac:dyDescent="0.2">
      <c r="P54" s="10" t="s">
        <v>86</v>
      </c>
      <c r="Q54" s="43"/>
      <c r="R54" s="29">
        <v>273</v>
      </c>
      <c r="S54" s="29">
        <v>14</v>
      </c>
      <c r="T54" s="29">
        <v>114</v>
      </c>
      <c r="U54" s="30">
        <v>89.5</v>
      </c>
      <c r="V54" s="29">
        <v>9580</v>
      </c>
      <c r="W54" s="29">
        <v>702</v>
      </c>
      <c r="X54" s="31">
        <v>9.17</v>
      </c>
    </row>
    <row r="55" spans="16:24" x14ac:dyDescent="0.2">
      <c r="P55" s="10" t="s">
        <v>87</v>
      </c>
      <c r="Q55" s="43">
        <v>325</v>
      </c>
      <c r="R55" s="29">
        <v>325</v>
      </c>
      <c r="S55" s="29">
        <v>8</v>
      </c>
      <c r="T55" s="30">
        <v>79.7</v>
      </c>
      <c r="U55" s="30">
        <v>62.6</v>
      </c>
      <c r="V55" s="29">
        <v>10010</v>
      </c>
      <c r="W55" s="29">
        <v>616</v>
      </c>
      <c r="X55" s="30">
        <v>11.2</v>
      </c>
    </row>
    <row r="56" spans="16:24" x14ac:dyDescent="0.2">
      <c r="P56" s="10" t="s">
        <v>88</v>
      </c>
      <c r="Q56" s="43"/>
      <c r="R56" s="29">
        <v>325</v>
      </c>
      <c r="S56" s="29">
        <v>10</v>
      </c>
      <c r="T56" s="29">
        <v>99</v>
      </c>
      <c r="U56" s="30">
        <v>77.7</v>
      </c>
      <c r="V56" s="29">
        <v>12290</v>
      </c>
      <c r="W56" s="29">
        <v>756</v>
      </c>
      <c r="X56" s="30">
        <v>11.1</v>
      </c>
    </row>
    <row r="57" spans="16:24" x14ac:dyDescent="0.2">
      <c r="P57" s="10" t="s">
        <v>89</v>
      </c>
      <c r="Q57" s="43"/>
      <c r="R57" s="29">
        <v>325</v>
      </c>
      <c r="S57" s="29">
        <v>12</v>
      </c>
      <c r="T57" s="29">
        <v>118</v>
      </c>
      <c r="U57" s="30">
        <v>92.6</v>
      </c>
      <c r="V57" s="29">
        <v>14470</v>
      </c>
      <c r="W57" s="29">
        <v>891</v>
      </c>
      <c r="X57" s="30">
        <v>11.1</v>
      </c>
    </row>
    <row r="58" spans="16:24" x14ac:dyDescent="0.2">
      <c r="P58" s="10" t="s">
        <v>90</v>
      </c>
      <c r="Q58" s="43"/>
      <c r="R58" s="29">
        <v>325</v>
      </c>
      <c r="S58" s="29">
        <v>14</v>
      </c>
      <c r="T58" s="29">
        <v>137</v>
      </c>
      <c r="U58" s="30">
        <v>107.5</v>
      </c>
      <c r="V58" s="29">
        <v>16570</v>
      </c>
      <c r="W58" s="29">
        <v>1020</v>
      </c>
      <c r="X58" s="29">
        <v>11</v>
      </c>
    </row>
    <row r="59" spans="16:24" x14ac:dyDescent="0.2">
      <c r="P59" s="10" t="s">
        <v>91</v>
      </c>
      <c r="Q59" s="43"/>
      <c r="R59" s="29">
        <v>325</v>
      </c>
      <c r="S59" s="29">
        <v>16</v>
      </c>
      <c r="T59" s="29">
        <v>155</v>
      </c>
      <c r="U59" s="30">
        <v>121.7</v>
      </c>
      <c r="V59" s="29">
        <v>18590</v>
      </c>
      <c r="W59" s="29">
        <v>1140</v>
      </c>
      <c r="X59" s="30">
        <v>10.9</v>
      </c>
    </row>
    <row r="60" spans="16:24" x14ac:dyDescent="0.2">
      <c r="P60" s="10" t="s">
        <v>92</v>
      </c>
      <c r="Q60" s="43">
        <v>368</v>
      </c>
      <c r="R60" s="29">
        <v>368</v>
      </c>
      <c r="S60" s="29">
        <v>8</v>
      </c>
      <c r="T60" s="30">
        <v>90.5</v>
      </c>
      <c r="U60" s="30">
        <v>71</v>
      </c>
      <c r="V60" s="29">
        <v>14660</v>
      </c>
      <c r="W60" s="29">
        <v>797</v>
      </c>
      <c r="X60" s="30">
        <v>12.7</v>
      </c>
    </row>
    <row r="61" spans="16:24" x14ac:dyDescent="0.2">
      <c r="P61" s="10" t="s">
        <v>93</v>
      </c>
      <c r="Q61" s="43"/>
      <c r="R61" s="29">
        <v>368</v>
      </c>
      <c r="S61" s="29">
        <v>10</v>
      </c>
      <c r="T61" s="29">
        <v>112</v>
      </c>
      <c r="U61" s="30">
        <v>87.9</v>
      </c>
      <c r="V61" s="29">
        <v>18030</v>
      </c>
      <c r="W61" s="29">
        <v>980</v>
      </c>
      <c r="X61" s="30">
        <v>12.7</v>
      </c>
    </row>
    <row r="62" spans="16:24" x14ac:dyDescent="0.2">
      <c r="P62" s="10" t="s">
        <v>94</v>
      </c>
      <c r="Q62" s="43"/>
      <c r="R62" s="29">
        <v>368</v>
      </c>
      <c r="S62" s="29">
        <v>12</v>
      </c>
      <c r="T62" s="29">
        <v>134</v>
      </c>
      <c r="U62" s="30">
        <v>105.2</v>
      </c>
      <c r="V62" s="29">
        <v>21290</v>
      </c>
      <c r="W62" s="29">
        <v>1160</v>
      </c>
      <c r="X62" s="30">
        <v>12.6</v>
      </c>
    </row>
    <row r="63" spans="16:24" x14ac:dyDescent="0.2">
      <c r="P63" s="10" t="s">
        <v>95</v>
      </c>
      <c r="Q63" s="43"/>
      <c r="R63" s="29">
        <v>368</v>
      </c>
      <c r="S63" s="29">
        <v>14</v>
      </c>
      <c r="T63" s="29">
        <v>156</v>
      </c>
      <c r="U63" s="30">
        <v>122.5</v>
      </c>
      <c r="V63" s="29">
        <v>24430</v>
      </c>
      <c r="W63" s="29">
        <v>1330</v>
      </c>
      <c r="X63" s="30">
        <v>12.5</v>
      </c>
    </row>
    <row r="64" spans="16:24" x14ac:dyDescent="0.2">
      <c r="P64" s="10" t="s">
        <v>96</v>
      </c>
      <c r="Q64" s="43"/>
      <c r="R64" s="29">
        <v>368</v>
      </c>
      <c r="S64" s="29">
        <v>16</v>
      </c>
      <c r="T64" s="29">
        <v>177</v>
      </c>
      <c r="U64" s="30">
        <v>138.9</v>
      </c>
      <c r="V64" s="29">
        <v>27460</v>
      </c>
      <c r="W64" s="29">
        <v>1490</v>
      </c>
      <c r="X64" s="30">
        <v>12.5</v>
      </c>
    </row>
    <row r="65" spans="16:24" x14ac:dyDescent="0.2">
      <c r="P65" s="10" t="s">
        <v>97</v>
      </c>
      <c r="Q65" s="43"/>
      <c r="R65" s="29">
        <v>368</v>
      </c>
      <c r="S65" s="29">
        <v>20</v>
      </c>
      <c r="T65" s="29">
        <v>219</v>
      </c>
      <c r="U65" s="30">
        <v>171.9</v>
      </c>
      <c r="V65" s="29">
        <v>33210</v>
      </c>
      <c r="W65" s="29">
        <v>1800</v>
      </c>
      <c r="X65" s="30">
        <v>12.3</v>
      </c>
    </row>
    <row r="66" spans="16:24" x14ac:dyDescent="0.2">
      <c r="P66" s="10" t="s">
        <v>98</v>
      </c>
      <c r="Q66" s="43">
        <v>419</v>
      </c>
      <c r="R66" s="29">
        <v>419</v>
      </c>
      <c r="S66" s="29">
        <v>10</v>
      </c>
      <c r="T66" s="29">
        <v>128</v>
      </c>
      <c r="U66" s="30">
        <v>100.5</v>
      </c>
      <c r="V66" s="29">
        <v>26880</v>
      </c>
      <c r="W66" s="29">
        <v>1283</v>
      </c>
      <c r="X66" s="30">
        <v>14.5</v>
      </c>
    </row>
    <row r="67" spans="16:24" x14ac:dyDescent="0.2">
      <c r="P67" s="10" t="s">
        <v>99</v>
      </c>
      <c r="Q67" s="43"/>
      <c r="R67" s="29">
        <v>419</v>
      </c>
      <c r="S67" s="29">
        <v>12</v>
      </c>
      <c r="T67" s="29">
        <v>153</v>
      </c>
      <c r="U67" s="30">
        <v>120.1</v>
      </c>
      <c r="V67" s="29">
        <v>31800</v>
      </c>
      <c r="W67" s="29">
        <v>1518</v>
      </c>
      <c r="X67" s="30">
        <v>14.4</v>
      </c>
    </row>
    <row r="68" spans="16:24" x14ac:dyDescent="0.2">
      <c r="P68" s="10" t="s">
        <v>100</v>
      </c>
      <c r="Q68" s="43"/>
      <c r="R68" s="29">
        <v>419</v>
      </c>
      <c r="S68" s="29">
        <v>16</v>
      </c>
      <c r="T68" s="29">
        <v>203</v>
      </c>
      <c r="U68" s="30">
        <v>159.4</v>
      </c>
      <c r="V68" s="29">
        <v>41190</v>
      </c>
      <c r="W68" s="29">
        <v>1970</v>
      </c>
      <c r="X68" s="30">
        <v>14.3</v>
      </c>
    </row>
    <row r="69" spans="16:24" x14ac:dyDescent="0.2">
      <c r="P69" s="10" t="s">
        <v>101</v>
      </c>
      <c r="Q69" s="43"/>
      <c r="R69" s="29">
        <v>419</v>
      </c>
      <c r="S69" s="29">
        <v>20</v>
      </c>
      <c r="T69" s="29">
        <v>251</v>
      </c>
      <c r="U69" s="30">
        <v>197</v>
      </c>
      <c r="V69" s="29">
        <v>50020</v>
      </c>
      <c r="W69" s="29">
        <v>2390</v>
      </c>
      <c r="X69" s="30">
        <v>14.1</v>
      </c>
    </row>
    <row r="70" spans="16:24" x14ac:dyDescent="0.2">
      <c r="P70" s="10" t="s">
        <v>102</v>
      </c>
      <c r="Q70" s="43">
        <v>529</v>
      </c>
      <c r="R70" s="29">
        <v>529</v>
      </c>
      <c r="S70" s="29">
        <v>9</v>
      </c>
      <c r="T70" s="29">
        <v>147</v>
      </c>
      <c r="U70" s="30">
        <v>115.4</v>
      </c>
      <c r="V70" s="29">
        <v>49710</v>
      </c>
      <c r="W70" s="29">
        <v>1879</v>
      </c>
      <c r="X70" s="30">
        <v>18.399999999999999</v>
      </c>
    </row>
    <row r="71" spans="16:24" x14ac:dyDescent="0.2">
      <c r="P71" s="10" t="s">
        <v>103</v>
      </c>
      <c r="Q71" s="43"/>
      <c r="R71" s="29">
        <v>529</v>
      </c>
      <c r="S71" s="29">
        <v>10</v>
      </c>
      <c r="T71" s="29">
        <v>163</v>
      </c>
      <c r="U71" s="30">
        <v>128</v>
      </c>
      <c r="V71" s="29">
        <v>54920</v>
      </c>
      <c r="W71" s="29">
        <v>2077</v>
      </c>
      <c r="X71" s="30">
        <v>18.399999999999999</v>
      </c>
    </row>
  </sheetData>
  <mergeCells count="23">
    <mergeCell ref="Q60:Q65"/>
    <mergeCell ref="Q66:Q69"/>
    <mergeCell ref="Q70:Q71"/>
    <mergeCell ref="Q31:Q35"/>
    <mergeCell ref="Q36:Q39"/>
    <mergeCell ref="Q40:Q44"/>
    <mergeCell ref="Q45:Q49"/>
    <mergeCell ref="Q50:Q54"/>
    <mergeCell ref="Q55:Q59"/>
    <mergeCell ref="Q15:Q18"/>
    <mergeCell ref="Q11:Q14"/>
    <mergeCell ref="Q19:Q22"/>
    <mergeCell ref="Q23:Q26"/>
    <mergeCell ref="Q27:Q30"/>
    <mergeCell ref="B4:C4"/>
    <mergeCell ref="B13:C13"/>
    <mergeCell ref="P1:P2"/>
    <mergeCell ref="V1:X1"/>
    <mergeCell ref="Q3:Q4"/>
    <mergeCell ref="Q5:Q7"/>
    <mergeCell ref="Q8:Q10"/>
    <mergeCell ref="A8:C8"/>
    <mergeCell ref="A12:C12"/>
  </mergeCells>
  <conditionalFormatting sqref="H12">
    <cfRule type="cellIs" dxfId="11" priority="13" operator="equal">
      <formula>"unsafe"</formula>
    </cfRule>
    <cfRule type="cellIs" dxfId="10" priority="14" operator="equal">
      <formula>"safe"</formula>
    </cfRule>
  </conditionalFormatting>
  <conditionalFormatting sqref="H17">
    <cfRule type="cellIs" dxfId="9" priority="11" operator="equal">
      <formula>"unsafe"</formula>
    </cfRule>
    <cfRule type="cellIs" dxfId="8" priority="12" operator="equal">
      <formula>"safe"</formula>
    </cfRule>
  </conditionalFormatting>
  <conditionalFormatting sqref="J10 J7:K9">
    <cfRule type="cellIs" dxfId="7" priority="10" operator="equal">
      <formula>"Safe"</formula>
    </cfRule>
  </conditionalFormatting>
  <conditionalFormatting sqref="J10 J7:K9">
    <cfRule type="cellIs" dxfId="6" priority="9" operator="equal">
      <formula>"Unsafe"</formula>
    </cfRule>
  </conditionalFormatting>
  <conditionalFormatting sqref="M14">
    <cfRule type="cellIs" dxfId="5" priority="8" operator="equal">
      <formula>"Unsafe"</formula>
    </cfRule>
  </conditionalFormatting>
  <conditionalFormatting sqref="M14">
    <cfRule type="cellIs" dxfId="4" priority="7" operator="equal">
      <formula>"Safe"</formula>
    </cfRule>
  </conditionalFormatting>
  <conditionalFormatting sqref="M10">
    <cfRule type="cellIs" dxfId="3" priority="4" operator="equal">
      <formula>"Unsafe"</formula>
    </cfRule>
  </conditionalFormatting>
  <conditionalFormatting sqref="M10">
    <cfRule type="cellIs" dxfId="2" priority="3" operator="equal">
      <formula>"Safe"</formula>
    </cfRule>
  </conditionalFormatting>
  <conditionalFormatting sqref="M7">
    <cfRule type="cellIs" dxfId="1" priority="1" operator="equal">
      <formula>"unsafe"</formula>
    </cfRule>
    <cfRule type="cellIs" dxfId="0" priority="2" operator="equal">
      <formula>"safe"</formula>
    </cfRule>
  </conditionalFormatting>
  <dataValidations count="2">
    <dataValidation type="list" allowBlank="1" showInputMessage="1" showErrorMessage="1" sqref="B13" xr:uid="{F7A528FC-2D62-447C-B82A-BEE8BF06EC90}">
      <formula1>$P$3:$P$71</formula1>
    </dataValidation>
    <dataValidation type="list" allowBlank="1" showInputMessage="1" showErrorMessage="1" sqref="B4" xr:uid="{0114733B-8CF2-4AE1-887E-35670E650CE1}">
      <formula1>$A$1:$A$3</formula1>
    </dataValidation>
  </dataValidations>
  <pageMargins left="0.7" right="0.7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Angles</vt:lpstr>
      <vt:lpstr>Pipes</vt:lpstr>
      <vt:lpstr>omar</vt:lpstr>
      <vt:lpstr>omar22</vt:lpstr>
      <vt:lpstr>Angles!Print_Area</vt:lpstr>
      <vt:lpstr>Pipes!Print_Area</vt:lpstr>
      <vt:lpstr>table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Uranus</dc:creator>
  <cp:lastModifiedBy>Windows User</cp:lastModifiedBy>
  <cp:lastPrinted>2022-08-08T22:15:43Z</cp:lastPrinted>
  <dcterms:created xsi:type="dcterms:W3CDTF">2019-08-19T00:15:29Z</dcterms:created>
  <dcterms:modified xsi:type="dcterms:W3CDTF">2022-08-08T22:15:44Z</dcterms:modified>
</cp:coreProperties>
</file>