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INEERING\all about steel structure\Excel Sheets\my sheets\LRFD\"/>
    </mc:Choice>
  </mc:AlternateContent>
  <xr:revisionPtr revIDLastSave="0" documentId="13_ncr:1_{44319D9C-A89C-4051-9D69-95AFBF42780D}" xr6:coauthVersionLast="45" xr6:coauthVersionMax="45" xr10:uidLastSave="{00000000-0000-0000-0000-000000000000}"/>
  <bookViews>
    <workbookView xWindow="-120" yWindow="-120" windowWidth="19620" windowHeight="11760" xr2:uid="{EDE945B3-F7BC-41C3-A8F0-CC9CE7F61269}"/>
  </bookViews>
  <sheets>
    <sheet name="Cold Formed B.U.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1" i="1" l="1"/>
  <c r="B27" i="1"/>
  <c r="L34" i="1" l="1"/>
  <c r="F6" i="1" l="1"/>
  <c r="B23" i="1" l="1"/>
  <c r="F42" i="1" s="1"/>
  <c r="B22" i="1"/>
  <c r="L36" i="1" s="1"/>
  <c r="B21" i="1"/>
  <c r="F35" i="1" s="1"/>
  <c r="F36" i="1" s="1"/>
  <c r="F37" i="1" s="1"/>
  <c r="F38" i="1" s="1"/>
  <c r="B24" i="1"/>
  <c r="B25" i="1" s="1"/>
  <c r="H41" i="1"/>
  <c r="G28" i="1"/>
  <c r="H28" i="1" s="1"/>
  <c r="G27" i="1"/>
  <c r="H27" i="1" s="1"/>
  <c r="G26" i="1"/>
  <c r="H26" i="1" s="1"/>
  <c r="J13" i="1"/>
  <c r="J12" i="1"/>
  <c r="J11" i="1"/>
  <c r="J10" i="1"/>
  <c r="J9" i="1"/>
  <c r="J8" i="1"/>
  <c r="J7" i="1"/>
  <c r="N9" i="1"/>
  <c r="N8" i="1"/>
  <c r="N7" i="1"/>
  <c r="F10" i="1"/>
  <c r="F9" i="1"/>
  <c r="F8" i="1"/>
  <c r="F7" i="1"/>
  <c r="F11" i="1" s="1"/>
  <c r="B9" i="1"/>
  <c r="B8" i="1"/>
  <c r="L38" i="1" l="1"/>
  <c r="L35" i="1"/>
  <c r="L37" i="1" s="1"/>
  <c r="J26" i="1"/>
  <c r="B26" i="1"/>
  <c r="B30" i="1" s="1"/>
  <c r="B33" i="1" s="1"/>
  <c r="G51" i="1"/>
  <c r="H51" i="1" s="1"/>
  <c r="G52" i="1" s="1"/>
  <c r="B32" i="1" l="1"/>
  <c r="B29" i="1"/>
  <c r="B28" i="1"/>
  <c r="L39" i="1"/>
  <c r="H36" i="1"/>
  <c r="N12" i="1"/>
  <c r="H17" i="1" s="1"/>
  <c r="N14" i="1"/>
  <c r="H19" i="1" s="1"/>
  <c r="H52" i="1" s="1"/>
  <c r="N13" i="1"/>
  <c r="H18" i="1" s="1"/>
  <c r="L40" i="1" l="1"/>
  <c r="L41" i="1" s="1"/>
  <c r="N41" i="1" l="1"/>
  <c r="L42" i="1"/>
  <c r="L43" i="1" s="1"/>
  <c r="I47" i="1" l="1"/>
  <c r="I46" i="1"/>
  <c r="N51" i="1" l="1"/>
  <c r="P51" i="1" s="1"/>
  <c r="C51" i="1"/>
  <c r="D51" i="1" s="1"/>
</calcChain>
</file>

<file path=xl/sharedStrings.xml><?xml version="1.0" encoding="utf-8"?>
<sst xmlns="http://schemas.openxmlformats.org/spreadsheetml/2006/main" count="174" uniqueCount="105">
  <si>
    <t>Input Data</t>
  </si>
  <si>
    <t>Value</t>
  </si>
  <si>
    <t>Unit</t>
  </si>
  <si>
    <t>Roof Type</t>
  </si>
  <si>
    <t>steel type</t>
  </si>
  <si>
    <t>Tie rod</t>
  </si>
  <si>
    <t>a</t>
  </si>
  <si>
    <r>
      <t xml:space="preserve"> </t>
    </r>
    <r>
      <rPr>
        <sz val="14"/>
        <rFont val="Symbol"/>
        <family val="1"/>
        <charset val="2"/>
      </rPr>
      <t>a</t>
    </r>
  </si>
  <si>
    <t>Wc.s</t>
  </si>
  <si>
    <t>Accessible</t>
  </si>
  <si>
    <t>Inaccessible</t>
  </si>
  <si>
    <t>cm</t>
  </si>
  <si>
    <t>degree</t>
  </si>
  <si>
    <t>Weight</t>
  </si>
  <si>
    <t>Area</t>
  </si>
  <si>
    <t>H</t>
  </si>
  <si>
    <t>B</t>
  </si>
  <si>
    <t>D</t>
  </si>
  <si>
    <t>t</t>
  </si>
  <si>
    <t>r</t>
  </si>
  <si>
    <t>kg/m'</t>
  </si>
  <si>
    <t>i- Dead Load</t>
  </si>
  <si>
    <t>ii- Live Load</t>
  </si>
  <si>
    <t>t/cm'</t>
  </si>
  <si>
    <t>1- Distributed</t>
  </si>
  <si>
    <t>2- Concentrated</t>
  </si>
  <si>
    <t>L.L =</t>
  </si>
  <si>
    <t>cm.t</t>
  </si>
  <si>
    <t>ton</t>
  </si>
  <si>
    <t>Final</t>
  </si>
  <si>
    <t>Straining actions</t>
  </si>
  <si>
    <t>Checks :</t>
  </si>
  <si>
    <t>i- compactness</t>
  </si>
  <si>
    <t>h / t =</t>
  </si>
  <si>
    <t>&gt;&gt;&gt;&gt;</t>
  </si>
  <si>
    <t>b / t =</t>
  </si>
  <si>
    <t>d / t =</t>
  </si>
  <si>
    <t>Ok</t>
  </si>
  <si>
    <t>ii- Effective Section</t>
  </si>
  <si>
    <t>1- web</t>
  </si>
  <si>
    <t>2- Flange</t>
  </si>
  <si>
    <t>Ψ =</t>
  </si>
  <si>
    <t>unitless</t>
  </si>
  <si>
    <t>Kσ =</t>
  </si>
  <si>
    <t>S =</t>
  </si>
  <si>
    <t>b/t</t>
  </si>
  <si>
    <t>ρ =</t>
  </si>
  <si>
    <t>D/b</t>
  </si>
  <si>
    <t>Ia</t>
  </si>
  <si>
    <t>reduced</t>
  </si>
  <si>
    <t>Is</t>
  </si>
  <si>
    <t>3- Lip</t>
  </si>
  <si>
    <t xml:space="preserve"> Effective Section Prop.</t>
  </si>
  <si>
    <t>R'</t>
  </si>
  <si>
    <t>h</t>
  </si>
  <si>
    <t>b</t>
  </si>
  <si>
    <t>d</t>
  </si>
  <si>
    <t>C</t>
  </si>
  <si>
    <t>e</t>
  </si>
  <si>
    <t>iii- Bending</t>
  </si>
  <si>
    <t>iv- Shear</t>
  </si>
  <si>
    <t>v- Deflection</t>
  </si>
  <si>
    <t xml:space="preserve">h/t = </t>
  </si>
  <si>
    <t>δ =</t>
  </si>
  <si>
    <t>Non-Compact Web</t>
  </si>
  <si>
    <t>Slender Web</t>
  </si>
  <si>
    <t>Compact Web</t>
  </si>
  <si>
    <r>
      <t>kg/m</t>
    </r>
    <r>
      <rPr>
        <vertAlign val="superscript"/>
        <sz val="14"/>
        <color theme="1"/>
        <rFont val="Agency FB"/>
        <family val="2"/>
      </rPr>
      <t>2</t>
    </r>
  </si>
  <si>
    <r>
      <t>Q</t>
    </r>
    <r>
      <rPr>
        <vertAlign val="subscript"/>
        <sz val="14"/>
        <color theme="1"/>
        <rFont val="Agency FB"/>
        <family val="2"/>
      </rPr>
      <t>L.Lx</t>
    </r>
    <r>
      <rPr>
        <sz val="14"/>
        <color theme="1"/>
        <rFont val="Agency FB"/>
        <family val="2"/>
      </rPr>
      <t xml:space="preserve"> =</t>
    </r>
  </si>
  <si>
    <r>
      <t>M</t>
    </r>
    <r>
      <rPr>
        <vertAlign val="subscript"/>
        <sz val="14"/>
        <color theme="1"/>
        <rFont val="Agency FB"/>
        <family val="2"/>
      </rPr>
      <t>x</t>
    </r>
  </si>
  <si>
    <r>
      <t>M</t>
    </r>
    <r>
      <rPr>
        <vertAlign val="subscript"/>
        <sz val="14"/>
        <color theme="1"/>
        <rFont val="Agency FB"/>
        <family val="2"/>
      </rPr>
      <t>y</t>
    </r>
  </si>
  <si>
    <r>
      <t>Q</t>
    </r>
    <r>
      <rPr>
        <vertAlign val="subscript"/>
        <sz val="14"/>
        <color theme="1"/>
        <rFont val="Agency FB"/>
        <family val="2"/>
      </rPr>
      <t>x</t>
    </r>
  </si>
  <si>
    <r>
      <t>cm</t>
    </r>
    <r>
      <rPr>
        <vertAlign val="superscript"/>
        <sz val="14"/>
        <color theme="1"/>
        <rFont val="Agency FB"/>
        <family val="2"/>
      </rPr>
      <t>2</t>
    </r>
  </si>
  <si>
    <r>
      <t>I</t>
    </r>
    <r>
      <rPr>
        <vertAlign val="subscript"/>
        <sz val="14"/>
        <color theme="1"/>
        <rFont val="Agency FB"/>
        <family val="2"/>
      </rPr>
      <t>x</t>
    </r>
  </si>
  <si>
    <r>
      <t>cm</t>
    </r>
    <r>
      <rPr>
        <vertAlign val="superscript"/>
        <sz val="14"/>
        <color theme="1"/>
        <rFont val="Agency FB"/>
        <family val="2"/>
      </rPr>
      <t>4</t>
    </r>
  </si>
  <si>
    <r>
      <t>S</t>
    </r>
    <r>
      <rPr>
        <vertAlign val="subscript"/>
        <sz val="14"/>
        <color theme="1"/>
        <rFont val="Agency FB"/>
        <family val="2"/>
      </rPr>
      <t>x</t>
    </r>
  </si>
  <si>
    <r>
      <t>cm</t>
    </r>
    <r>
      <rPr>
        <vertAlign val="superscript"/>
        <sz val="14"/>
        <color theme="1"/>
        <rFont val="Agency FB"/>
        <family val="2"/>
      </rPr>
      <t>3</t>
    </r>
  </si>
  <si>
    <r>
      <t>r</t>
    </r>
    <r>
      <rPr>
        <vertAlign val="subscript"/>
        <sz val="14"/>
        <color theme="1"/>
        <rFont val="Agency FB"/>
        <family val="2"/>
      </rPr>
      <t>x</t>
    </r>
  </si>
  <si>
    <r>
      <t>I</t>
    </r>
    <r>
      <rPr>
        <vertAlign val="subscript"/>
        <sz val="14"/>
        <color theme="1"/>
        <rFont val="Agency FB"/>
        <family val="2"/>
      </rPr>
      <t>y</t>
    </r>
  </si>
  <si>
    <r>
      <t>S</t>
    </r>
    <r>
      <rPr>
        <vertAlign val="subscript"/>
        <sz val="14"/>
        <color theme="1"/>
        <rFont val="Agency FB"/>
        <family val="2"/>
      </rPr>
      <t>y</t>
    </r>
  </si>
  <si>
    <r>
      <t>r</t>
    </r>
    <r>
      <rPr>
        <vertAlign val="subscript"/>
        <sz val="14"/>
        <color theme="1"/>
        <rFont val="Agency FB"/>
        <family val="2"/>
      </rPr>
      <t>y</t>
    </r>
  </si>
  <si>
    <r>
      <rPr>
        <b/>
        <sz val="14"/>
        <color theme="1"/>
        <rFont val="Agency FB"/>
        <family val="2"/>
      </rPr>
      <t>λ</t>
    </r>
    <r>
      <rPr>
        <b/>
        <vertAlign val="subscript"/>
        <sz val="14"/>
        <color theme="1"/>
        <rFont val="Agency FB"/>
        <family val="2"/>
      </rPr>
      <t>p</t>
    </r>
    <r>
      <rPr>
        <sz val="14"/>
        <color theme="1"/>
        <rFont val="Agency FB"/>
        <family val="2"/>
      </rPr>
      <t xml:space="preserve"> =</t>
    </r>
  </si>
  <si>
    <r>
      <t>h</t>
    </r>
    <r>
      <rPr>
        <vertAlign val="subscript"/>
        <sz val="14"/>
        <color theme="1"/>
        <rFont val="Agency FB"/>
        <family val="2"/>
      </rPr>
      <t>eff</t>
    </r>
    <r>
      <rPr>
        <sz val="14"/>
        <color theme="1"/>
        <rFont val="Agency FB"/>
        <family val="2"/>
      </rPr>
      <t xml:space="preserve"> =</t>
    </r>
  </si>
  <si>
    <r>
      <t>mm</t>
    </r>
    <r>
      <rPr>
        <vertAlign val="superscript"/>
        <sz val="14"/>
        <color theme="1"/>
        <rFont val="Agency FB"/>
        <family val="2"/>
      </rPr>
      <t>4</t>
    </r>
  </si>
  <si>
    <r>
      <t>d</t>
    </r>
    <r>
      <rPr>
        <vertAlign val="subscript"/>
        <sz val="14"/>
        <color theme="1"/>
        <rFont val="Agency FB"/>
        <family val="2"/>
      </rPr>
      <t>eff</t>
    </r>
    <r>
      <rPr>
        <sz val="14"/>
        <color theme="1"/>
        <rFont val="Agency FB"/>
        <family val="2"/>
      </rPr>
      <t xml:space="preserve"> =</t>
    </r>
  </si>
  <si>
    <r>
      <t>b</t>
    </r>
    <r>
      <rPr>
        <vertAlign val="subscript"/>
        <sz val="14"/>
        <color theme="1"/>
        <rFont val="Agency FB"/>
        <family val="2"/>
      </rPr>
      <t>eff</t>
    </r>
    <r>
      <rPr>
        <sz val="14"/>
        <color theme="1"/>
        <rFont val="Agency FB"/>
        <family val="2"/>
      </rPr>
      <t xml:space="preserve"> =</t>
    </r>
  </si>
  <si>
    <r>
      <t>I</t>
    </r>
    <r>
      <rPr>
        <vertAlign val="subscript"/>
        <sz val="14"/>
        <color theme="1"/>
        <rFont val="Agency FB"/>
        <family val="2"/>
      </rPr>
      <t>xeff</t>
    </r>
  </si>
  <si>
    <r>
      <t>I</t>
    </r>
    <r>
      <rPr>
        <vertAlign val="subscript"/>
        <sz val="14"/>
        <color theme="1"/>
        <rFont val="Agency FB"/>
        <family val="2"/>
      </rPr>
      <t>yeff</t>
    </r>
  </si>
  <si>
    <r>
      <t>f</t>
    </r>
    <r>
      <rPr>
        <vertAlign val="subscript"/>
        <sz val="14"/>
        <color theme="1"/>
        <rFont val="Agency FB"/>
        <family val="2"/>
      </rPr>
      <t>b</t>
    </r>
    <r>
      <rPr>
        <sz val="14"/>
        <color theme="1"/>
        <rFont val="Agency FB"/>
        <family val="2"/>
      </rPr>
      <t xml:space="preserve"> / ΦF</t>
    </r>
    <r>
      <rPr>
        <vertAlign val="subscript"/>
        <sz val="14"/>
        <color theme="1"/>
        <rFont val="Agency FB"/>
        <family val="2"/>
      </rPr>
      <t>y</t>
    </r>
  </si>
  <si>
    <r>
      <t xml:space="preserve"> V</t>
    </r>
    <r>
      <rPr>
        <vertAlign val="subscript"/>
        <sz val="14"/>
        <color theme="1"/>
        <rFont val="Agency FB"/>
        <family val="2"/>
      </rPr>
      <t>r</t>
    </r>
    <r>
      <rPr>
        <sz val="14"/>
        <color theme="1"/>
        <rFont val="Agency FB"/>
        <family val="2"/>
      </rPr>
      <t xml:space="preserve"> =</t>
    </r>
  </si>
  <si>
    <r>
      <t>M</t>
    </r>
    <r>
      <rPr>
        <vertAlign val="subscript"/>
        <sz val="14"/>
        <color theme="1"/>
        <rFont val="Agency FB"/>
        <family val="2"/>
      </rPr>
      <t>L.Ly</t>
    </r>
    <r>
      <rPr>
        <sz val="14"/>
        <color theme="1"/>
        <rFont val="Agency FB"/>
        <family val="2"/>
      </rPr>
      <t xml:space="preserve"> =</t>
    </r>
  </si>
  <si>
    <r>
      <t>W</t>
    </r>
    <r>
      <rPr>
        <vertAlign val="subscript"/>
        <sz val="14"/>
        <color theme="1"/>
        <rFont val="Agency FB"/>
        <family val="2"/>
      </rPr>
      <t>D.L</t>
    </r>
    <r>
      <rPr>
        <sz val="14"/>
        <color theme="1"/>
        <rFont val="Agency FB"/>
        <family val="2"/>
      </rPr>
      <t xml:space="preserve"> =</t>
    </r>
  </si>
  <si>
    <r>
      <t>W</t>
    </r>
    <r>
      <rPr>
        <vertAlign val="subscript"/>
        <sz val="14"/>
        <color theme="1"/>
        <rFont val="Agency FB"/>
        <family val="2"/>
      </rPr>
      <t xml:space="preserve">D.Lx </t>
    </r>
    <r>
      <rPr>
        <sz val="14"/>
        <color theme="1"/>
        <rFont val="Agency FB"/>
        <family val="2"/>
      </rPr>
      <t>=</t>
    </r>
  </si>
  <si>
    <r>
      <t>t/cm</t>
    </r>
    <r>
      <rPr>
        <vertAlign val="superscript"/>
        <sz val="14"/>
        <color theme="1"/>
        <rFont val="Agency FB"/>
        <family val="2"/>
      </rPr>
      <t>2</t>
    </r>
  </si>
  <si>
    <r>
      <t>M</t>
    </r>
    <r>
      <rPr>
        <vertAlign val="subscript"/>
        <sz val="14"/>
        <color theme="1"/>
        <rFont val="Agency FB"/>
        <family val="2"/>
      </rPr>
      <t>L.Lx</t>
    </r>
    <r>
      <rPr>
        <sz val="14"/>
        <color theme="1"/>
        <rFont val="Agency FB"/>
        <family val="2"/>
      </rPr>
      <t xml:space="preserve"> =</t>
    </r>
  </si>
  <si>
    <r>
      <t>F</t>
    </r>
    <r>
      <rPr>
        <vertAlign val="subscript"/>
        <sz val="14"/>
        <color theme="1"/>
        <rFont val="Agency FB"/>
        <family val="2"/>
      </rPr>
      <t>y</t>
    </r>
  </si>
  <si>
    <r>
      <t>W</t>
    </r>
    <r>
      <rPr>
        <vertAlign val="subscript"/>
        <sz val="14"/>
        <color theme="1"/>
        <rFont val="Agency FB"/>
        <family val="2"/>
      </rPr>
      <t>D.Ly</t>
    </r>
    <r>
      <rPr>
        <sz val="14"/>
        <color theme="1"/>
        <rFont val="Agency FB"/>
        <family val="2"/>
      </rPr>
      <t>=</t>
    </r>
  </si>
  <si>
    <r>
      <t>W</t>
    </r>
    <r>
      <rPr>
        <vertAlign val="subscript"/>
        <sz val="14"/>
        <color theme="1"/>
        <rFont val="Agency FB"/>
        <family val="2"/>
      </rPr>
      <t>L.L</t>
    </r>
    <r>
      <rPr>
        <sz val="14"/>
        <color theme="1"/>
        <rFont val="Agency FB"/>
        <family val="2"/>
      </rPr>
      <t xml:space="preserve"> =</t>
    </r>
  </si>
  <si>
    <r>
      <t>F</t>
    </r>
    <r>
      <rPr>
        <vertAlign val="subscript"/>
        <sz val="14"/>
        <color theme="1"/>
        <rFont val="Agency FB"/>
        <family val="2"/>
      </rPr>
      <t>u</t>
    </r>
  </si>
  <si>
    <r>
      <t>M</t>
    </r>
    <r>
      <rPr>
        <vertAlign val="subscript"/>
        <sz val="14"/>
        <color theme="1"/>
        <rFont val="Agency FB"/>
        <family val="2"/>
      </rPr>
      <t>D.Lx</t>
    </r>
    <r>
      <rPr>
        <sz val="14"/>
        <color theme="1"/>
        <rFont val="Agency FB"/>
        <family val="2"/>
      </rPr>
      <t xml:space="preserve"> =</t>
    </r>
  </si>
  <si>
    <r>
      <t>W</t>
    </r>
    <r>
      <rPr>
        <vertAlign val="subscript"/>
        <sz val="14"/>
        <color theme="1"/>
        <rFont val="Agency FB"/>
        <family val="2"/>
      </rPr>
      <t>L.Lx</t>
    </r>
    <r>
      <rPr>
        <sz val="14"/>
        <color theme="1"/>
        <rFont val="Agency FB"/>
        <family val="2"/>
      </rPr>
      <t xml:space="preserve"> =</t>
    </r>
  </si>
  <si>
    <r>
      <t>M</t>
    </r>
    <r>
      <rPr>
        <vertAlign val="subscript"/>
        <sz val="14"/>
        <color theme="1"/>
        <rFont val="Agency FB"/>
        <family val="2"/>
      </rPr>
      <t>D.Ly</t>
    </r>
    <r>
      <rPr>
        <sz val="14"/>
        <color theme="1"/>
        <rFont val="Agency FB"/>
        <family val="2"/>
      </rPr>
      <t xml:space="preserve"> =</t>
    </r>
  </si>
  <si>
    <r>
      <t>W</t>
    </r>
    <r>
      <rPr>
        <vertAlign val="subscript"/>
        <sz val="14"/>
        <color theme="1"/>
        <rFont val="Agency FB"/>
        <family val="2"/>
      </rPr>
      <t>L.Ly</t>
    </r>
    <r>
      <rPr>
        <sz val="14"/>
        <color theme="1"/>
        <rFont val="Agency FB"/>
        <family val="2"/>
      </rPr>
      <t xml:space="preserve"> =</t>
    </r>
  </si>
  <si>
    <r>
      <t>span = L</t>
    </r>
    <r>
      <rPr>
        <vertAlign val="subscript"/>
        <sz val="14"/>
        <color theme="1"/>
        <rFont val="Agency FB"/>
        <family val="2"/>
      </rPr>
      <t>b</t>
    </r>
  </si>
  <si>
    <r>
      <t>Q</t>
    </r>
    <r>
      <rPr>
        <vertAlign val="subscript"/>
        <sz val="14"/>
        <color theme="1"/>
        <rFont val="Agency FB"/>
        <family val="2"/>
      </rPr>
      <t>D.Lx</t>
    </r>
    <r>
      <rPr>
        <sz val="14"/>
        <color theme="1"/>
        <rFont val="Agency FB"/>
        <family val="2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</si>
</sst>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charset val="178"/>
      <scheme val="minor"/>
    </font>
    <font>
      <sz val="14"/>
      <color theme="1"/>
      <name val="Times New Roman"/>
      <family val="1"/>
      <scheme val="major"/>
    </font>
    <font>
      <sz val="14"/>
      <name val="Symbol"/>
      <family val="1"/>
      <charset val="2"/>
    </font>
    <font>
      <sz val="8"/>
      <name val="Arial"/>
      <family val="2"/>
      <charset val="178"/>
      <scheme val="minor"/>
    </font>
    <font>
      <sz val="14"/>
      <color theme="1"/>
      <name val="Agency FB"/>
      <family val="2"/>
    </font>
    <font>
      <sz val="14"/>
      <color rgb="FFFF0000"/>
      <name val="Agency FB"/>
      <family val="2"/>
    </font>
    <font>
      <vertAlign val="superscript"/>
      <sz val="14"/>
      <color theme="1"/>
      <name val="Agency FB"/>
      <family val="2"/>
    </font>
    <font>
      <vertAlign val="subscript"/>
      <sz val="14"/>
      <color theme="1"/>
      <name val="Agency FB"/>
      <family val="2"/>
    </font>
    <font>
      <u/>
      <sz val="14"/>
      <color theme="1"/>
      <name val="Agency FB"/>
      <family val="2"/>
    </font>
    <font>
      <b/>
      <sz val="14"/>
      <color theme="1"/>
      <name val="Agency FB"/>
      <family val="2"/>
    </font>
    <font>
      <b/>
      <vertAlign val="subscript"/>
      <sz val="14"/>
      <color theme="1"/>
      <name val="Agency FB"/>
      <family val="2"/>
    </font>
    <font>
      <u/>
      <sz val="18"/>
      <color theme="1"/>
      <name val="Agency FB"/>
      <family val="2"/>
    </font>
    <font>
      <sz val="18"/>
      <color theme="1"/>
      <name val="Agency FB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83BC-ECE7-4F70-8E35-396DF33ABB24}">
  <dimension ref="A1:P52"/>
  <sheetViews>
    <sheetView tabSelected="1" topLeftCell="A13" zoomScale="80" zoomScaleNormal="80" workbookViewId="0">
      <selection activeCell="B32" sqref="B32"/>
    </sheetView>
  </sheetViews>
  <sheetFormatPr defaultRowHeight="19.5" x14ac:dyDescent="0.2"/>
  <cols>
    <col min="1" max="1" width="13.625" style="5" customWidth="1"/>
    <col min="2" max="5" width="9" style="5"/>
    <col min="6" max="6" width="10.375" style="5" customWidth="1"/>
    <col min="7" max="9" width="9" style="5"/>
    <col min="10" max="10" width="11.125" style="5" customWidth="1"/>
    <col min="11" max="16384" width="9" style="5"/>
  </cols>
  <sheetData>
    <row r="1" spans="1:15" x14ac:dyDescent="0.2">
      <c r="A1" s="5">
        <v>37</v>
      </c>
      <c r="B1" s="5">
        <v>0</v>
      </c>
      <c r="C1" s="22" t="s">
        <v>9</v>
      </c>
      <c r="E1" s="5" t="s">
        <v>37</v>
      </c>
      <c r="F1" s="23" t="s">
        <v>66</v>
      </c>
    </row>
    <row r="2" spans="1:15" x14ac:dyDescent="0.2">
      <c r="A2" s="5">
        <v>44</v>
      </c>
      <c r="B2" s="5">
        <v>1</v>
      </c>
      <c r="C2" s="22" t="s">
        <v>10</v>
      </c>
      <c r="F2" s="5" t="s">
        <v>64</v>
      </c>
    </row>
    <row r="3" spans="1:15" x14ac:dyDescent="0.2">
      <c r="A3" s="5">
        <v>52</v>
      </c>
      <c r="B3" s="5">
        <v>2</v>
      </c>
      <c r="F3" s="5" t="s">
        <v>65</v>
      </c>
    </row>
    <row r="4" spans="1:15" ht="20.25" thickBot="1" x14ac:dyDescent="0.25"/>
    <row r="5" spans="1:15" ht="30.75" customHeight="1" x14ac:dyDescent="0.2">
      <c r="A5" s="24" t="s">
        <v>0</v>
      </c>
      <c r="B5" s="24" t="s">
        <v>1</v>
      </c>
      <c r="C5" s="24" t="s">
        <v>2</v>
      </c>
      <c r="E5" s="32" t="s">
        <v>21</v>
      </c>
      <c r="F5" s="32"/>
      <c r="I5" s="36" t="s">
        <v>22</v>
      </c>
      <c r="J5" s="37"/>
      <c r="K5" s="12"/>
      <c r="L5" s="12"/>
      <c r="M5" s="12"/>
      <c r="N5" s="12"/>
      <c r="O5" s="13"/>
    </row>
    <row r="6" spans="1:15" ht="21" x14ac:dyDescent="0.2">
      <c r="A6" s="2" t="s">
        <v>3</v>
      </c>
      <c r="B6" s="41" t="s">
        <v>10</v>
      </c>
      <c r="C6" s="42"/>
      <c r="E6" s="4" t="s">
        <v>91</v>
      </c>
      <c r="F6" s="4">
        <f>(B15+B14*((0.01*B12)/COS(RADIANS(B13))))*10^-5</f>
        <v>2.7059838261402763E-4</v>
      </c>
      <c r="G6" s="4" t="s">
        <v>23</v>
      </c>
      <c r="I6" s="28" t="s">
        <v>24</v>
      </c>
      <c r="J6" s="29"/>
      <c r="M6" s="29" t="s">
        <v>25</v>
      </c>
      <c r="N6" s="29"/>
      <c r="O6" s="14"/>
    </row>
    <row r="7" spans="1:15" ht="21.75" x14ac:dyDescent="0.2">
      <c r="A7" s="2" t="s">
        <v>4</v>
      </c>
      <c r="B7" s="41">
        <v>37</v>
      </c>
      <c r="C7" s="42"/>
      <c r="E7" s="4" t="s">
        <v>92</v>
      </c>
      <c r="F7" s="4">
        <f>F6*COS(RADIANS(B13))</f>
        <v>2.6925573303589477E-4</v>
      </c>
      <c r="G7" s="4" t="s">
        <v>23</v>
      </c>
      <c r="I7" s="15" t="s">
        <v>26</v>
      </c>
      <c r="J7" s="4">
        <f>(10^-7)*IF(B6=C1,200-(250*TAN(RADIANS(B13))),60-(66.67*TAN(RADIANS(B13))))</f>
        <v>5.3333697082418045E-6</v>
      </c>
      <c r="K7" s="4" t="s">
        <v>93</v>
      </c>
      <c r="M7" s="4" t="s">
        <v>94</v>
      </c>
      <c r="N7" s="4">
        <f>0.1*(B11/4)*COS(RADIANS(B13))</f>
        <v>24.875955505982461</v>
      </c>
      <c r="O7" s="21" t="s">
        <v>27</v>
      </c>
    </row>
    <row r="8" spans="1:15" ht="21.75" x14ac:dyDescent="0.2">
      <c r="A8" s="2" t="s">
        <v>95</v>
      </c>
      <c r="B8" s="4">
        <f>IF(B7=A1,2.4,IF(B7=A2,2.8,3.6))</f>
        <v>2.4</v>
      </c>
      <c r="C8" s="4" t="s">
        <v>93</v>
      </c>
      <c r="E8" s="4" t="s">
        <v>96</v>
      </c>
      <c r="F8" s="4">
        <f>F6*SIN(RADIANS(B13))</f>
        <v>2.6922758042790645E-5</v>
      </c>
      <c r="G8" s="4" t="s">
        <v>23</v>
      </c>
      <c r="I8" s="15" t="s">
        <v>97</v>
      </c>
      <c r="J8" s="4">
        <f>J7*B12</f>
        <v>1.0666739416483608E-3</v>
      </c>
      <c r="K8" s="4" t="s">
        <v>23</v>
      </c>
      <c r="M8" s="4" t="s">
        <v>90</v>
      </c>
      <c r="N8" s="4">
        <f>0.1*(B11/4)*SIN(RADIANS(B13))</f>
        <v>2.4873354547348083</v>
      </c>
      <c r="O8" s="21" t="s">
        <v>27</v>
      </c>
    </row>
    <row r="9" spans="1:15" ht="21.75" x14ac:dyDescent="0.2">
      <c r="A9" s="2" t="s">
        <v>98</v>
      </c>
      <c r="B9" s="4">
        <f>IF(B7=A1,3.6,IF(B7=A2,4.4,5.2))</f>
        <v>3.6</v>
      </c>
      <c r="C9" s="4" t="s">
        <v>93</v>
      </c>
      <c r="E9" s="4" t="s">
        <v>99</v>
      </c>
      <c r="F9" s="4">
        <f>F7*((B11)^2/8)</f>
        <v>33.656966629486845</v>
      </c>
      <c r="G9" s="4" t="s">
        <v>27</v>
      </c>
      <c r="I9" s="15" t="s">
        <v>100</v>
      </c>
      <c r="J9" s="4">
        <f>J8*COS(RADIANS(B13))</f>
        <v>1.0613813404734222E-3</v>
      </c>
      <c r="K9" s="4" t="s">
        <v>23</v>
      </c>
      <c r="M9" s="4" t="s">
        <v>68</v>
      </c>
      <c r="N9" s="4">
        <f>(0.1/2)*COS(RADIANS(B13))</f>
        <v>4.9751911011964925E-2</v>
      </c>
      <c r="O9" s="21" t="s">
        <v>28</v>
      </c>
    </row>
    <row r="10" spans="1:15" ht="21" x14ac:dyDescent="0.2">
      <c r="A10" s="2" t="s">
        <v>5</v>
      </c>
      <c r="B10" s="41">
        <v>1</v>
      </c>
      <c r="C10" s="42"/>
      <c r="E10" s="4" t="s">
        <v>101</v>
      </c>
      <c r="F10" s="4">
        <f>IF(B10=B1,F8*((B11)^2/8),IF(B10=B2,F8*((B11/2)^2/8),IF(B10=B3,F8*((B11/3)^2/8))))</f>
        <v>0.84133618883720762</v>
      </c>
      <c r="G10" s="4" t="s">
        <v>27</v>
      </c>
      <c r="I10" s="15" t="s">
        <v>102</v>
      </c>
      <c r="J10" s="4">
        <f>J8*SIN(RADIANS(B13))</f>
        <v>1.0612703654814785E-4</v>
      </c>
      <c r="K10" s="4" t="s">
        <v>23</v>
      </c>
      <c r="O10" s="14"/>
    </row>
    <row r="11" spans="1:15" ht="21" x14ac:dyDescent="0.2">
      <c r="A11" s="2" t="s">
        <v>103</v>
      </c>
      <c r="B11" s="3">
        <v>1000</v>
      </c>
      <c r="C11" s="4" t="s">
        <v>11</v>
      </c>
      <c r="E11" s="4" t="s">
        <v>104</v>
      </c>
      <c r="F11" s="4">
        <f>F7*(B11/2)</f>
        <v>0.13462786651794739</v>
      </c>
      <c r="G11" s="4" t="s">
        <v>28</v>
      </c>
      <c r="I11" s="15" t="s">
        <v>94</v>
      </c>
      <c r="J11" s="4">
        <f>J9*(B11^2/8)</f>
        <v>132.67266755917777</v>
      </c>
      <c r="K11" s="4" t="s">
        <v>27</v>
      </c>
      <c r="M11" s="2" t="s">
        <v>29</v>
      </c>
      <c r="O11" s="14"/>
    </row>
    <row r="12" spans="1:15" ht="21" x14ac:dyDescent="0.2">
      <c r="A12" s="2" t="s">
        <v>6</v>
      </c>
      <c r="B12" s="3">
        <v>200</v>
      </c>
      <c r="C12" s="4" t="s">
        <v>11</v>
      </c>
      <c r="I12" s="15" t="s">
        <v>90</v>
      </c>
      <c r="J12" s="4">
        <f>IF(B10=B1,J10*((B11)^2/8),IF(B10=B2,J10*((B11/2)^2/8),IF(B10=B3,J10*((B11/3)^2/8))))</f>
        <v>3.3164698921296201</v>
      </c>
      <c r="K12" s="4" t="s">
        <v>27</v>
      </c>
      <c r="M12" s="4" t="s">
        <v>94</v>
      </c>
      <c r="N12" s="4">
        <f>MAX(J11,N7)</f>
        <v>132.67266755917777</v>
      </c>
      <c r="O12" s="21" t="s">
        <v>27</v>
      </c>
    </row>
    <row r="13" spans="1:15" ht="21" x14ac:dyDescent="0.2">
      <c r="A13" s="1" t="s">
        <v>7</v>
      </c>
      <c r="B13" s="3">
        <v>5.71</v>
      </c>
      <c r="C13" s="4" t="s">
        <v>12</v>
      </c>
      <c r="I13" s="15" t="s">
        <v>68</v>
      </c>
      <c r="J13" s="4">
        <f>J9*(B11/2)</f>
        <v>0.53069067023671113</v>
      </c>
      <c r="K13" s="4" t="s">
        <v>28</v>
      </c>
      <c r="M13" s="4" t="s">
        <v>90</v>
      </c>
      <c r="N13" s="4">
        <f>IF(J11&gt;N7,J12,N8)</f>
        <v>3.3164698921296201</v>
      </c>
      <c r="O13" s="21" t="s">
        <v>27</v>
      </c>
    </row>
    <row r="14" spans="1:15" ht="20.25" customHeight="1" thickBot="1" x14ac:dyDescent="0.25">
      <c r="A14" s="2" t="s">
        <v>8</v>
      </c>
      <c r="B14" s="3">
        <v>6</v>
      </c>
      <c r="C14" s="4" t="s">
        <v>67</v>
      </c>
      <c r="I14" s="6"/>
      <c r="J14" s="7"/>
      <c r="K14" s="7"/>
      <c r="L14" s="7"/>
      <c r="M14" s="8" t="s">
        <v>68</v>
      </c>
      <c r="N14" s="8">
        <f>IF(OR(J11&gt;N7,J12&gt;N8),J13,N9)</f>
        <v>0.53069067023671113</v>
      </c>
      <c r="O14" s="9" t="s">
        <v>28</v>
      </c>
    </row>
    <row r="15" spans="1:15" x14ac:dyDescent="0.2">
      <c r="A15" s="2" t="s">
        <v>13</v>
      </c>
      <c r="B15" s="3">
        <v>15</v>
      </c>
      <c r="C15" s="4" t="s">
        <v>20</v>
      </c>
    </row>
    <row r="16" spans="1:15" x14ac:dyDescent="0.2">
      <c r="A16" s="10" t="s">
        <v>15</v>
      </c>
      <c r="B16" s="3">
        <v>16</v>
      </c>
      <c r="C16" s="4" t="s">
        <v>11</v>
      </c>
      <c r="G16" s="39" t="s">
        <v>30</v>
      </c>
      <c r="H16" s="39"/>
    </row>
    <row r="17" spans="1:15" ht="21" x14ac:dyDescent="0.2">
      <c r="A17" s="10" t="s">
        <v>16</v>
      </c>
      <c r="B17" s="3">
        <v>8</v>
      </c>
      <c r="C17" s="4" t="s">
        <v>11</v>
      </c>
      <c r="G17" s="4" t="s">
        <v>69</v>
      </c>
      <c r="H17" s="11">
        <f>1.2*F9+1.6*N12</f>
        <v>252.66462805006864</v>
      </c>
      <c r="I17" s="4" t="s">
        <v>27</v>
      </c>
    </row>
    <row r="18" spans="1:15" ht="21" x14ac:dyDescent="0.2">
      <c r="A18" s="10" t="s">
        <v>17</v>
      </c>
      <c r="B18" s="3">
        <v>3</v>
      </c>
      <c r="C18" s="4" t="s">
        <v>11</v>
      </c>
      <c r="G18" s="4" t="s">
        <v>70</v>
      </c>
      <c r="H18" s="11">
        <f>1.2*F10+1.6*N13</f>
        <v>6.3159552540120423</v>
      </c>
      <c r="I18" s="4" t="s">
        <v>27</v>
      </c>
    </row>
    <row r="19" spans="1:15" ht="21" x14ac:dyDescent="0.2">
      <c r="A19" s="10" t="s">
        <v>18</v>
      </c>
      <c r="B19" s="3">
        <v>0.4</v>
      </c>
      <c r="C19" s="4" t="s">
        <v>11</v>
      </c>
      <c r="G19" s="4" t="s">
        <v>71</v>
      </c>
      <c r="H19" s="11">
        <f>1.2*F11+1.6*N14</f>
        <v>1.0106585122002747</v>
      </c>
      <c r="I19" s="4" t="s">
        <v>28</v>
      </c>
    </row>
    <row r="20" spans="1:15" x14ac:dyDescent="0.2">
      <c r="A20" s="10" t="s">
        <v>19</v>
      </c>
      <c r="B20" s="3">
        <v>0.6</v>
      </c>
      <c r="C20" s="4" t="s">
        <v>11</v>
      </c>
    </row>
    <row r="21" spans="1:15" x14ac:dyDescent="0.2">
      <c r="A21" s="2" t="s">
        <v>54</v>
      </c>
      <c r="B21" s="4">
        <f>B16-2*B19-2*B20</f>
        <v>14</v>
      </c>
      <c r="C21" s="4" t="s">
        <v>11</v>
      </c>
    </row>
    <row r="22" spans="1:15" x14ac:dyDescent="0.2">
      <c r="A22" s="2" t="s">
        <v>55</v>
      </c>
      <c r="B22" s="4">
        <f>B17-2*B19-2*B20</f>
        <v>6</v>
      </c>
      <c r="C22" s="4" t="s">
        <v>11</v>
      </c>
      <c r="E22" s="40" t="s">
        <v>31</v>
      </c>
      <c r="F22" s="40"/>
    </row>
    <row r="23" spans="1:15" x14ac:dyDescent="0.2">
      <c r="A23" s="2" t="s">
        <v>56</v>
      </c>
      <c r="B23" s="4">
        <f>B18-B19-B20</f>
        <v>2</v>
      </c>
      <c r="C23" s="4" t="s">
        <v>11</v>
      </c>
      <c r="E23" s="40"/>
      <c r="F23" s="40"/>
    </row>
    <row r="24" spans="1:15" x14ac:dyDescent="0.2">
      <c r="A24" s="2" t="s">
        <v>53</v>
      </c>
      <c r="B24" s="4">
        <f>B20+0.5*B19</f>
        <v>0.8</v>
      </c>
      <c r="C24" s="4" t="s">
        <v>11</v>
      </c>
    </row>
    <row r="25" spans="1:15" x14ac:dyDescent="0.2">
      <c r="A25" s="2" t="s">
        <v>57</v>
      </c>
      <c r="B25" s="4">
        <f>0.637*B24</f>
        <v>0.50960000000000005</v>
      </c>
      <c r="C25" s="4" t="s">
        <v>11</v>
      </c>
      <c r="E25" s="32" t="s">
        <v>32</v>
      </c>
      <c r="F25" s="32"/>
    </row>
    <row r="26" spans="1:15" ht="21.75" x14ac:dyDescent="0.2">
      <c r="A26" s="10" t="s">
        <v>14</v>
      </c>
      <c r="B26" s="4">
        <f>B21*B19+2*B22*B19+2*B23*B19+4*1.57*B24*B19</f>
        <v>14.009600000000002</v>
      </c>
      <c r="C26" s="4" t="s">
        <v>72</v>
      </c>
      <c r="E26" s="35" t="s">
        <v>33</v>
      </c>
      <c r="F26" s="35"/>
      <c r="G26" s="4">
        <f>(B16-2*B19-2*B20)/B19</f>
        <v>35</v>
      </c>
      <c r="H26" s="4" t="str">
        <f>IF(G26&lt;=200,"Ok")</f>
        <v>Ok</v>
      </c>
      <c r="I26" s="25" t="s">
        <v>34</v>
      </c>
      <c r="J26" s="33" t="str">
        <f>IF(AND(H26=E1,H27=E1,H28=E1),"The Section satisfies Code Limits")</f>
        <v>The Section satisfies Code Limits</v>
      </c>
      <c r="K26" s="34"/>
      <c r="L26" s="34"/>
      <c r="M26" s="34"/>
      <c r="N26" s="34"/>
    </row>
    <row r="27" spans="1:15" ht="21.75" x14ac:dyDescent="0.2">
      <c r="A27" s="10" t="s">
        <v>73</v>
      </c>
      <c r="B27" s="4">
        <f>((B19*(B21^3))/12)+2*(((B22*B19^3)/12)+B22*B19*(0.5*B16-0.5*B19)^2)+2*(((B19*(B23)^3)/12)+B23*B19*(0.5*B16-0.5*B18)^2)+4*(0.149*(B24)^3*B19+1.57*B24*B19*(0.5*B21+B25)^2)</f>
        <v>565.14762840473611</v>
      </c>
      <c r="C27" s="4" t="s">
        <v>74</v>
      </c>
      <c r="E27" s="35" t="s">
        <v>35</v>
      </c>
      <c r="F27" s="35"/>
      <c r="G27" s="4">
        <f>(B17-2*B19-2*B20)/B19</f>
        <v>15</v>
      </c>
      <c r="H27" s="4" t="str">
        <f>IF(G27&lt;=40,"Ok")</f>
        <v>Ok</v>
      </c>
      <c r="I27" s="25"/>
      <c r="J27" s="33"/>
      <c r="K27" s="34"/>
      <c r="L27" s="34"/>
      <c r="M27" s="34"/>
      <c r="N27" s="34"/>
    </row>
    <row r="28" spans="1:15" ht="21.75" x14ac:dyDescent="0.2">
      <c r="A28" s="10" t="s">
        <v>75</v>
      </c>
      <c r="B28" s="4">
        <f>B27/(0.5*B16)</f>
        <v>70.643453550592014</v>
      </c>
      <c r="C28" s="4" t="s">
        <v>76</v>
      </c>
      <c r="E28" s="25" t="s">
        <v>36</v>
      </c>
      <c r="F28" s="25"/>
      <c r="G28" s="4">
        <f>(B18-B19-B20)/B19</f>
        <v>5</v>
      </c>
      <c r="H28" s="4" t="str">
        <f>IF(G28&lt;=40,"Ok")</f>
        <v>Ok</v>
      </c>
      <c r="I28" s="25"/>
      <c r="J28" s="33"/>
      <c r="K28" s="34"/>
      <c r="L28" s="34"/>
      <c r="M28" s="34"/>
      <c r="N28" s="34"/>
    </row>
    <row r="29" spans="1:15" ht="21.75" thickBot="1" x14ac:dyDescent="0.25">
      <c r="A29" s="10" t="s">
        <v>77</v>
      </c>
      <c r="B29" s="4">
        <f>SQRT(B27/B26)</f>
        <v>6.3513798509515667</v>
      </c>
      <c r="C29" s="4" t="s">
        <v>11</v>
      </c>
    </row>
    <row r="30" spans="1:15" x14ac:dyDescent="0.2">
      <c r="A30" s="2" t="s">
        <v>58</v>
      </c>
      <c r="B30" s="4">
        <f>(1/B26)*(2*B23*B19*(B17-0.5*B19)+2*(B22*B19*0.5*B17)+B21*B19*0.5*B19+2*(1.57*B24*B19*(B20+B19-B25))+2*(1.57*B24*B19*(B17-(B20+B19-B25))))</f>
        <v>2.9150296939241662</v>
      </c>
      <c r="C30" s="4" t="s">
        <v>11</v>
      </c>
      <c r="E30" s="36" t="s">
        <v>38</v>
      </c>
      <c r="F30" s="37"/>
      <c r="G30" s="12"/>
      <c r="H30" s="12"/>
      <c r="I30" s="12"/>
      <c r="J30" s="12"/>
      <c r="K30" s="12"/>
      <c r="L30" s="12"/>
      <c r="M30" s="12"/>
      <c r="N30" s="12"/>
      <c r="O30" s="13"/>
    </row>
    <row r="31" spans="1:15" ht="21.75" x14ac:dyDescent="0.2">
      <c r="A31" s="10" t="s">
        <v>78</v>
      </c>
      <c r="B31" s="4">
        <f>2*(((B19*(B22)^3)/12)+B22*B19*(0.5*B17-B30)^2)+B21*B19*(B30-0.5*B19)^2+2*B23*B19*(B17-B30-0.5*B19)^2+2*(0.149*B24^3*B19+1.57*B24*B19*(B30-(B20+B19-B25))^2)+2*(0.149*B24^3*B19+1.57*B24*B19*(0.5*B17-B30+0.5*B22+B25)^2)</f>
        <v>126.75134247238331</v>
      </c>
      <c r="C31" s="4" t="s">
        <v>74</v>
      </c>
      <c r="E31" s="38"/>
      <c r="F31" s="32"/>
      <c r="O31" s="14"/>
    </row>
    <row r="32" spans="1:15" ht="21.75" x14ac:dyDescent="0.2">
      <c r="A32" s="10" t="s">
        <v>79</v>
      </c>
      <c r="B32" s="4">
        <f>B31/(B17-B30)</f>
        <v>24.926663253260902</v>
      </c>
      <c r="C32" s="4" t="s">
        <v>76</v>
      </c>
      <c r="E32" s="28" t="s">
        <v>39</v>
      </c>
      <c r="F32" s="29"/>
      <c r="K32" s="29" t="s">
        <v>40</v>
      </c>
      <c r="L32" s="29"/>
      <c r="O32" s="14"/>
    </row>
    <row r="33" spans="1:15" ht="21" x14ac:dyDescent="0.2">
      <c r="A33" s="10" t="s">
        <v>80</v>
      </c>
      <c r="B33" s="4">
        <f>SQRT(B31/B26)</f>
        <v>3.0079001553560727</v>
      </c>
      <c r="C33" s="4" t="s">
        <v>11</v>
      </c>
      <c r="E33" s="15" t="s">
        <v>41</v>
      </c>
      <c r="F33" s="3">
        <v>-1</v>
      </c>
      <c r="G33" s="4" t="s">
        <v>42</v>
      </c>
      <c r="K33" s="4" t="s">
        <v>41</v>
      </c>
      <c r="L33" s="3">
        <v>1</v>
      </c>
      <c r="M33" s="4" t="s">
        <v>42</v>
      </c>
      <c r="O33" s="14"/>
    </row>
    <row r="34" spans="1:15" x14ac:dyDescent="0.2">
      <c r="E34" s="15" t="s">
        <v>43</v>
      </c>
      <c r="F34" s="3">
        <v>23.9</v>
      </c>
      <c r="G34" s="4" t="s">
        <v>42</v>
      </c>
      <c r="K34" s="4" t="s">
        <v>44</v>
      </c>
      <c r="L34" s="4">
        <f>1.28*SQRT(2100/B8)</f>
        <v>37.862910611837542</v>
      </c>
      <c r="M34" s="4" t="s">
        <v>42</v>
      </c>
      <c r="O34" s="14"/>
    </row>
    <row r="35" spans="1:15" ht="21" x14ac:dyDescent="0.2">
      <c r="E35" s="15" t="s">
        <v>81</v>
      </c>
      <c r="F35" s="4">
        <f>((B21/B19)/44)*SQRT(B8/F34)</f>
        <v>0.25207050894129024</v>
      </c>
      <c r="G35" s="4" t="s">
        <v>42</v>
      </c>
      <c r="K35" s="4" t="s">
        <v>45</v>
      </c>
      <c r="L35" s="4">
        <f>B22/B19</f>
        <v>15</v>
      </c>
      <c r="M35" s="4" t="s">
        <v>42</v>
      </c>
      <c r="O35" s="14"/>
    </row>
    <row r="36" spans="1:15" x14ac:dyDescent="0.2">
      <c r="E36" s="16" t="s">
        <v>46</v>
      </c>
      <c r="F36" s="4">
        <f>(F35-0.15-0.05*F33)/(F35)^2</f>
        <v>2.3933208424888019</v>
      </c>
      <c r="G36" s="4" t="s">
        <v>42</v>
      </c>
      <c r="H36" s="26" t="str">
        <f>IF(F36&gt;=1,"Fully Effective","Partially Effective")</f>
        <v>Fully Effective</v>
      </c>
      <c r="I36" s="27"/>
      <c r="K36" s="4" t="s">
        <v>47</v>
      </c>
      <c r="L36" s="4">
        <f>B18/B22</f>
        <v>0.5</v>
      </c>
      <c r="M36" s="4" t="s">
        <v>42</v>
      </c>
      <c r="O36" s="14"/>
    </row>
    <row r="37" spans="1:15" ht="21.75" x14ac:dyDescent="0.2">
      <c r="E37" s="15" t="s">
        <v>82</v>
      </c>
      <c r="F37" s="4">
        <f>IF(F36&lt;=1,F36*B21,B21)</f>
        <v>14</v>
      </c>
      <c r="G37" s="4" t="s">
        <v>11</v>
      </c>
      <c r="K37" s="4" t="s">
        <v>48</v>
      </c>
      <c r="L37" s="4">
        <f>IF(AND(L35&lt;=(L34/3),L36&lt;=0.25),0,IF(AND(L35&gt;(L34/3),L35&lt;L34),399*(((L35/L34)-0.33)^3*(10*B19)^4),IF(L35&gt;=L34,(115*(L35/L34)+5)*(10*B19)^4)))</f>
        <v>29.588205290452862</v>
      </c>
      <c r="M37" s="4" t="s">
        <v>83</v>
      </c>
      <c r="O37" s="14"/>
    </row>
    <row r="38" spans="1:15" ht="21.75" x14ac:dyDescent="0.2">
      <c r="E38" s="15" t="s">
        <v>49</v>
      </c>
      <c r="F38" s="4">
        <f>B21-F37</f>
        <v>0</v>
      </c>
      <c r="G38" s="4" t="s">
        <v>11</v>
      </c>
      <c r="K38" s="4" t="s">
        <v>50</v>
      </c>
      <c r="L38" s="4">
        <f>((10*B19)*(10*B23)^3)/12</f>
        <v>2666.6666666666665</v>
      </c>
      <c r="M38" s="4" t="s">
        <v>83</v>
      </c>
      <c r="O38" s="14"/>
    </row>
    <row r="39" spans="1:15" x14ac:dyDescent="0.2">
      <c r="E39" s="17"/>
      <c r="K39" s="4" t="s">
        <v>43</v>
      </c>
      <c r="L39" s="4">
        <f>IF(AND(L35&gt;(L34/3),L35&lt;L34,L36&lt;=0.25),MIN(3.57*SQRT(L38/L37)+0.43,4),IF(AND(L35&gt;(L34/3),L35&lt;L34,L36&gt;0.25,L36&lt;=0.8),MIN((4.82-5*L36)*SQRT(L38/L37)+0.43,5.25-5*L36),IF(AND(L35&gt;=L34,L36&lt;=0.25),MIN(3.57*((L38/L37)^1/3)+0.43,4),IF(AND(L35&gt;=L34,L36&gt;0.25,L36&lt;=0.8),MIN((4.82-5*L36)*((L38/L37)^1/3)+0.43,5.25-5*L36)))))</f>
        <v>2.75</v>
      </c>
      <c r="M39" s="4" t="s">
        <v>42</v>
      </c>
      <c r="O39" s="14"/>
    </row>
    <row r="40" spans="1:15" ht="21" x14ac:dyDescent="0.2">
      <c r="E40" s="28" t="s">
        <v>51</v>
      </c>
      <c r="F40" s="29"/>
      <c r="K40" s="4" t="s">
        <v>81</v>
      </c>
      <c r="L40" s="4">
        <f>((B22/B19)/44)*SQRT(B8/L39)</f>
        <v>0.31847684079335026</v>
      </c>
      <c r="M40" s="4" t="s">
        <v>42</v>
      </c>
      <c r="O40" s="14"/>
    </row>
    <row r="41" spans="1:15" x14ac:dyDescent="0.2">
      <c r="E41" s="16" t="s">
        <v>46</v>
      </c>
      <c r="F41" s="3">
        <v>1</v>
      </c>
      <c r="G41" s="4" t="s">
        <v>42</v>
      </c>
      <c r="H41" s="26" t="str">
        <f>IF(F41&gt;=1,"Fully Effective","Partially Effective")</f>
        <v>Fully Effective</v>
      </c>
      <c r="I41" s="27"/>
      <c r="K41" s="18" t="s">
        <v>46</v>
      </c>
      <c r="L41" s="4">
        <f>(L40-0.15-0.05*L33)/(L40)^2</f>
        <v>1.168093889599624</v>
      </c>
      <c r="M41" s="4" t="s">
        <v>42</v>
      </c>
      <c r="N41" s="26" t="str">
        <f>IF(L41&gt;=1,"Fully Effective","Partially Effective")</f>
        <v>Fully Effective</v>
      </c>
      <c r="O41" s="30"/>
    </row>
    <row r="42" spans="1:15" ht="21" x14ac:dyDescent="0.2">
      <c r="E42" s="15" t="s">
        <v>84</v>
      </c>
      <c r="F42" s="4">
        <f>F41*B23</f>
        <v>2</v>
      </c>
      <c r="G42" s="4" t="s">
        <v>11</v>
      </c>
      <c r="K42" s="4" t="s">
        <v>85</v>
      </c>
      <c r="L42" s="4">
        <f>IF(L41&lt;=1,L41*B22,B22)</f>
        <v>6</v>
      </c>
      <c r="M42" s="4" t="s">
        <v>11</v>
      </c>
      <c r="O42" s="14"/>
    </row>
    <row r="43" spans="1:15" x14ac:dyDescent="0.2">
      <c r="E43" s="17"/>
      <c r="K43" s="4" t="s">
        <v>49</v>
      </c>
      <c r="L43" s="4">
        <f>B22-L42</f>
        <v>0</v>
      </c>
      <c r="M43" s="4" t="s">
        <v>11</v>
      </c>
      <c r="O43" s="14"/>
    </row>
    <row r="44" spans="1:15" x14ac:dyDescent="0.2">
      <c r="E44" s="17"/>
      <c r="O44" s="14"/>
    </row>
    <row r="45" spans="1:15" x14ac:dyDescent="0.2">
      <c r="E45" s="17"/>
      <c r="H45" s="31" t="s">
        <v>52</v>
      </c>
      <c r="I45" s="31"/>
      <c r="J45" s="31"/>
      <c r="O45" s="14"/>
    </row>
    <row r="46" spans="1:15" ht="21.75" x14ac:dyDescent="0.2">
      <c r="E46" s="17"/>
      <c r="H46" s="4" t="s">
        <v>86</v>
      </c>
      <c r="I46" s="4">
        <f>B27-((L43*B19)*((B16/2)-(B19/2))^2)</f>
        <v>565.14762840473611</v>
      </c>
      <c r="J46" s="4" t="s">
        <v>74</v>
      </c>
      <c r="O46" s="14"/>
    </row>
    <row r="47" spans="1:15" ht="22.5" thickBot="1" x14ac:dyDescent="0.25">
      <c r="E47" s="6"/>
      <c r="F47" s="7"/>
      <c r="G47" s="7"/>
      <c r="H47" s="8" t="s">
        <v>87</v>
      </c>
      <c r="I47" s="8">
        <f>B31-((L43*B19)*(B17-0.5*L43-B30)^2)</f>
        <v>126.75134247238331</v>
      </c>
      <c r="J47" s="8" t="s">
        <v>74</v>
      </c>
      <c r="K47" s="7"/>
      <c r="L47" s="7"/>
      <c r="M47" s="7"/>
      <c r="N47" s="7"/>
      <c r="O47" s="19"/>
    </row>
    <row r="50" spans="2:16" x14ac:dyDescent="0.2">
      <c r="B50" s="32" t="s">
        <v>59</v>
      </c>
      <c r="C50" s="32"/>
      <c r="F50" s="32" t="s">
        <v>60</v>
      </c>
      <c r="G50" s="32"/>
      <c r="M50" s="32" t="s">
        <v>61</v>
      </c>
      <c r="N50" s="32"/>
    </row>
    <row r="51" spans="2:16" ht="21" x14ac:dyDescent="0.2">
      <c r="B51" s="4" t="s">
        <v>88</v>
      </c>
      <c r="C51" s="4">
        <f>((H17/I46)*(0.5*B16)+(H18/I47)*(B17-B30))/(0.85*B8)</f>
        <v>1.8774505985772671</v>
      </c>
      <c r="D51" s="4" t="str">
        <f>IF(C51&lt;=1,"Safe","Unsafe")</f>
        <v>Unsafe</v>
      </c>
      <c r="F51" s="4" t="s">
        <v>62</v>
      </c>
      <c r="G51" s="4">
        <f>B21/B19</f>
        <v>35</v>
      </c>
      <c r="H51" s="25" t="str">
        <f>IF(G51&lt;=112/SQRT(B8),"Compact Web",IF(AND(G51&gt;112/SQRT(B8),G51&lt;=139/SQRT(B8)),"Non-Compact Web",IF(AND(G51&gt;139/SQRT(B8),G51&lt;=260),"Slender Web")))</f>
        <v>Compact Web</v>
      </c>
      <c r="I51" s="25"/>
      <c r="J51" s="25"/>
      <c r="M51" s="4" t="s">
        <v>63</v>
      </c>
      <c r="N51" s="4">
        <f>(5/384)*((J9*(B11^4))/(2100*I46))</f>
        <v>11.644719296767173</v>
      </c>
      <c r="O51" s="4" t="s">
        <v>11</v>
      </c>
      <c r="P51" s="4" t="str">
        <f>IF(N51&lt;=(B11/200),"Safe","Unsafe")</f>
        <v>Unsafe</v>
      </c>
    </row>
    <row r="52" spans="2:16" ht="21" x14ac:dyDescent="0.2">
      <c r="F52" s="4" t="s">
        <v>89</v>
      </c>
      <c r="G52" s="4">
        <f>IF(H51=F1,0.85*0.6*B8*B16*B19,IF(H51=F2,((112/SQRT(B8))/G26)*0.85*0.6*B8*B16*B19,0.85*B21*B19*(9500/(G26)^2)))</f>
        <v>7.8336000000000006</v>
      </c>
      <c r="H52" s="20" t="str">
        <f>IF(G52&gt;=H19,"Safe","Unsafe")</f>
        <v>Safe</v>
      </c>
    </row>
  </sheetData>
  <mergeCells count="27">
    <mergeCell ref="E22:F23"/>
    <mergeCell ref="E25:F25"/>
    <mergeCell ref="E26:F26"/>
    <mergeCell ref="I26:I28"/>
    <mergeCell ref="B6:C6"/>
    <mergeCell ref="B7:C7"/>
    <mergeCell ref="B10:C10"/>
    <mergeCell ref="E5:F5"/>
    <mergeCell ref="I5:J5"/>
    <mergeCell ref="I6:J6"/>
    <mergeCell ref="M6:N6"/>
    <mergeCell ref="G16:H16"/>
    <mergeCell ref="B50:C50"/>
    <mergeCell ref="F50:G50"/>
    <mergeCell ref="M50:N50"/>
    <mergeCell ref="J26:N28"/>
    <mergeCell ref="E27:F27"/>
    <mergeCell ref="E28:F28"/>
    <mergeCell ref="E30:F31"/>
    <mergeCell ref="E32:F32"/>
    <mergeCell ref="K32:L32"/>
    <mergeCell ref="H51:J51"/>
    <mergeCell ref="H36:I36"/>
    <mergeCell ref="E40:F40"/>
    <mergeCell ref="H41:I41"/>
    <mergeCell ref="N41:O41"/>
    <mergeCell ref="H45:J45"/>
  </mergeCells>
  <phoneticPr fontId="3" type="noConversion"/>
  <conditionalFormatting sqref="D51 H51:H52 P51">
    <cfRule type="cellIs" dxfId="2" priority="3" operator="equal">
      <formula>"safe"</formula>
    </cfRule>
  </conditionalFormatting>
  <conditionalFormatting sqref="D51 H51:H52 P51">
    <cfRule type="cellIs" dxfId="1" priority="2" operator="equal">
      <formula>"unsafe"</formula>
    </cfRule>
  </conditionalFormatting>
  <conditionalFormatting sqref="H51:J51">
    <cfRule type="cellIs" dxfId="0" priority="1" operator="equal">
      <formula>"reduce shear resistance"</formula>
    </cfRule>
  </conditionalFormatting>
  <dataValidations disablePrompts="1" count="3">
    <dataValidation type="list" allowBlank="1" showInputMessage="1" showErrorMessage="1" sqref="B6:C6" xr:uid="{996249CD-3FF8-4F1B-8B3E-ABB0473FE5B6}">
      <formula1>$C$1:$C$2</formula1>
    </dataValidation>
    <dataValidation type="list" allowBlank="1" showInputMessage="1" showErrorMessage="1" sqref="B7:C7" xr:uid="{3A862916-35FD-48ED-AF32-9B69F4F99304}">
      <formula1>$A$1:$A$3</formula1>
    </dataValidation>
    <dataValidation type="list" allowBlank="1" showInputMessage="1" showErrorMessage="1" sqref="B10:C10" xr:uid="{4E209935-A8D1-4721-83EF-B4B5AABF019C}">
      <formula1>$B$1:$B$3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 Formed B.U.S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Omar Ramadan</cp:lastModifiedBy>
  <dcterms:created xsi:type="dcterms:W3CDTF">2019-10-27T17:32:07Z</dcterms:created>
  <dcterms:modified xsi:type="dcterms:W3CDTF">2020-03-29T20:34:29Z</dcterms:modified>
</cp:coreProperties>
</file>