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Study\all about steel structure\Excel Sheets\my sheets\LRFD\"/>
    </mc:Choice>
  </mc:AlternateContent>
  <xr:revisionPtr revIDLastSave="0" documentId="13_ncr:20001_{E91C1BBC-025E-43A2-B776-92ABC95F3EA5}" xr6:coauthVersionLast="47" xr6:coauthVersionMax="47" xr10:uidLastSave="{00000000-0000-0000-0000-000000000000}"/>
  <bookViews>
    <workbookView xWindow="-120" yWindow="-120" windowWidth="20730" windowHeight="11310" activeTab="1" xr2:uid="{34376409-6761-44E9-942C-1D1101BEC17C}"/>
  </bookViews>
  <sheets>
    <sheet name=" Bolted '2C' " sheetId="1" r:id="rId1"/>
    <sheet name="Welded" sheetId="2" r:id="rId2"/>
  </sheets>
  <definedNames>
    <definedName name="omar23">' Bolted ''2C'' '!$S$1:$AI$28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J8" i="2" s="1"/>
  <c r="J9" i="2" s="1"/>
  <c r="B20" i="2"/>
  <c r="B19" i="2"/>
  <c r="B18" i="2"/>
  <c r="F7" i="2" s="1"/>
  <c r="J11" i="2" l="1"/>
  <c r="J10" i="2"/>
  <c r="J13" i="2" s="1"/>
  <c r="F11" i="2"/>
  <c r="F8" i="2"/>
  <c r="F9" i="2" s="1"/>
  <c r="F10" i="2"/>
  <c r="B6" i="2"/>
  <c r="B5" i="2"/>
  <c r="L13" i="2" l="1"/>
  <c r="J12" i="2"/>
  <c r="L12" i="2" s="1"/>
  <c r="F12" i="2"/>
  <c r="F13" i="2" s="1"/>
  <c r="F14" i="2" l="1"/>
  <c r="F15" i="2" s="1"/>
  <c r="H15" i="2" s="1"/>
  <c r="K17" i="1"/>
  <c r="K18" i="1"/>
  <c r="B23" i="1"/>
  <c r="B24" i="1"/>
  <c r="F13" i="1" s="1"/>
  <c r="B22" i="1"/>
  <c r="F15" i="1" l="1"/>
  <c r="F10" i="1"/>
  <c r="B19" i="1"/>
  <c r="B18" i="1"/>
  <c r="B17" i="1"/>
  <c r="K9" i="1" s="1"/>
  <c r="B16" i="1"/>
  <c r="B6" i="1"/>
  <c r="K10" i="1" s="1"/>
  <c r="B5" i="1"/>
  <c r="F11" i="1" l="1"/>
  <c r="F16" i="1" s="1"/>
  <c r="F20" i="1" l="1"/>
  <c r="F22" i="1"/>
  <c r="F17" i="1"/>
  <c r="F21" i="1"/>
  <c r="F12" i="1"/>
  <c r="K20" i="1" l="1"/>
  <c r="K23" i="1" s="1"/>
  <c r="M23" i="1" s="1"/>
  <c r="K19" i="1"/>
  <c r="F18" i="1"/>
  <c r="F19" i="1" s="1"/>
  <c r="K21" i="1" s="1"/>
  <c r="K22" i="1" l="1"/>
  <c r="M22" i="1" s="1"/>
  <c r="F23" i="1"/>
  <c r="F25" i="1" s="1"/>
  <c r="F26" i="1" l="1"/>
  <c r="I25" i="1" s="1"/>
  <c r="M9" i="1" l="1"/>
  <c r="M10" i="1"/>
</calcChain>
</file>

<file path=xl/sharedStrings.xml><?xml version="1.0" encoding="utf-8"?>
<sst xmlns="http://schemas.openxmlformats.org/spreadsheetml/2006/main" count="215" uniqueCount="125">
  <si>
    <t>Steel Type:</t>
  </si>
  <si>
    <t>Fy =</t>
  </si>
  <si>
    <t>Fu =</t>
  </si>
  <si>
    <r>
      <t>t/cm</t>
    </r>
    <r>
      <rPr>
        <b/>
        <vertAlign val="superscript"/>
        <sz val="14"/>
        <color theme="1"/>
        <rFont val="Agency FB"/>
        <family val="2"/>
      </rPr>
      <t>2</t>
    </r>
  </si>
  <si>
    <t>Qx =</t>
  </si>
  <si>
    <t>Qy =</t>
  </si>
  <si>
    <t xml:space="preserve">Mt = </t>
  </si>
  <si>
    <t>ton</t>
  </si>
  <si>
    <t>cm.t</t>
  </si>
  <si>
    <t>Straining Actions:</t>
  </si>
  <si>
    <t>Bolts:</t>
  </si>
  <si>
    <t>diameter =</t>
  </si>
  <si>
    <t>Grade:</t>
  </si>
  <si>
    <t>mm</t>
  </si>
  <si>
    <t>edge dist =</t>
  </si>
  <si>
    <t>pitch dist =</t>
  </si>
  <si>
    <t>cm</t>
  </si>
  <si>
    <t>h</t>
  </si>
  <si>
    <t>h =</t>
  </si>
  <si>
    <t>d =</t>
  </si>
  <si>
    <t>n/2 =</t>
  </si>
  <si>
    <t>bolts</t>
  </si>
  <si>
    <t>hact =</t>
  </si>
  <si>
    <t>Sec.</t>
  </si>
  <si>
    <t>Area</t>
  </si>
  <si>
    <t>Weight</t>
  </si>
  <si>
    <t>Dimensions (mm)</t>
  </si>
  <si>
    <t>x-x</t>
  </si>
  <si>
    <t>y-y</t>
  </si>
  <si>
    <t>For Details</t>
  </si>
  <si>
    <t>b</t>
  </si>
  <si>
    <t>s</t>
  </si>
  <si>
    <t>c</t>
  </si>
  <si>
    <t>h-2c</t>
  </si>
  <si>
    <t>(kg/m`)</t>
  </si>
  <si>
    <t>30x15</t>
  </si>
  <si>
    <t>40x20</t>
  </si>
  <si>
    <t>50x25</t>
  </si>
  <si>
    <t>b =</t>
  </si>
  <si>
    <t>e =</t>
  </si>
  <si>
    <t>C =</t>
  </si>
  <si>
    <r>
      <rPr>
        <b/>
        <sz val="14"/>
        <color theme="1"/>
        <rFont val="Symbol"/>
        <family val="1"/>
        <charset val="2"/>
      </rPr>
      <t>S</t>
    </r>
    <r>
      <rPr>
        <b/>
        <sz val="14"/>
        <color theme="1"/>
        <rFont val="Agency FB"/>
        <family val="2"/>
      </rPr>
      <t>r</t>
    </r>
    <r>
      <rPr>
        <b/>
        <vertAlign val="superscript"/>
        <sz val="14"/>
        <color theme="1"/>
        <rFont val="Agency FB"/>
        <family val="2"/>
      </rPr>
      <t>2</t>
    </r>
    <r>
      <rPr>
        <b/>
        <sz val="14"/>
        <color theme="1"/>
        <rFont val="Agency FB"/>
        <family val="1"/>
        <charset val="2"/>
      </rPr>
      <t xml:space="preserve"> =</t>
    </r>
  </si>
  <si>
    <t>X =</t>
  </si>
  <si>
    <r>
      <t>y</t>
    </r>
    <r>
      <rPr>
        <b/>
        <vertAlign val="subscript"/>
        <sz val="14"/>
        <color theme="1"/>
        <rFont val="Agency FB"/>
        <family val="2"/>
      </rPr>
      <t>1</t>
    </r>
    <r>
      <rPr>
        <b/>
        <sz val="14"/>
        <color theme="1"/>
        <rFont val="Agency FB"/>
        <family val="2"/>
      </rPr>
      <t xml:space="preserve"> =</t>
    </r>
  </si>
  <si>
    <r>
      <t>y</t>
    </r>
    <r>
      <rPr>
        <b/>
        <vertAlign val="subscript"/>
        <sz val="14"/>
        <color theme="1"/>
        <rFont val="Agency FB"/>
        <family val="2"/>
      </rPr>
      <t>2</t>
    </r>
    <r>
      <rPr>
        <b/>
        <sz val="14"/>
        <color theme="1"/>
        <rFont val="Agency FB"/>
        <family val="2"/>
      </rPr>
      <t xml:space="preserve"> =</t>
    </r>
  </si>
  <si>
    <r>
      <t>y</t>
    </r>
    <r>
      <rPr>
        <b/>
        <vertAlign val="subscript"/>
        <sz val="14"/>
        <color theme="1"/>
        <rFont val="Agency FB"/>
        <family val="2"/>
      </rPr>
      <t>3</t>
    </r>
    <r>
      <rPr>
        <b/>
        <sz val="14"/>
        <color theme="1"/>
        <rFont val="Agency FB"/>
        <family val="2"/>
      </rPr>
      <t xml:space="preserve"> =</t>
    </r>
  </si>
  <si>
    <r>
      <t>y</t>
    </r>
    <r>
      <rPr>
        <b/>
        <vertAlign val="subscript"/>
        <sz val="14"/>
        <color theme="1"/>
        <rFont val="Agency FB"/>
        <family val="2"/>
      </rPr>
      <t>4</t>
    </r>
    <r>
      <rPr>
        <b/>
        <sz val="14"/>
        <color theme="1"/>
        <rFont val="Agency FB"/>
        <family val="2"/>
      </rPr>
      <t xml:space="preserve"> =</t>
    </r>
  </si>
  <si>
    <r>
      <t>y</t>
    </r>
    <r>
      <rPr>
        <b/>
        <vertAlign val="subscript"/>
        <sz val="14"/>
        <color theme="1"/>
        <rFont val="Agency FB"/>
        <family val="2"/>
      </rPr>
      <t>5</t>
    </r>
    <r>
      <rPr>
        <b/>
        <sz val="14"/>
        <color theme="1"/>
        <rFont val="Agency FB"/>
        <family val="2"/>
      </rPr>
      <t xml:space="preserve"> =</t>
    </r>
  </si>
  <si>
    <r>
      <t>y</t>
    </r>
    <r>
      <rPr>
        <b/>
        <vertAlign val="subscript"/>
        <sz val="14"/>
        <color theme="1"/>
        <rFont val="Agency FB"/>
        <family val="2"/>
      </rPr>
      <t>6</t>
    </r>
    <r>
      <rPr>
        <b/>
        <sz val="14"/>
        <color theme="1"/>
        <rFont val="Agency FB"/>
        <family val="2"/>
      </rPr>
      <t xml:space="preserve"> =</t>
    </r>
  </si>
  <si>
    <r>
      <t>y</t>
    </r>
    <r>
      <rPr>
        <b/>
        <vertAlign val="subscript"/>
        <sz val="14"/>
        <color theme="1"/>
        <rFont val="Agency FB"/>
        <family val="2"/>
      </rPr>
      <t>7</t>
    </r>
    <r>
      <rPr>
        <b/>
        <sz val="14"/>
        <color theme="1"/>
        <rFont val="Agency FB"/>
        <family val="2"/>
      </rPr>
      <t xml:space="preserve"> =</t>
    </r>
  </si>
  <si>
    <r>
      <t>cm</t>
    </r>
    <r>
      <rPr>
        <b/>
        <vertAlign val="superscript"/>
        <sz val="14"/>
        <color theme="1"/>
        <rFont val="Agency FB"/>
        <family val="2"/>
      </rPr>
      <t>2</t>
    </r>
  </si>
  <si>
    <t>Rx =</t>
  </si>
  <si>
    <t>Ry =</t>
  </si>
  <si>
    <t>R =</t>
  </si>
  <si>
    <t>Checks:</t>
  </si>
  <si>
    <t>Rs.s =</t>
  </si>
  <si>
    <t>Rbr =</t>
  </si>
  <si>
    <t>t =</t>
  </si>
  <si>
    <t>tp =</t>
  </si>
  <si>
    <t>ii- Thickness of G.PL</t>
  </si>
  <si>
    <t>i- Shear on critical bolt</t>
  </si>
  <si>
    <t>Q =</t>
  </si>
  <si>
    <t>M =</t>
  </si>
  <si>
    <t>Anet =</t>
  </si>
  <si>
    <t>Inet =</t>
  </si>
  <si>
    <r>
      <t>cm</t>
    </r>
    <r>
      <rPr>
        <b/>
        <vertAlign val="superscript"/>
        <sz val="14"/>
        <color theme="1"/>
        <rFont val="Agency FB"/>
        <family val="2"/>
      </rPr>
      <t>4</t>
    </r>
  </si>
  <si>
    <t>hrail =</t>
  </si>
  <si>
    <t>dcr girder =</t>
  </si>
  <si>
    <t>f =</t>
  </si>
  <si>
    <t>q =</t>
  </si>
  <si>
    <t>N =</t>
  </si>
  <si>
    <t>t rest plate =</t>
  </si>
  <si>
    <t xml:space="preserve">Plate under crane girder </t>
  </si>
  <si>
    <t>Thickness of bracket</t>
  </si>
  <si>
    <t>Column Section:</t>
  </si>
  <si>
    <r>
      <t>(cm</t>
    </r>
    <r>
      <rPr>
        <b/>
        <vertAlign val="superscript"/>
        <sz val="14"/>
        <color theme="1"/>
        <rFont val="Agency FB"/>
        <family val="2"/>
      </rPr>
      <t>2</t>
    </r>
    <r>
      <rPr>
        <b/>
        <sz val="14"/>
        <color theme="1"/>
        <rFont val="Agency FB"/>
        <family val="2"/>
      </rPr>
      <t>)</t>
    </r>
  </si>
  <si>
    <r>
      <t>t=r</t>
    </r>
    <r>
      <rPr>
        <b/>
        <vertAlign val="subscript"/>
        <sz val="14"/>
        <color theme="1"/>
        <rFont val="Agency FB"/>
        <family val="2"/>
      </rPr>
      <t>2</t>
    </r>
  </si>
  <si>
    <r>
      <t>I</t>
    </r>
    <r>
      <rPr>
        <b/>
        <vertAlign val="subscript"/>
        <sz val="14"/>
        <color theme="1"/>
        <rFont val="Agency FB"/>
        <family val="2"/>
      </rPr>
      <t>x</t>
    </r>
    <r>
      <rPr>
        <b/>
        <sz val="14"/>
        <color theme="1"/>
        <rFont val="Agency FB"/>
        <family val="2"/>
      </rPr>
      <t>(cm</t>
    </r>
    <r>
      <rPr>
        <b/>
        <vertAlign val="superscript"/>
        <sz val="14"/>
        <color theme="1"/>
        <rFont val="Agency FB"/>
        <family val="2"/>
      </rPr>
      <t>4</t>
    </r>
    <r>
      <rPr>
        <b/>
        <sz val="14"/>
        <color theme="1"/>
        <rFont val="Agency FB"/>
        <family val="2"/>
      </rPr>
      <t>)</t>
    </r>
  </si>
  <si>
    <r>
      <t>S</t>
    </r>
    <r>
      <rPr>
        <b/>
        <vertAlign val="subscript"/>
        <sz val="14"/>
        <color theme="1"/>
        <rFont val="Agency FB"/>
        <family val="2"/>
      </rPr>
      <t>x</t>
    </r>
    <r>
      <rPr>
        <b/>
        <sz val="14"/>
        <color theme="1"/>
        <rFont val="Agency FB"/>
        <family val="2"/>
      </rPr>
      <t>(cm</t>
    </r>
    <r>
      <rPr>
        <b/>
        <vertAlign val="superscript"/>
        <sz val="14"/>
        <color theme="1"/>
        <rFont val="Agency FB"/>
        <family val="2"/>
      </rPr>
      <t>3</t>
    </r>
    <r>
      <rPr>
        <b/>
        <sz val="14"/>
        <color theme="1"/>
        <rFont val="Agency FB"/>
        <family val="2"/>
      </rPr>
      <t>)</t>
    </r>
  </si>
  <si>
    <r>
      <t>r</t>
    </r>
    <r>
      <rPr>
        <b/>
        <vertAlign val="subscript"/>
        <sz val="14"/>
        <color theme="1"/>
        <rFont val="Agency FB"/>
        <family val="2"/>
      </rPr>
      <t>x</t>
    </r>
    <r>
      <rPr>
        <b/>
        <sz val="14"/>
        <color theme="1"/>
        <rFont val="Agency FB"/>
        <family val="2"/>
      </rPr>
      <t>(cm)</t>
    </r>
  </si>
  <si>
    <r>
      <t>I</t>
    </r>
    <r>
      <rPr>
        <b/>
        <vertAlign val="subscript"/>
        <sz val="14"/>
        <color theme="1"/>
        <rFont val="Agency FB"/>
        <family val="2"/>
      </rPr>
      <t>y</t>
    </r>
    <r>
      <rPr>
        <b/>
        <sz val="14"/>
        <color theme="1"/>
        <rFont val="Agency FB"/>
        <family val="2"/>
      </rPr>
      <t>(cm</t>
    </r>
    <r>
      <rPr>
        <b/>
        <vertAlign val="superscript"/>
        <sz val="14"/>
        <color theme="1"/>
        <rFont val="Agency FB"/>
        <family val="2"/>
      </rPr>
      <t>4</t>
    </r>
    <r>
      <rPr>
        <b/>
        <sz val="14"/>
        <color theme="1"/>
        <rFont val="Agency FB"/>
        <family val="2"/>
      </rPr>
      <t>)</t>
    </r>
  </si>
  <si>
    <r>
      <t>S</t>
    </r>
    <r>
      <rPr>
        <b/>
        <vertAlign val="subscript"/>
        <sz val="14"/>
        <color theme="1"/>
        <rFont val="Agency FB"/>
        <family val="2"/>
      </rPr>
      <t>y</t>
    </r>
    <r>
      <rPr>
        <b/>
        <sz val="14"/>
        <color theme="1"/>
        <rFont val="Agency FB"/>
        <family val="2"/>
      </rPr>
      <t>(cm</t>
    </r>
    <r>
      <rPr>
        <b/>
        <vertAlign val="superscript"/>
        <sz val="14"/>
        <color theme="1"/>
        <rFont val="Agency FB"/>
        <family val="2"/>
      </rPr>
      <t>3</t>
    </r>
    <r>
      <rPr>
        <b/>
        <sz val="14"/>
        <color theme="1"/>
        <rFont val="Agency FB"/>
        <family val="2"/>
      </rPr>
      <t>)</t>
    </r>
  </si>
  <si>
    <r>
      <t>r</t>
    </r>
    <r>
      <rPr>
        <b/>
        <vertAlign val="subscript"/>
        <sz val="14"/>
        <color theme="1"/>
        <rFont val="Agency FB"/>
        <family val="2"/>
      </rPr>
      <t>y</t>
    </r>
    <r>
      <rPr>
        <b/>
        <sz val="14"/>
        <color theme="1"/>
        <rFont val="Agency FB"/>
        <family val="2"/>
      </rPr>
      <t>(cm)</t>
    </r>
  </si>
  <si>
    <r>
      <t>e</t>
    </r>
    <r>
      <rPr>
        <b/>
        <vertAlign val="subscript"/>
        <sz val="14"/>
        <color theme="1"/>
        <rFont val="Agency FB"/>
        <family val="2"/>
      </rPr>
      <t>y</t>
    </r>
    <r>
      <rPr>
        <b/>
        <sz val="14"/>
        <color theme="1"/>
        <rFont val="Agency FB"/>
        <family val="2"/>
      </rPr>
      <t>(cm)</t>
    </r>
  </si>
  <si>
    <r>
      <t>X</t>
    </r>
    <r>
      <rPr>
        <b/>
        <vertAlign val="subscript"/>
        <sz val="14"/>
        <color theme="1"/>
        <rFont val="Agency FB"/>
        <family val="2"/>
      </rPr>
      <t>m</t>
    </r>
    <r>
      <rPr>
        <b/>
        <sz val="14"/>
        <color theme="1"/>
        <rFont val="Agency FB"/>
        <family val="2"/>
      </rPr>
      <t>(cm)</t>
    </r>
  </si>
  <si>
    <t>s =</t>
  </si>
  <si>
    <t>x =</t>
  </si>
  <si>
    <t>Sec A-A</t>
  </si>
  <si>
    <t>i-  Weld</t>
  </si>
  <si>
    <r>
      <t>(cm</t>
    </r>
    <r>
      <rPr>
        <b/>
        <vertAlign val="superscript"/>
        <sz val="14"/>
        <color theme="1"/>
        <rFont val="Calibri"/>
        <family val="2"/>
      </rPr>
      <t>2</t>
    </r>
    <r>
      <rPr>
        <b/>
        <sz val="14"/>
        <color theme="1"/>
        <rFont val="Calibri"/>
        <family val="2"/>
      </rPr>
      <t>)</t>
    </r>
  </si>
  <si>
    <r>
      <t>t=r</t>
    </r>
    <r>
      <rPr>
        <b/>
        <vertAlign val="subscript"/>
        <sz val="14"/>
        <color theme="1"/>
        <rFont val="Calibri"/>
        <family val="2"/>
      </rPr>
      <t>2</t>
    </r>
  </si>
  <si>
    <r>
      <t>I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>(cm</t>
    </r>
    <r>
      <rPr>
        <b/>
        <vertAlign val="superscript"/>
        <sz val="14"/>
        <color theme="1"/>
        <rFont val="Calibri"/>
        <family val="2"/>
      </rPr>
      <t>4</t>
    </r>
    <r>
      <rPr>
        <b/>
        <sz val="14"/>
        <color theme="1"/>
        <rFont val="Calibri"/>
        <family val="2"/>
      </rPr>
      <t>)</t>
    </r>
  </si>
  <si>
    <r>
      <t>S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>(cm</t>
    </r>
    <r>
      <rPr>
        <b/>
        <vertAlign val="superscript"/>
        <sz val="14"/>
        <color theme="1"/>
        <rFont val="Calibri"/>
        <family val="2"/>
      </rPr>
      <t>3</t>
    </r>
    <r>
      <rPr>
        <b/>
        <sz val="14"/>
        <color theme="1"/>
        <rFont val="Calibri"/>
        <family val="2"/>
      </rPr>
      <t>)</t>
    </r>
  </si>
  <si>
    <r>
      <t>r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>(cm)</t>
    </r>
  </si>
  <si>
    <r>
      <t>I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>(cm</t>
    </r>
    <r>
      <rPr>
        <b/>
        <vertAlign val="superscript"/>
        <sz val="14"/>
        <color theme="1"/>
        <rFont val="Calibri"/>
        <family val="2"/>
      </rPr>
      <t>4</t>
    </r>
    <r>
      <rPr>
        <b/>
        <sz val="14"/>
        <color theme="1"/>
        <rFont val="Calibri"/>
        <family val="2"/>
      </rPr>
      <t>)</t>
    </r>
  </si>
  <si>
    <r>
      <t>S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>(cm</t>
    </r>
    <r>
      <rPr>
        <b/>
        <vertAlign val="superscript"/>
        <sz val="14"/>
        <color theme="1"/>
        <rFont val="Calibri"/>
        <family val="2"/>
      </rPr>
      <t>3</t>
    </r>
    <r>
      <rPr>
        <b/>
        <sz val="14"/>
        <color theme="1"/>
        <rFont val="Calibri"/>
        <family val="2"/>
      </rPr>
      <t>)</t>
    </r>
  </si>
  <si>
    <r>
      <t>r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>(cm)</t>
    </r>
  </si>
  <si>
    <r>
      <t>e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>(cm)</t>
    </r>
  </si>
  <si>
    <r>
      <t>X</t>
    </r>
    <r>
      <rPr>
        <b/>
        <vertAlign val="subscript"/>
        <sz val="14"/>
        <color theme="1"/>
        <rFont val="Calibri"/>
        <family val="2"/>
      </rPr>
      <t>m</t>
    </r>
    <r>
      <rPr>
        <b/>
        <sz val="14"/>
        <color theme="1"/>
        <rFont val="Calibri"/>
        <family val="2"/>
      </rPr>
      <t>(cm)</t>
    </r>
  </si>
  <si>
    <r>
      <t>t/cm</t>
    </r>
    <r>
      <rPr>
        <b/>
        <vertAlign val="superscript"/>
        <sz val="14"/>
        <color theme="1"/>
        <rFont val="Calibri"/>
        <family val="2"/>
      </rPr>
      <t>2</t>
    </r>
  </si>
  <si>
    <r>
      <t xml:space="preserve">A </t>
    </r>
    <r>
      <rPr>
        <b/>
        <vertAlign val="subscript"/>
        <sz val="14"/>
        <color theme="1"/>
        <rFont val="Calibri"/>
        <family val="2"/>
      </rPr>
      <t>weld hz</t>
    </r>
    <r>
      <rPr>
        <b/>
        <sz val="14"/>
        <color theme="1"/>
        <rFont val="Calibri"/>
        <family val="2"/>
      </rPr>
      <t xml:space="preserve"> =</t>
    </r>
  </si>
  <si>
    <r>
      <t>cm</t>
    </r>
    <r>
      <rPr>
        <b/>
        <vertAlign val="superscript"/>
        <sz val="14"/>
        <color theme="1"/>
        <rFont val="Calibri"/>
        <family val="2"/>
      </rPr>
      <t>2</t>
    </r>
  </si>
  <si>
    <r>
      <t xml:space="preserve">A </t>
    </r>
    <r>
      <rPr>
        <b/>
        <vertAlign val="subscript"/>
        <sz val="14"/>
        <color theme="1"/>
        <rFont val="Calibri"/>
        <family val="2"/>
      </rPr>
      <t>weld vl</t>
    </r>
    <r>
      <rPr>
        <b/>
        <sz val="14"/>
        <color theme="1"/>
        <rFont val="Calibri"/>
        <family val="2"/>
      </rPr>
      <t xml:space="preserve"> =</t>
    </r>
  </si>
  <si>
    <r>
      <t xml:space="preserve">A </t>
    </r>
    <r>
      <rPr>
        <b/>
        <vertAlign val="subscript"/>
        <sz val="14"/>
        <color theme="1"/>
        <rFont val="Calibri"/>
        <family val="2"/>
      </rPr>
      <t>weld total</t>
    </r>
    <r>
      <rPr>
        <b/>
        <sz val="14"/>
        <color theme="1"/>
        <rFont val="Calibri"/>
        <family val="2"/>
      </rPr>
      <t xml:space="preserve"> =</t>
    </r>
  </si>
  <si>
    <r>
      <t>I</t>
    </r>
    <r>
      <rPr>
        <b/>
        <vertAlign val="subscript"/>
        <sz val="14"/>
        <color theme="1"/>
        <rFont val="Calibri"/>
        <family val="2"/>
      </rPr>
      <t>x weld</t>
    </r>
    <r>
      <rPr>
        <b/>
        <sz val="14"/>
        <color theme="1"/>
        <rFont val="Calibri"/>
        <family val="2"/>
      </rPr>
      <t xml:space="preserve"> =</t>
    </r>
  </si>
  <si>
    <r>
      <t>cm</t>
    </r>
    <r>
      <rPr>
        <b/>
        <vertAlign val="superscript"/>
        <sz val="14"/>
        <color theme="1"/>
        <rFont val="Calibri"/>
        <family val="2"/>
      </rPr>
      <t>4</t>
    </r>
  </si>
  <si>
    <r>
      <t>I</t>
    </r>
    <r>
      <rPr>
        <b/>
        <vertAlign val="subscript"/>
        <sz val="14"/>
        <color theme="1"/>
        <rFont val="Calibri"/>
        <family val="2"/>
      </rPr>
      <t>y weld</t>
    </r>
    <r>
      <rPr>
        <b/>
        <sz val="14"/>
        <color theme="1"/>
        <rFont val="Calibri"/>
        <family val="2"/>
      </rPr>
      <t xml:space="preserve"> =</t>
    </r>
  </si>
  <si>
    <r>
      <t>cm</t>
    </r>
    <r>
      <rPr>
        <b/>
        <vertAlign val="superscript"/>
        <sz val="14"/>
        <color theme="1"/>
        <rFont val="Calibri"/>
        <family val="2"/>
      </rPr>
      <t>4</t>
    </r>
    <r>
      <rPr>
        <sz val="11"/>
        <color theme="1"/>
        <rFont val="Arial"/>
        <family val="2"/>
        <charset val="178"/>
        <scheme val="minor"/>
      </rPr>
      <t/>
    </r>
  </si>
  <si>
    <r>
      <t xml:space="preserve">I </t>
    </r>
    <r>
      <rPr>
        <b/>
        <vertAlign val="subscript"/>
        <sz val="14"/>
        <color theme="1"/>
        <rFont val="Calibri"/>
        <family val="2"/>
      </rPr>
      <t>polar</t>
    </r>
    <r>
      <rPr>
        <b/>
        <sz val="14"/>
        <color theme="1"/>
        <rFont val="Calibri"/>
        <family val="2"/>
      </rPr>
      <t xml:space="preserve"> =</t>
    </r>
  </si>
  <si>
    <r>
      <t xml:space="preserve">h </t>
    </r>
    <r>
      <rPr>
        <b/>
        <vertAlign val="subscript"/>
        <sz val="14"/>
        <color theme="1"/>
        <rFont val="Calibri"/>
        <family val="2"/>
      </rPr>
      <t>cr. girder</t>
    </r>
    <r>
      <rPr>
        <b/>
        <sz val="14"/>
        <color theme="1"/>
        <rFont val="Calibri"/>
        <family val="2"/>
      </rPr>
      <t xml:space="preserve"> =</t>
    </r>
  </si>
  <si>
    <r>
      <t>q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 xml:space="preserve"> =</t>
    </r>
  </si>
  <si>
    <r>
      <t>q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 xml:space="preserve"> =</t>
    </r>
  </si>
  <si>
    <r>
      <t>q</t>
    </r>
    <r>
      <rPr>
        <b/>
        <vertAlign val="subscript"/>
        <sz val="14"/>
        <color theme="1"/>
        <rFont val="Calibri"/>
        <family val="2"/>
      </rPr>
      <t>eq</t>
    </r>
    <r>
      <rPr>
        <b/>
        <sz val="14"/>
        <color theme="1"/>
        <rFont val="Calibri"/>
        <family val="2"/>
      </rPr>
      <t xml:space="preserve"> =</t>
    </r>
  </si>
  <si>
    <t>st</t>
  </si>
  <si>
    <t>UPN</t>
  </si>
  <si>
    <r>
      <t>A</t>
    </r>
    <r>
      <rPr>
        <b/>
        <vertAlign val="subscript"/>
        <sz val="14"/>
        <color theme="1"/>
        <rFont val="Calibri"/>
        <family val="2"/>
      </rPr>
      <t>gross</t>
    </r>
    <r>
      <rPr>
        <b/>
        <sz val="14"/>
        <color theme="1"/>
        <rFont val="Calibri"/>
        <family val="2"/>
      </rPr>
      <t xml:space="preserve"> =</t>
    </r>
  </si>
  <si>
    <r>
      <t>I</t>
    </r>
    <r>
      <rPr>
        <b/>
        <vertAlign val="subscript"/>
        <sz val="14"/>
        <color theme="1"/>
        <rFont val="Calibri"/>
        <family val="2"/>
      </rPr>
      <t>x gross</t>
    </r>
    <r>
      <rPr>
        <b/>
        <sz val="14"/>
        <color theme="1"/>
        <rFont val="Calibri"/>
        <family val="2"/>
      </rPr>
      <t xml:space="preserve"> =</t>
    </r>
  </si>
  <si>
    <r>
      <t>e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 xml:space="preserve"> =</t>
    </r>
  </si>
  <si>
    <r>
      <t>M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 xml:space="preserve"> =</t>
    </r>
  </si>
  <si>
    <r>
      <t>t</t>
    </r>
    <r>
      <rPr>
        <b/>
        <vertAlign val="subscript"/>
        <sz val="14"/>
        <color theme="1"/>
        <rFont val="Calibri"/>
        <family val="2"/>
      </rPr>
      <t>p</t>
    </r>
    <r>
      <rPr>
        <b/>
        <sz val="14"/>
        <color theme="1"/>
        <rFont val="Calibri"/>
        <family val="2"/>
      </rPr>
      <t xml:space="preserve"> =</t>
    </r>
  </si>
  <si>
    <r>
      <t>Q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 xml:space="preserve"> =</t>
    </r>
  </si>
  <si>
    <r>
      <t>Q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 xml:space="preserve"> =</t>
    </r>
  </si>
  <si>
    <r>
      <t>M</t>
    </r>
    <r>
      <rPr>
        <b/>
        <vertAlign val="subscript"/>
        <sz val="14"/>
        <color theme="1"/>
        <rFont val="Calibri"/>
        <family val="2"/>
      </rPr>
      <t>t</t>
    </r>
    <r>
      <rPr>
        <b/>
        <sz val="14"/>
        <color theme="1"/>
        <rFont val="Calibri"/>
        <family val="2"/>
      </rPr>
      <t xml:space="preserve"> = </t>
    </r>
  </si>
  <si>
    <r>
      <t>F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 xml:space="preserve"> =</t>
    </r>
  </si>
  <si>
    <r>
      <t>F</t>
    </r>
    <r>
      <rPr>
        <b/>
        <vertAlign val="subscript"/>
        <sz val="14"/>
        <color theme="1"/>
        <rFont val="Calibri"/>
        <family val="2"/>
      </rPr>
      <t>u</t>
    </r>
    <r>
      <rPr>
        <b/>
        <sz val="14"/>
        <color theme="1"/>
        <rFont val="Calibri"/>
        <family val="2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</si>
</sst>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Arial"/>
      <family val="2"/>
      <charset val="178"/>
      <scheme val="minor"/>
    </font>
    <font>
      <b/>
      <sz val="14"/>
      <color theme="1"/>
      <name val="Agency FB"/>
      <family val="2"/>
    </font>
    <font>
      <b/>
      <sz val="14"/>
      <color rgb="FFFF0000"/>
      <name val="Agency FB"/>
      <family val="2"/>
    </font>
    <font>
      <b/>
      <vertAlign val="superscript"/>
      <sz val="14"/>
      <color theme="1"/>
      <name val="Agency FB"/>
      <family val="2"/>
    </font>
    <font>
      <sz val="8"/>
      <name val="Arial"/>
      <family val="2"/>
      <charset val="178"/>
      <scheme val="minor"/>
    </font>
    <font>
      <b/>
      <u val="double"/>
      <sz val="14"/>
      <color theme="1"/>
      <name val="Agency FB"/>
      <family val="2"/>
    </font>
    <font>
      <b/>
      <sz val="14"/>
      <color theme="1"/>
      <name val="Symbol"/>
      <family val="1"/>
      <charset val="2"/>
    </font>
    <font>
      <b/>
      <sz val="14"/>
      <color theme="1"/>
      <name val="Agency FB"/>
      <family val="1"/>
      <charset val="2"/>
    </font>
    <font>
      <b/>
      <vertAlign val="subscript"/>
      <sz val="14"/>
      <color theme="1"/>
      <name val="Agency FB"/>
      <family val="2"/>
    </font>
    <font>
      <b/>
      <u/>
      <sz val="14"/>
      <color theme="1"/>
      <name val="Agency FB"/>
      <family val="2"/>
    </font>
    <font>
      <b/>
      <sz val="14"/>
      <color theme="1"/>
      <name val="Agency FB"/>
      <family val="1"/>
      <charset val="178"/>
    </font>
    <font>
      <b/>
      <sz val="14"/>
      <color theme="1"/>
      <name val="Agency FB"/>
      <family val="2"/>
      <charset val="178"/>
    </font>
    <font>
      <b/>
      <sz val="14"/>
      <color theme="0"/>
      <name val="Agency FB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b/>
      <vertAlign val="superscript"/>
      <sz val="14"/>
      <color theme="1"/>
      <name val="Calibri"/>
      <family val="2"/>
    </font>
    <font>
      <b/>
      <vertAlign val="subscript"/>
      <sz val="14"/>
      <color theme="1"/>
      <name val="Calibri"/>
      <family val="2"/>
    </font>
    <font>
      <b/>
      <sz val="14"/>
      <color rgb="FFFF0000"/>
      <name val="Calibri"/>
      <family val="2"/>
    </font>
    <font>
      <b/>
      <u val="double"/>
      <sz val="14"/>
      <color theme="1"/>
      <name val="Calibri"/>
      <family val="2"/>
    </font>
    <font>
      <b/>
      <u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right" vertical="center"/>
    </xf>
    <xf numFmtId="0" fontId="10" fillId="2" borderId="0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top" shrinkToFit="1"/>
    </xf>
    <xf numFmtId="1" fontId="1" fillId="2" borderId="9" xfId="0" applyNumberFormat="1" applyFont="1" applyFill="1" applyBorder="1" applyAlignment="1">
      <alignment horizontal="center" vertical="top" shrinkToFit="1"/>
    </xf>
    <xf numFmtId="164" fontId="1" fillId="2" borderId="9" xfId="0" applyNumberFormat="1" applyFont="1" applyFill="1" applyBorder="1" applyAlignment="1">
      <alignment horizontal="center" vertical="top" shrinkToFit="1"/>
    </xf>
    <xf numFmtId="2" fontId="1" fillId="2" borderId="9" xfId="0" applyNumberFormat="1" applyFont="1" applyFill="1" applyBorder="1" applyAlignment="1">
      <alignment horizontal="right" vertical="top" indent="1" shrinkToFit="1"/>
    </xf>
    <xf numFmtId="1" fontId="1" fillId="2" borderId="9" xfId="0" applyNumberFormat="1" applyFont="1" applyFill="1" applyBorder="1" applyAlignment="1">
      <alignment horizontal="center" vertical="center" shrinkToFit="1"/>
    </xf>
    <xf numFmtId="0" fontId="1" fillId="2" borderId="9" xfId="0" applyFont="1" applyFill="1" applyBorder="1" applyAlignment="1">
      <alignment horizontal="left" vertical="top" wrapText="1" indent="2"/>
    </xf>
    <xf numFmtId="0" fontId="1" fillId="2" borderId="9" xfId="0" applyFont="1" applyFill="1" applyBorder="1" applyAlignment="1">
      <alignment horizontal="left" vertical="top" wrapText="1" indent="1"/>
    </xf>
    <xf numFmtId="0" fontId="1" fillId="2" borderId="9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left" vertical="top" wrapText="1" indent="9"/>
    </xf>
    <xf numFmtId="0" fontId="1" fillId="2" borderId="9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right" vertical="center"/>
    </xf>
    <xf numFmtId="0" fontId="17" fillId="2" borderId="0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2" fontId="14" fillId="2" borderId="9" xfId="0" applyNumberFormat="1" applyFont="1" applyFill="1" applyBorder="1" applyAlignment="1">
      <alignment horizontal="center" vertical="center" shrinkToFit="1"/>
    </xf>
    <xf numFmtId="1" fontId="14" fillId="2" borderId="9" xfId="0" applyNumberFormat="1" applyFont="1" applyFill="1" applyBorder="1" applyAlignment="1">
      <alignment horizontal="center" vertical="center" shrinkToFit="1"/>
    </xf>
    <xf numFmtId="164" fontId="14" fillId="2" borderId="9" xfId="0" applyNumberFormat="1" applyFont="1" applyFill="1" applyBorder="1" applyAlignment="1">
      <alignment horizontal="center" vertical="center" shrinkToFit="1"/>
    </xf>
    <xf numFmtId="2" fontId="14" fillId="2" borderId="9" xfId="0" applyNumberFormat="1" applyFont="1" applyFill="1" applyBorder="1" applyAlignment="1">
      <alignment horizontal="right" vertical="center" shrinkToFit="1"/>
    </xf>
    <xf numFmtId="0" fontId="14" fillId="2" borderId="4" xfId="0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14" fillId="2" borderId="6" xfId="0" applyFont="1" applyFill="1" applyBorder="1" applyAlignment="1">
      <alignment horizontal="right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right" vertical="center"/>
    </xf>
    <xf numFmtId="0" fontId="17" fillId="2" borderId="0" xfId="0" applyFont="1" applyFill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right" vertical="center"/>
    </xf>
    <xf numFmtId="0" fontId="17" fillId="2" borderId="7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18" fillId="2" borderId="4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13758</xdr:colOff>
      <xdr:row>0</xdr:row>
      <xdr:rowOff>0</xdr:rowOff>
    </xdr:from>
    <xdr:to>
      <xdr:col>7</xdr:col>
      <xdr:colOff>28575</xdr:colOff>
      <xdr:row>6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CB0EE7-D142-4E8D-93A0-BC2144EDF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6958" y="0"/>
          <a:ext cx="2072217" cy="1695450"/>
        </a:xfrm>
        <a:prstGeom prst="rect">
          <a:avLst/>
        </a:prstGeom>
      </xdr:spPr>
    </xdr:pic>
    <xdr:clientData/>
  </xdr:twoCellAnchor>
  <xdr:twoCellAnchor editAs="oneCell">
    <xdr:from>
      <xdr:col>13</xdr:col>
      <xdr:colOff>76184</xdr:colOff>
      <xdr:row>0</xdr:row>
      <xdr:rowOff>0</xdr:rowOff>
    </xdr:from>
    <xdr:to>
      <xdr:col>17</xdr:col>
      <xdr:colOff>344159</xdr:colOff>
      <xdr:row>10</xdr:row>
      <xdr:rowOff>228600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9F8C3D-C727-4831-A891-43B1D1A9B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584" y="0"/>
          <a:ext cx="3077850" cy="2790825"/>
        </a:xfrm>
        <a:prstGeom prst="rect">
          <a:avLst/>
        </a:prstGeom>
      </xdr:spPr>
    </xdr:pic>
    <xdr:clientData/>
  </xdr:twoCellAnchor>
  <xdr:twoCellAnchor editAs="oneCell">
    <xdr:from>
      <xdr:col>7</xdr:col>
      <xdr:colOff>171449</xdr:colOff>
      <xdr:row>0</xdr:row>
      <xdr:rowOff>0</xdr:rowOff>
    </xdr:from>
    <xdr:to>
      <xdr:col>9</xdr:col>
      <xdr:colOff>638175</xdr:colOff>
      <xdr:row>3</xdr:row>
      <xdr:rowOff>176087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14E377-29B9-4C8D-A9F1-E3EFF40B39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11" r="10769"/>
        <a:stretch/>
      </xdr:blipFill>
      <xdr:spPr>
        <a:xfrm>
          <a:off x="4972049" y="0"/>
          <a:ext cx="1619251" cy="92856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438149</xdr:colOff>
      <xdr:row>0</xdr:row>
      <xdr:rowOff>0</xdr:rowOff>
    </xdr:from>
    <xdr:to>
      <xdr:col>17</xdr:col>
      <xdr:colOff>553142</xdr:colOff>
      <xdr:row>10</xdr:row>
      <xdr:rowOff>253345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067949-02C2-4A55-9FB7-46405AA999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62"/>
        <a:stretch/>
      </xdr:blipFill>
      <xdr:spPr>
        <a:xfrm>
          <a:off x="8915399" y="0"/>
          <a:ext cx="2858193" cy="2834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5759-90C2-4538-8C14-59108BA9F922}">
  <dimension ref="A1:AI28"/>
  <sheetViews>
    <sheetView workbookViewId="0">
      <selection activeCell="H10" sqref="H10"/>
    </sheetView>
  </sheetViews>
  <sheetFormatPr defaultRowHeight="19.5"/>
  <cols>
    <col min="1" max="8" width="9" style="1"/>
    <col min="9" max="9" width="6.125" style="1" customWidth="1"/>
    <col min="10" max="13" width="9" style="1"/>
    <col min="14" max="14" width="9.875" style="1" customWidth="1"/>
    <col min="15" max="16384" width="9" style="1"/>
  </cols>
  <sheetData>
    <row r="1" spans="1:35">
      <c r="A1" s="22">
        <v>37</v>
      </c>
      <c r="B1" s="22"/>
      <c r="D1" s="22">
        <v>4.5999999999999996</v>
      </c>
      <c r="S1" s="46" t="s">
        <v>23</v>
      </c>
      <c r="T1" s="33" t="s">
        <v>24</v>
      </c>
      <c r="U1" s="41" t="s">
        <v>25</v>
      </c>
      <c r="V1" s="43" t="s">
        <v>26</v>
      </c>
      <c r="W1" s="43"/>
      <c r="X1" s="43"/>
      <c r="Y1" s="43"/>
      <c r="Z1" s="43"/>
      <c r="AA1" s="43"/>
      <c r="AB1" s="42" t="s">
        <v>27</v>
      </c>
      <c r="AC1" s="42"/>
      <c r="AD1" s="42"/>
      <c r="AE1" s="42" t="s">
        <v>28</v>
      </c>
      <c r="AF1" s="42"/>
      <c r="AG1" s="42"/>
      <c r="AH1" s="40" t="s">
        <v>29</v>
      </c>
      <c r="AI1" s="40"/>
    </row>
    <row r="2" spans="1:35">
      <c r="A2" s="22">
        <v>44</v>
      </c>
      <c r="B2" s="22"/>
      <c r="D2" s="22">
        <v>4.8</v>
      </c>
      <c r="S2" s="46"/>
      <c r="T2" s="41" t="s">
        <v>75</v>
      </c>
      <c r="U2" s="41"/>
      <c r="V2" s="42" t="s">
        <v>17</v>
      </c>
      <c r="W2" s="42" t="s">
        <v>30</v>
      </c>
      <c r="X2" s="42" t="s">
        <v>31</v>
      </c>
      <c r="Y2" s="41" t="s">
        <v>76</v>
      </c>
      <c r="Z2" s="42" t="s">
        <v>32</v>
      </c>
      <c r="AA2" s="41" t="s">
        <v>33</v>
      </c>
      <c r="AB2" s="44" t="s">
        <v>77</v>
      </c>
      <c r="AC2" s="44" t="s">
        <v>78</v>
      </c>
      <c r="AD2" s="44" t="s">
        <v>79</v>
      </c>
      <c r="AE2" s="44" t="s">
        <v>80</v>
      </c>
      <c r="AF2" s="44" t="s">
        <v>81</v>
      </c>
      <c r="AG2" s="44" t="s">
        <v>82</v>
      </c>
      <c r="AH2" s="44" t="s">
        <v>83</v>
      </c>
      <c r="AI2" s="44" t="s">
        <v>84</v>
      </c>
    </row>
    <row r="3" spans="1:35" ht="20.25" thickBot="1">
      <c r="A3" s="22">
        <v>52</v>
      </c>
      <c r="B3" s="7"/>
      <c r="D3" s="22">
        <v>5.6</v>
      </c>
      <c r="S3" s="46"/>
      <c r="T3" s="41"/>
      <c r="U3" s="33" t="s">
        <v>34</v>
      </c>
      <c r="V3" s="42"/>
      <c r="W3" s="42"/>
      <c r="X3" s="42"/>
      <c r="Y3" s="41"/>
      <c r="Z3" s="42"/>
      <c r="AA3" s="41"/>
      <c r="AB3" s="44"/>
      <c r="AC3" s="44"/>
      <c r="AD3" s="44"/>
      <c r="AE3" s="44"/>
      <c r="AF3" s="44"/>
      <c r="AG3" s="44"/>
      <c r="AH3" s="44"/>
      <c r="AI3" s="44"/>
    </row>
    <row r="4" spans="1:35">
      <c r="A4" s="2" t="s">
        <v>0</v>
      </c>
      <c r="B4" s="51">
        <v>37</v>
      </c>
      <c r="C4" s="51"/>
      <c r="D4" s="22">
        <v>5.8</v>
      </c>
      <c r="S4" s="34" t="s">
        <v>35</v>
      </c>
      <c r="T4" s="35">
        <v>2.21</v>
      </c>
      <c r="U4" s="35">
        <v>1.74</v>
      </c>
      <c r="V4" s="36">
        <v>30</v>
      </c>
      <c r="W4" s="36">
        <v>15</v>
      </c>
      <c r="X4" s="36">
        <v>4</v>
      </c>
      <c r="Y4" s="37">
        <v>4.5</v>
      </c>
      <c r="Z4" s="37">
        <v>9</v>
      </c>
      <c r="AA4" s="36">
        <v>12</v>
      </c>
      <c r="AB4" s="35">
        <v>2.5299999999999998</v>
      </c>
      <c r="AC4" s="35">
        <v>1.69</v>
      </c>
      <c r="AD4" s="35">
        <v>1.07</v>
      </c>
      <c r="AE4" s="35">
        <v>0.38</v>
      </c>
      <c r="AF4" s="35">
        <v>0.39</v>
      </c>
      <c r="AG4" s="35">
        <v>0.42</v>
      </c>
      <c r="AH4" s="38">
        <v>0.52</v>
      </c>
      <c r="AI4" s="35">
        <v>0.74</v>
      </c>
    </row>
    <row r="5" spans="1:35" ht="21.75">
      <c r="A5" s="3" t="s">
        <v>1</v>
      </c>
      <c r="B5" s="4">
        <f>IF(B4=A1,2.4,IF(B4=A2,2.8,3.6))</f>
        <v>2.4</v>
      </c>
      <c r="C5" s="5" t="s">
        <v>3</v>
      </c>
      <c r="D5" s="22">
        <v>6.8</v>
      </c>
      <c r="S5" s="39">
        <v>30</v>
      </c>
      <c r="T5" s="35">
        <v>5.44</v>
      </c>
      <c r="U5" s="35">
        <v>4.2699999999999996</v>
      </c>
      <c r="V5" s="36">
        <v>30</v>
      </c>
      <c r="W5" s="36">
        <v>33</v>
      </c>
      <c r="X5" s="36">
        <v>5</v>
      </c>
      <c r="Y5" s="37">
        <v>7</v>
      </c>
      <c r="Z5" s="37">
        <v>14.5</v>
      </c>
      <c r="AA5" s="36">
        <v>1</v>
      </c>
      <c r="AB5" s="35">
        <v>6.39</v>
      </c>
      <c r="AC5" s="35">
        <v>4.26</v>
      </c>
      <c r="AD5" s="35">
        <v>1.08</v>
      </c>
      <c r="AE5" s="35">
        <v>5.33</v>
      </c>
      <c r="AF5" s="35">
        <v>2.68</v>
      </c>
      <c r="AG5" s="35">
        <v>0.99</v>
      </c>
      <c r="AH5" s="38">
        <v>1.31</v>
      </c>
      <c r="AI5" s="35">
        <v>2.2200000000000002</v>
      </c>
    </row>
    <row r="6" spans="1:35" ht="22.5" thickBot="1">
      <c r="A6" s="6" t="s">
        <v>2</v>
      </c>
      <c r="B6" s="7">
        <f>IF(B4=A1,3.6,IF(B4=A2,4.4,5.2))</f>
        <v>3.6</v>
      </c>
      <c r="C6" s="8" t="s">
        <v>3</v>
      </c>
      <c r="D6" s="22">
        <v>8.8000000000000007</v>
      </c>
      <c r="S6" s="34" t="s">
        <v>36</v>
      </c>
      <c r="T6" s="35">
        <v>3.66</v>
      </c>
      <c r="U6" s="35">
        <v>2.87</v>
      </c>
      <c r="V6" s="36">
        <v>40</v>
      </c>
      <c r="W6" s="36">
        <v>20</v>
      </c>
      <c r="X6" s="36">
        <v>5</v>
      </c>
      <c r="Y6" s="37">
        <v>5.5</v>
      </c>
      <c r="Z6" s="37">
        <v>11</v>
      </c>
      <c r="AA6" s="36">
        <v>18</v>
      </c>
      <c r="AB6" s="35">
        <v>7.58</v>
      </c>
      <c r="AC6" s="35">
        <v>3.79</v>
      </c>
      <c r="AD6" s="35">
        <v>1.44</v>
      </c>
      <c r="AE6" s="35">
        <v>1.1399999999999999</v>
      </c>
      <c r="AF6" s="35">
        <v>0.86</v>
      </c>
      <c r="AG6" s="35">
        <v>0.56000000000000005</v>
      </c>
      <c r="AH6" s="38">
        <v>0.67</v>
      </c>
      <c r="AI6" s="35">
        <v>1.01</v>
      </c>
    </row>
    <row r="7" spans="1:35" ht="20.25" thickBot="1">
      <c r="D7" s="22">
        <v>10.9</v>
      </c>
      <c r="J7" s="9" t="s">
        <v>54</v>
      </c>
      <c r="S7" s="39">
        <v>40</v>
      </c>
      <c r="T7" s="35">
        <v>6.21</v>
      </c>
      <c r="U7" s="35">
        <v>4.87</v>
      </c>
      <c r="V7" s="36">
        <v>40</v>
      </c>
      <c r="W7" s="36">
        <v>35</v>
      </c>
      <c r="X7" s="36">
        <v>5</v>
      </c>
      <c r="Y7" s="37">
        <v>7</v>
      </c>
      <c r="Z7" s="37">
        <v>14.5</v>
      </c>
      <c r="AA7" s="36">
        <v>11</v>
      </c>
      <c r="AB7" s="35">
        <v>14.1</v>
      </c>
      <c r="AC7" s="35">
        <v>7.05</v>
      </c>
      <c r="AD7" s="35">
        <v>1.5</v>
      </c>
      <c r="AE7" s="35">
        <v>6.68</v>
      </c>
      <c r="AF7" s="35">
        <v>3.08</v>
      </c>
      <c r="AG7" s="35">
        <v>1.04</v>
      </c>
      <c r="AH7" s="38">
        <v>1.33</v>
      </c>
      <c r="AI7" s="35">
        <v>2.3199999999999998</v>
      </c>
    </row>
    <row r="8" spans="1:35">
      <c r="A8" s="52" t="s">
        <v>9</v>
      </c>
      <c r="B8" s="53"/>
      <c r="C8" s="10"/>
      <c r="E8" s="11" t="s">
        <v>39</v>
      </c>
      <c r="F8" s="12">
        <v>30</v>
      </c>
      <c r="G8" s="1" t="s">
        <v>16</v>
      </c>
      <c r="J8" s="47" t="s">
        <v>60</v>
      </c>
      <c r="K8" s="47"/>
      <c r="S8" s="34" t="s">
        <v>37</v>
      </c>
      <c r="T8" s="35">
        <v>4.92</v>
      </c>
      <c r="U8" s="35">
        <v>3.86</v>
      </c>
      <c r="V8" s="36">
        <v>50</v>
      </c>
      <c r="W8" s="36">
        <v>25</v>
      </c>
      <c r="X8" s="36">
        <v>5</v>
      </c>
      <c r="Y8" s="37">
        <v>6</v>
      </c>
      <c r="Z8" s="37">
        <v>12.5</v>
      </c>
      <c r="AA8" s="36">
        <v>25</v>
      </c>
      <c r="AB8" s="35">
        <v>16.600000000000001</v>
      </c>
      <c r="AC8" s="35">
        <v>6.73</v>
      </c>
      <c r="AD8" s="35">
        <v>1.85</v>
      </c>
      <c r="AE8" s="35">
        <v>2.4900000000000002</v>
      </c>
      <c r="AF8" s="35">
        <v>1.48</v>
      </c>
      <c r="AG8" s="35">
        <v>0.71</v>
      </c>
      <c r="AH8" s="38">
        <v>0.81</v>
      </c>
      <c r="AI8" s="35">
        <v>1.34</v>
      </c>
    </row>
    <row r="9" spans="1:35">
      <c r="A9" s="3" t="s">
        <v>4</v>
      </c>
      <c r="B9" s="13">
        <v>0.61</v>
      </c>
      <c r="C9" s="5" t="s">
        <v>7</v>
      </c>
      <c r="E9" s="11" t="s">
        <v>19</v>
      </c>
      <c r="F9" s="12">
        <v>50</v>
      </c>
      <c r="G9" s="1" t="s">
        <v>16</v>
      </c>
      <c r="J9" s="11" t="s">
        <v>55</v>
      </c>
      <c r="K9" s="1">
        <f>((22/7)/4)*(0.1*B14)^2*IF(OR(B15=D1,B15=D3,B15=D6),0.25*B17,0.2*B17)</f>
        <v>9.8214285714285712</v>
      </c>
      <c r="L9" s="1" t="s">
        <v>7</v>
      </c>
      <c r="M9" s="30" t="str">
        <f>IF(K9&gt;=I25,"Safe","Unsafe")</f>
        <v>Safe</v>
      </c>
      <c r="S9" s="39">
        <v>50</v>
      </c>
      <c r="T9" s="35">
        <v>7.12</v>
      </c>
      <c r="U9" s="35">
        <v>5.59</v>
      </c>
      <c r="V9" s="36">
        <v>50</v>
      </c>
      <c r="W9" s="36">
        <v>38</v>
      </c>
      <c r="X9" s="36">
        <v>5</v>
      </c>
      <c r="Y9" s="37">
        <v>7</v>
      </c>
      <c r="Z9" s="37">
        <v>15</v>
      </c>
      <c r="AA9" s="36">
        <v>20</v>
      </c>
      <c r="AB9" s="35">
        <v>26.4</v>
      </c>
      <c r="AC9" s="35">
        <v>10.6</v>
      </c>
      <c r="AD9" s="35">
        <v>1.92</v>
      </c>
      <c r="AE9" s="35">
        <v>9.1199999999999992</v>
      </c>
      <c r="AF9" s="35">
        <v>3.75</v>
      </c>
      <c r="AG9" s="35">
        <v>1.1299999999999999</v>
      </c>
      <c r="AH9" s="38">
        <v>1.37</v>
      </c>
      <c r="AI9" s="35">
        <v>2.4700000000000002</v>
      </c>
    </row>
    <row r="10" spans="1:35">
      <c r="A10" s="28" t="s">
        <v>5</v>
      </c>
      <c r="B10" s="13">
        <v>7.83</v>
      </c>
      <c r="C10" s="4" t="s">
        <v>7</v>
      </c>
      <c r="E10" s="11" t="s">
        <v>18</v>
      </c>
      <c r="F10" s="1">
        <f>ROUND(1.25*F9,0)</f>
        <v>63</v>
      </c>
      <c r="G10" s="1" t="s">
        <v>16</v>
      </c>
      <c r="J10" s="11" t="s">
        <v>56</v>
      </c>
      <c r="K10" s="1">
        <f>0.8*B6*0.1*B14*MIN(0.1*B23,K16)</f>
        <v>10.080000000000002</v>
      </c>
      <c r="L10" s="1" t="s">
        <v>7</v>
      </c>
      <c r="M10" s="22" t="str">
        <f>IF(K10&gt;=I25,"Safe","Unsafe")</f>
        <v>Safe</v>
      </c>
      <c r="S10" s="39">
        <v>60</v>
      </c>
      <c r="T10" s="35">
        <v>6.46</v>
      </c>
      <c r="U10" s="35">
        <v>5.07</v>
      </c>
      <c r="V10" s="36">
        <v>60</v>
      </c>
      <c r="W10" s="36">
        <v>30</v>
      </c>
      <c r="X10" s="36">
        <v>6</v>
      </c>
      <c r="Y10" s="37">
        <v>6</v>
      </c>
      <c r="Z10" s="37">
        <v>12.5</v>
      </c>
      <c r="AA10" s="36">
        <v>35</v>
      </c>
      <c r="AB10" s="35">
        <v>31.6</v>
      </c>
      <c r="AC10" s="35">
        <v>10.5</v>
      </c>
      <c r="AD10" s="35">
        <v>2.21</v>
      </c>
      <c r="AE10" s="35">
        <v>4.51</v>
      </c>
      <c r="AF10" s="35">
        <v>2.16</v>
      </c>
      <c r="AG10" s="35">
        <v>0.84</v>
      </c>
      <c r="AH10" s="38">
        <v>0.91</v>
      </c>
      <c r="AI10" s="35">
        <v>1.5</v>
      </c>
    </row>
    <row r="11" spans="1:35" ht="20.25" thickBot="1">
      <c r="A11" s="6" t="s">
        <v>6</v>
      </c>
      <c r="B11" s="14">
        <v>504</v>
      </c>
      <c r="C11" s="8" t="s">
        <v>8</v>
      </c>
      <c r="E11" s="11" t="s">
        <v>20</v>
      </c>
      <c r="F11" s="1">
        <f>_xlfn.FLOOR.MATH(F10/B19)</f>
        <v>6</v>
      </c>
      <c r="G11" s="4" t="s">
        <v>21</v>
      </c>
      <c r="H11" s="20"/>
      <c r="J11" s="7"/>
      <c r="K11" s="7"/>
      <c r="L11" s="7"/>
      <c r="S11" s="39">
        <v>65</v>
      </c>
      <c r="T11" s="35">
        <v>9.0299999999999994</v>
      </c>
      <c r="U11" s="35">
        <v>7.09</v>
      </c>
      <c r="V11" s="36">
        <v>65</v>
      </c>
      <c r="W11" s="36">
        <v>42</v>
      </c>
      <c r="X11" s="37">
        <v>5.5</v>
      </c>
      <c r="Y11" s="37">
        <v>7.5</v>
      </c>
      <c r="Z11" s="37">
        <v>16</v>
      </c>
      <c r="AA11" s="36">
        <v>33</v>
      </c>
      <c r="AB11" s="35">
        <v>57.5</v>
      </c>
      <c r="AC11" s="35">
        <v>17.7</v>
      </c>
      <c r="AD11" s="35">
        <v>2.52</v>
      </c>
      <c r="AE11" s="35">
        <v>14.1</v>
      </c>
      <c r="AF11" s="35">
        <v>5.07</v>
      </c>
      <c r="AG11" s="35">
        <v>1.25</v>
      </c>
      <c r="AH11" s="38">
        <v>1.42</v>
      </c>
      <c r="AI11" s="35">
        <v>2.6</v>
      </c>
    </row>
    <row r="12" spans="1:35" ht="20.25" thickBot="1">
      <c r="E12" s="11" t="s">
        <v>22</v>
      </c>
      <c r="F12" s="1">
        <f>F11*B19</f>
        <v>60</v>
      </c>
      <c r="G12" s="1" t="s">
        <v>16</v>
      </c>
      <c r="J12" s="47" t="s">
        <v>59</v>
      </c>
      <c r="K12" s="47"/>
      <c r="S12" s="39">
        <v>70</v>
      </c>
      <c r="T12" s="35">
        <v>8.57</v>
      </c>
      <c r="U12" s="35">
        <v>6.73</v>
      </c>
      <c r="V12" s="36">
        <v>70</v>
      </c>
      <c r="W12" s="36">
        <v>40</v>
      </c>
      <c r="X12" s="36">
        <v>6</v>
      </c>
      <c r="Y12" s="37">
        <v>6.5</v>
      </c>
      <c r="Z12" s="37">
        <v>16</v>
      </c>
      <c r="AA12" s="36">
        <v>38</v>
      </c>
      <c r="AB12" s="35">
        <v>61.1</v>
      </c>
      <c r="AC12" s="35">
        <v>17.5</v>
      </c>
      <c r="AD12" s="35">
        <v>2.67</v>
      </c>
      <c r="AE12" s="35">
        <v>11.4</v>
      </c>
      <c r="AF12" s="35">
        <v>4.0999999999999996</v>
      </c>
      <c r="AG12" s="35">
        <v>1.1499999999999999</v>
      </c>
      <c r="AH12" s="38">
        <v>1.22</v>
      </c>
      <c r="AI12" s="35">
        <v>2.2000000000000002</v>
      </c>
    </row>
    <row r="13" spans="1:35" ht="20.25" thickBot="1">
      <c r="A13" s="16" t="s">
        <v>10</v>
      </c>
      <c r="B13" s="18"/>
      <c r="C13" s="10"/>
      <c r="E13" s="27" t="s">
        <v>40</v>
      </c>
      <c r="F13" s="7">
        <f>ROUND(F9+2*B24-0.1*B22,0)</f>
        <v>46</v>
      </c>
      <c r="G13" s="7" t="s">
        <v>16</v>
      </c>
      <c r="J13" s="11" t="s">
        <v>66</v>
      </c>
      <c r="K13" s="12">
        <v>0</v>
      </c>
      <c r="L13" s="1" t="s">
        <v>16</v>
      </c>
      <c r="S13" s="39">
        <v>80</v>
      </c>
      <c r="T13" s="35">
        <v>11</v>
      </c>
      <c r="U13" s="35">
        <v>8.64</v>
      </c>
      <c r="V13" s="36">
        <v>80</v>
      </c>
      <c r="W13" s="36">
        <v>45</v>
      </c>
      <c r="X13" s="36">
        <v>6</v>
      </c>
      <c r="Y13" s="37">
        <v>8</v>
      </c>
      <c r="Z13" s="37">
        <v>17</v>
      </c>
      <c r="AA13" s="36">
        <v>47</v>
      </c>
      <c r="AB13" s="36">
        <v>106</v>
      </c>
      <c r="AC13" s="35">
        <v>26.5</v>
      </c>
      <c r="AD13" s="35">
        <v>3.1</v>
      </c>
      <c r="AE13" s="35">
        <v>19.399999999999999</v>
      </c>
      <c r="AF13" s="35">
        <v>6.36</v>
      </c>
      <c r="AG13" s="35">
        <v>1.33</v>
      </c>
      <c r="AH13" s="38">
        <v>1.45</v>
      </c>
      <c r="AI13" s="35">
        <v>2.67</v>
      </c>
    </row>
    <row r="14" spans="1:35">
      <c r="A14" s="28" t="s">
        <v>11</v>
      </c>
      <c r="B14" s="13">
        <v>25</v>
      </c>
      <c r="C14" s="4" t="s">
        <v>13</v>
      </c>
      <c r="J14" s="11" t="s">
        <v>67</v>
      </c>
      <c r="K14" s="12">
        <v>52.8</v>
      </c>
      <c r="L14" s="1" t="s">
        <v>16</v>
      </c>
      <c r="S14" s="39">
        <v>100</v>
      </c>
      <c r="T14" s="35">
        <v>13.5</v>
      </c>
      <c r="U14" s="35">
        <v>10.6</v>
      </c>
      <c r="V14" s="36">
        <v>100</v>
      </c>
      <c r="W14" s="36">
        <v>50</v>
      </c>
      <c r="X14" s="36">
        <v>6</v>
      </c>
      <c r="Y14" s="37">
        <v>8.5</v>
      </c>
      <c r="Z14" s="37">
        <v>18</v>
      </c>
      <c r="AA14" s="36">
        <v>64</v>
      </c>
      <c r="AB14" s="36">
        <v>206</v>
      </c>
      <c r="AC14" s="35">
        <v>41.2</v>
      </c>
      <c r="AD14" s="35">
        <v>3.91</v>
      </c>
      <c r="AE14" s="35">
        <v>29.3</v>
      </c>
      <c r="AF14" s="35">
        <v>8.49</v>
      </c>
      <c r="AG14" s="35">
        <v>1.47</v>
      </c>
      <c r="AH14" s="38">
        <v>1.55</v>
      </c>
      <c r="AI14" s="35">
        <v>2.93</v>
      </c>
    </row>
    <row r="15" spans="1:35">
      <c r="A15" s="3" t="s">
        <v>12</v>
      </c>
      <c r="B15" s="51">
        <v>10.9</v>
      </c>
      <c r="C15" s="54"/>
      <c r="E15" s="11" t="s">
        <v>42</v>
      </c>
      <c r="F15" s="1">
        <f>F13/2</f>
        <v>23</v>
      </c>
      <c r="G15" s="1" t="s">
        <v>16</v>
      </c>
      <c r="J15" s="11" t="s">
        <v>71</v>
      </c>
      <c r="K15" s="12">
        <v>2</v>
      </c>
      <c r="L15" s="19" t="s">
        <v>16</v>
      </c>
      <c r="M15" s="48" t="s">
        <v>72</v>
      </c>
      <c r="N15" s="48"/>
      <c r="O15" s="23"/>
      <c r="S15" s="39">
        <v>120</v>
      </c>
      <c r="T15" s="35">
        <v>17</v>
      </c>
      <c r="U15" s="35">
        <v>13.4</v>
      </c>
      <c r="V15" s="36">
        <v>120</v>
      </c>
      <c r="W15" s="36">
        <v>55</v>
      </c>
      <c r="X15" s="36">
        <v>7</v>
      </c>
      <c r="Y15" s="37">
        <v>9</v>
      </c>
      <c r="Z15" s="37">
        <v>19</v>
      </c>
      <c r="AA15" s="36">
        <v>82</v>
      </c>
      <c r="AB15" s="36">
        <v>364</v>
      </c>
      <c r="AC15" s="35">
        <v>60.7</v>
      </c>
      <c r="AD15" s="35">
        <v>4.62</v>
      </c>
      <c r="AE15" s="35">
        <v>43.2</v>
      </c>
      <c r="AF15" s="35">
        <v>11.1</v>
      </c>
      <c r="AG15" s="35">
        <v>1.59</v>
      </c>
      <c r="AH15" s="38">
        <v>1.6</v>
      </c>
      <c r="AI15" s="35">
        <v>3.03</v>
      </c>
    </row>
    <row r="16" spans="1:35" ht="21.75">
      <c r="A16" s="3" t="s">
        <v>1</v>
      </c>
      <c r="B16" s="4">
        <f>IF(B15=D1,2.4,IF(B15=D2,3.2,IF(B15=D3,3,IF(B15=D4,4,IF(B15=D5,4.8,IF(B15=D6,6.4,9))))))</f>
        <v>9</v>
      </c>
      <c r="C16" s="5" t="s">
        <v>3</v>
      </c>
      <c r="E16" s="11" t="s">
        <v>43</v>
      </c>
      <c r="F16" s="1">
        <f>IF(ISODD(F11),0,B19/2)</f>
        <v>5</v>
      </c>
      <c r="G16" s="1" t="s">
        <v>16</v>
      </c>
      <c r="J16" s="11" t="s">
        <v>58</v>
      </c>
      <c r="K16" s="12">
        <v>1.5</v>
      </c>
      <c r="L16" s="19" t="s">
        <v>16</v>
      </c>
      <c r="M16" s="48" t="s">
        <v>73</v>
      </c>
      <c r="N16" s="48"/>
      <c r="S16" s="39">
        <v>140</v>
      </c>
      <c r="T16" s="35">
        <v>20.399999999999999</v>
      </c>
      <c r="U16" s="35">
        <v>16</v>
      </c>
      <c r="V16" s="36">
        <v>140</v>
      </c>
      <c r="W16" s="36">
        <v>60</v>
      </c>
      <c r="X16" s="36">
        <v>7</v>
      </c>
      <c r="Y16" s="37">
        <v>10</v>
      </c>
      <c r="Z16" s="37">
        <v>21</v>
      </c>
      <c r="AA16" s="36">
        <v>97</v>
      </c>
      <c r="AB16" s="36">
        <v>605</v>
      </c>
      <c r="AC16" s="35">
        <v>86.4</v>
      </c>
      <c r="AD16" s="35">
        <v>5.45</v>
      </c>
      <c r="AE16" s="35">
        <v>62.7</v>
      </c>
      <c r="AF16" s="35">
        <v>14.8</v>
      </c>
      <c r="AG16" s="35">
        <v>1.75</v>
      </c>
      <c r="AH16" s="38">
        <v>1.75</v>
      </c>
      <c r="AI16" s="35">
        <v>3.37</v>
      </c>
    </row>
    <row r="17" spans="1:35" ht="21.75">
      <c r="A17" s="3" t="s">
        <v>2</v>
      </c>
      <c r="B17" s="4">
        <f>IF(B15=D1,4,IF(B15=D2,4,IF(B15=D3,5,IF(B15=D4,5,IF(B15=D5,6,IF(B15=D6,8,10))))))</f>
        <v>10</v>
      </c>
      <c r="C17" s="5" t="s">
        <v>3</v>
      </c>
      <c r="E17" s="11" t="s">
        <v>44</v>
      </c>
      <c r="F17" s="1">
        <f>B19+F16</f>
        <v>15</v>
      </c>
      <c r="G17" s="1" t="s">
        <v>16</v>
      </c>
      <c r="J17" s="11" t="s">
        <v>70</v>
      </c>
      <c r="K17" s="1">
        <f>B9</f>
        <v>0.61</v>
      </c>
      <c r="L17" s="1" t="s">
        <v>7</v>
      </c>
      <c r="S17" s="39">
        <v>160</v>
      </c>
      <c r="T17" s="35">
        <v>24</v>
      </c>
      <c r="U17" s="35">
        <v>18.8</v>
      </c>
      <c r="V17" s="36">
        <v>160</v>
      </c>
      <c r="W17" s="36">
        <v>65</v>
      </c>
      <c r="X17" s="37">
        <v>7.5</v>
      </c>
      <c r="Y17" s="37">
        <v>10.5</v>
      </c>
      <c r="Z17" s="37">
        <v>22.5</v>
      </c>
      <c r="AA17" s="36">
        <v>116</v>
      </c>
      <c r="AB17" s="36">
        <v>925</v>
      </c>
      <c r="AC17" s="36">
        <v>116</v>
      </c>
      <c r="AD17" s="35">
        <v>6.21</v>
      </c>
      <c r="AE17" s="35">
        <v>85.3</v>
      </c>
      <c r="AF17" s="35">
        <v>18.3</v>
      </c>
      <c r="AG17" s="35">
        <v>1.89</v>
      </c>
      <c r="AH17" s="38">
        <v>1.84</v>
      </c>
      <c r="AI17" s="35">
        <v>3.56</v>
      </c>
    </row>
    <row r="18" spans="1:35" ht="21">
      <c r="A18" s="3" t="s">
        <v>14</v>
      </c>
      <c r="B18" s="4">
        <f>0.5*B19</f>
        <v>5</v>
      </c>
      <c r="C18" s="5" t="s">
        <v>16</v>
      </c>
      <c r="E18" s="11" t="s">
        <v>45</v>
      </c>
      <c r="F18" s="1">
        <f>IF(F11&gt;=5,B19+F17,0)</f>
        <v>25</v>
      </c>
      <c r="G18" s="1" t="s">
        <v>16</v>
      </c>
      <c r="J18" s="11" t="s">
        <v>61</v>
      </c>
      <c r="K18" s="1">
        <f>B10</f>
        <v>7.83</v>
      </c>
      <c r="L18" s="1" t="s">
        <v>7</v>
      </c>
      <c r="S18" s="39">
        <v>180</v>
      </c>
      <c r="T18" s="35">
        <v>28</v>
      </c>
      <c r="U18" s="35">
        <v>22</v>
      </c>
      <c r="V18" s="36">
        <v>180</v>
      </c>
      <c r="W18" s="36">
        <v>70</v>
      </c>
      <c r="X18" s="36">
        <v>8</v>
      </c>
      <c r="Y18" s="37">
        <v>11</v>
      </c>
      <c r="Z18" s="37">
        <v>23.5</v>
      </c>
      <c r="AA18" s="36">
        <v>133</v>
      </c>
      <c r="AB18" s="36">
        <v>1350</v>
      </c>
      <c r="AC18" s="36">
        <v>150</v>
      </c>
      <c r="AD18" s="35">
        <v>6.95</v>
      </c>
      <c r="AE18" s="36">
        <v>114</v>
      </c>
      <c r="AF18" s="35">
        <v>22.4</v>
      </c>
      <c r="AG18" s="35">
        <v>2.02</v>
      </c>
      <c r="AH18" s="38">
        <v>1.92</v>
      </c>
      <c r="AI18" s="35">
        <v>3.75</v>
      </c>
    </row>
    <row r="19" spans="1:35" ht="21.75" thickBot="1">
      <c r="A19" s="6" t="s">
        <v>15</v>
      </c>
      <c r="B19" s="7">
        <f>4*B14*0.1</f>
        <v>10</v>
      </c>
      <c r="C19" s="8" t="s">
        <v>16</v>
      </c>
      <c r="E19" s="11" t="s">
        <v>46</v>
      </c>
      <c r="F19" s="1">
        <f>IF(F11&gt;=7,B19+F18,0)</f>
        <v>0</v>
      </c>
      <c r="G19" s="1" t="s">
        <v>16</v>
      </c>
      <c r="J19" s="11" t="s">
        <v>62</v>
      </c>
      <c r="K19" s="1">
        <f>B10*(F8+0.1*B24+0.5*F9-F15)+B9*(K13+K14+K15+0.5*F12)</f>
        <v>304.13588000000004</v>
      </c>
      <c r="L19" s="1" t="s">
        <v>8</v>
      </c>
      <c r="S19" s="39">
        <v>200</v>
      </c>
      <c r="T19" s="35">
        <v>32.200000000000003</v>
      </c>
      <c r="U19" s="35">
        <v>25.3</v>
      </c>
      <c r="V19" s="36">
        <v>200</v>
      </c>
      <c r="W19" s="36">
        <v>75</v>
      </c>
      <c r="X19" s="37">
        <v>8.5</v>
      </c>
      <c r="Y19" s="37">
        <v>11.5</v>
      </c>
      <c r="Z19" s="37">
        <v>24.5</v>
      </c>
      <c r="AA19" s="36">
        <v>151</v>
      </c>
      <c r="AB19" s="36">
        <v>1910</v>
      </c>
      <c r="AC19" s="36">
        <v>191</v>
      </c>
      <c r="AD19" s="35">
        <v>7.7</v>
      </c>
      <c r="AE19" s="36">
        <v>148</v>
      </c>
      <c r="AF19" s="35">
        <v>27</v>
      </c>
      <c r="AG19" s="35">
        <v>2.14</v>
      </c>
      <c r="AH19" s="38">
        <v>2.0099999999999998</v>
      </c>
      <c r="AI19" s="35">
        <v>3.94</v>
      </c>
    </row>
    <row r="20" spans="1:35" ht="22.5" thickBot="1">
      <c r="A20" s="29"/>
      <c r="B20" s="29"/>
      <c r="E20" s="11" t="s">
        <v>47</v>
      </c>
      <c r="F20" s="1">
        <f>IF(F11&gt;=9,F19+B19,0)</f>
        <v>0</v>
      </c>
      <c r="G20" s="1" t="s">
        <v>16</v>
      </c>
      <c r="J20" s="11" t="s">
        <v>63</v>
      </c>
      <c r="K20" s="1">
        <f>K16*(F12-((0.1*B14+0.2)*F11))</f>
        <v>65.699999999999989</v>
      </c>
      <c r="L20" s="21" t="s">
        <v>50</v>
      </c>
      <c r="S20" s="39">
        <v>220</v>
      </c>
      <c r="T20" s="35">
        <v>37.4</v>
      </c>
      <c r="U20" s="35">
        <v>29.4</v>
      </c>
      <c r="V20" s="36">
        <v>220</v>
      </c>
      <c r="W20" s="36">
        <v>80</v>
      </c>
      <c r="X20" s="36">
        <v>9</v>
      </c>
      <c r="Y20" s="37">
        <v>12.5</v>
      </c>
      <c r="Z20" s="37">
        <v>26.5</v>
      </c>
      <c r="AA20" s="36">
        <v>166</v>
      </c>
      <c r="AB20" s="36">
        <v>2690</v>
      </c>
      <c r="AC20" s="36">
        <v>245</v>
      </c>
      <c r="AD20" s="35">
        <v>8.48</v>
      </c>
      <c r="AE20" s="36">
        <v>197</v>
      </c>
      <c r="AF20" s="35">
        <v>33.6</v>
      </c>
      <c r="AG20" s="35">
        <v>2.2999999999999998</v>
      </c>
      <c r="AH20" s="38">
        <v>2.14</v>
      </c>
      <c r="AI20" s="35">
        <v>4.2</v>
      </c>
    </row>
    <row r="21" spans="1:35" ht="21.75">
      <c r="A21" s="49" t="s">
        <v>74</v>
      </c>
      <c r="B21" s="50"/>
      <c r="C21" s="17">
        <v>260</v>
      </c>
      <c r="E21" s="11" t="s">
        <v>48</v>
      </c>
      <c r="F21" s="1">
        <f>IF(F11&gt;=11,F20+B19,0)</f>
        <v>0</v>
      </c>
      <c r="G21" s="1" t="s">
        <v>16</v>
      </c>
      <c r="J21" s="25" t="s">
        <v>64</v>
      </c>
      <c r="K21" s="24">
        <f>((K16*F12^3)/12)-(2*K16*(0.1*B14+0.2)*(F16^2+F17^2+F18^2+F19^2+F20^2+F21^2+F22^2))</f>
        <v>19912.5</v>
      </c>
      <c r="L21" s="15" t="s">
        <v>65</v>
      </c>
      <c r="S21" s="39">
        <v>240</v>
      </c>
      <c r="T21" s="35">
        <v>42.3</v>
      </c>
      <c r="U21" s="35">
        <v>33.200000000000003</v>
      </c>
      <c r="V21" s="36">
        <v>240</v>
      </c>
      <c r="W21" s="36">
        <v>85</v>
      </c>
      <c r="X21" s="37">
        <v>9.5</v>
      </c>
      <c r="Y21" s="37">
        <v>13</v>
      </c>
      <c r="Z21" s="37">
        <v>28</v>
      </c>
      <c r="AA21" s="36">
        <v>185</v>
      </c>
      <c r="AB21" s="36">
        <v>3600</v>
      </c>
      <c r="AC21" s="36">
        <v>300</v>
      </c>
      <c r="AD21" s="35">
        <v>9.2200000000000006</v>
      </c>
      <c r="AE21" s="36">
        <v>248</v>
      </c>
      <c r="AF21" s="35">
        <v>39.6</v>
      </c>
      <c r="AG21" s="35">
        <v>2.42</v>
      </c>
      <c r="AH21" s="38">
        <v>2.23</v>
      </c>
      <c r="AI21" s="35">
        <v>4.3899999999999997</v>
      </c>
    </row>
    <row r="22" spans="1:35" ht="21.75">
      <c r="A22" s="3" t="s">
        <v>38</v>
      </c>
      <c r="B22" s="4">
        <f>VLOOKUP(C21,omar23,5,FALSE)</f>
        <v>90</v>
      </c>
      <c r="C22" s="5" t="s">
        <v>13</v>
      </c>
      <c r="E22" s="25" t="s">
        <v>49</v>
      </c>
      <c r="F22" s="24">
        <f>IF(F11&gt;=13,F21+B19,0)</f>
        <v>0</v>
      </c>
      <c r="G22" s="24" t="s">
        <v>16</v>
      </c>
      <c r="J22" s="11" t="s">
        <v>68</v>
      </c>
      <c r="K22" s="1">
        <f>(K17/K20)+((K19/K21)*0.5*F12)</f>
        <v>0.46749310920207421</v>
      </c>
      <c r="L22" s="4" t="s">
        <v>3</v>
      </c>
      <c r="M22" s="31" t="str">
        <f>IF(K22&lt;=0.58*B5,"Safe","Unsafe")</f>
        <v>Safe</v>
      </c>
      <c r="S22" s="39">
        <v>260</v>
      </c>
      <c r="T22" s="35">
        <v>48.3</v>
      </c>
      <c r="U22" s="35">
        <v>37.9</v>
      </c>
      <c r="V22" s="36">
        <v>260</v>
      </c>
      <c r="W22" s="36">
        <v>90</v>
      </c>
      <c r="X22" s="36">
        <v>10</v>
      </c>
      <c r="Y22" s="37">
        <v>14</v>
      </c>
      <c r="Z22" s="37">
        <v>30</v>
      </c>
      <c r="AA22" s="36">
        <v>201</v>
      </c>
      <c r="AB22" s="36">
        <v>4820</v>
      </c>
      <c r="AC22" s="36">
        <v>371</v>
      </c>
      <c r="AD22" s="35">
        <v>9.99</v>
      </c>
      <c r="AE22" s="36">
        <v>317</v>
      </c>
      <c r="AF22" s="35">
        <v>47.7</v>
      </c>
      <c r="AG22" s="35">
        <v>2.56</v>
      </c>
      <c r="AH22" s="38">
        <v>2.36</v>
      </c>
      <c r="AI22" s="35">
        <v>4.66</v>
      </c>
    </row>
    <row r="23" spans="1:35" ht="21.75">
      <c r="A23" s="3" t="s">
        <v>57</v>
      </c>
      <c r="B23" s="4">
        <f>VLOOKUP(C21,omar23,7,FALSE)</f>
        <v>14</v>
      </c>
      <c r="C23" s="5" t="s">
        <v>13</v>
      </c>
      <c r="E23" s="26" t="s">
        <v>41</v>
      </c>
      <c r="F23" s="21">
        <f>2*F11*F15^2+4*(F16^2+F17^2+F18^2+F19^2+F20^2+F21^2+F22^2)</f>
        <v>9848</v>
      </c>
      <c r="G23" s="21" t="s">
        <v>50</v>
      </c>
      <c r="J23" s="11" t="s">
        <v>69</v>
      </c>
      <c r="K23" s="1">
        <f>1.5*(K18/K20)</f>
        <v>0.17876712328767128</v>
      </c>
      <c r="L23" s="4" t="s">
        <v>3</v>
      </c>
      <c r="M23" s="32" t="str">
        <f>IF(K23&lt;=0.35*B5,"Safe","Unsafe")</f>
        <v>Safe</v>
      </c>
      <c r="S23" s="39">
        <v>280</v>
      </c>
      <c r="T23" s="35">
        <v>53.3</v>
      </c>
      <c r="U23" s="35">
        <v>41.8</v>
      </c>
      <c r="V23" s="36">
        <v>280</v>
      </c>
      <c r="W23" s="36">
        <v>95</v>
      </c>
      <c r="X23" s="36">
        <v>10</v>
      </c>
      <c r="Y23" s="37">
        <v>15</v>
      </c>
      <c r="Z23" s="37">
        <v>32</v>
      </c>
      <c r="AA23" s="36">
        <v>213</v>
      </c>
      <c r="AB23" s="36">
        <v>6280</v>
      </c>
      <c r="AC23" s="36">
        <v>448</v>
      </c>
      <c r="AD23" s="35">
        <v>10.9</v>
      </c>
      <c r="AE23" s="36">
        <v>399</v>
      </c>
      <c r="AF23" s="35">
        <v>57.2</v>
      </c>
      <c r="AG23" s="35">
        <v>2.74</v>
      </c>
      <c r="AH23" s="38">
        <v>2.5299999999999998</v>
      </c>
      <c r="AI23" s="35">
        <v>5.0199999999999996</v>
      </c>
    </row>
    <row r="24" spans="1:35" ht="20.25" thickBot="1">
      <c r="A24" s="6" t="s">
        <v>39</v>
      </c>
      <c r="B24" s="7">
        <f>VLOOKUP(C21,omar23,16,FALSE)</f>
        <v>2.36</v>
      </c>
      <c r="C24" s="4" t="s">
        <v>16</v>
      </c>
      <c r="S24" s="39">
        <v>300</v>
      </c>
      <c r="T24" s="35">
        <v>58.8</v>
      </c>
      <c r="U24" s="35">
        <v>46.2</v>
      </c>
      <c r="V24" s="36">
        <v>300</v>
      </c>
      <c r="W24" s="36">
        <v>100</v>
      </c>
      <c r="X24" s="36">
        <v>10</v>
      </c>
      <c r="Y24" s="37">
        <v>16</v>
      </c>
      <c r="Z24" s="37">
        <v>34</v>
      </c>
      <c r="AA24" s="36">
        <v>232</v>
      </c>
      <c r="AB24" s="36">
        <v>8030</v>
      </c>
      <c r="AC24" s="36">
        <v>535</v>
      </c>
      <c r="AD24" s="35">
        <v>11.7</v>
      </c>
      <c r="AE24" s="36">
        <v>495</v>
      </c>
      <c r="AF24" s="35">
        <v>67.8</v>
      </c>
      <c r="AG24" s="35">
        <v>2.9</v>
      </c>
      <c r="AH24" s="38">
        <v>2.7</v>
      </c>
      <c r="AI24" s="35">
        <v>5.41</v>
      </c>
    </row>
    <row r="25" spans="1:35">
      <c r="E25" s="11" t="s">
        <v>51</v>
      </c>
      <c r="F25" s="1">
        <f>(B9/(2*F11))+((B11/F23)*IF(OR(F11=3,F11=4),F17,IF(OR(F11=5,F11=6),F18,IF(OR(F11=7,F11=8),F19,IF(OR(F11=9,F11=10),F20,IF(OR(F11=11,F11=12),F21,IF(OR(F11=13,F11=14),F22)))))))</f>
        <v>1.3302809369076631</v>
      </c>
      <c r="G25" s="19" t="s">
        <v>7</v>
      </c>
      <c r="H25" s="45" t="s">
        <v>53</v>
      </c>
      <c r="I25" s="45">
        <f>SQRT(F25^2+F26^2)</f>
        <v>2.2620905173061709</v>
      </c>
      <c r="J25" s="45" t="s">
        <v>7</v>
      </c>
      <c r="S25" s="39">
        <v>320</v>
      </c>
      <c r="T25" s="35">
        <v>75.8</v>
      </c>
      <c r="U25" s="35">
        <v>59.5</v>
      </c>
      <c r="V25" s="36">
        <v>320</v>
      </c>
      <c r="W25" s="36">
        <v>100</v>
      </c>
      <c r="X25" s="36">
        <v>14</v>
      </c>
      <c r="Y25" s="37">
        <v>17.5</v>
      </c>
      <c r="Z25" s="37">
        <v>37</v>
      </c>
      <c r="AA25" s="36">
        <v>247</v>
      </c>
      <c r="AB25" s="36">
        <v>10870</v>
      </c>
      <c r="AC25" s="36">
        <v>679</v>
      </c>
      <c r="AD25" s="35">
        <v>12.1</v>
      </c>
      <c r="AE25" s="36">
        <v>597</v>
      </c>
      <c r="AF25" s="35">
        <v>80.599999999999994</v>
      </c>
      <c r="AG25" s="35">
        <v>2.81</v>
      </c>
      <c r="AH25" s="38">
        <v>2.6</v>
      </c>
      <c r="AI25" s="35">
        <v>4.82</v>
      </c>
    </row>
    <row r="26" spans="1:35">
      <c r="E26" s="11" t="s">
        <v>52</v>
      </c>
      <c r="F26" s="1">
        <f>(B10/(2*F11))+((B11/F23)*F15)</f>
        <v>1.8295917952883833</v>
      </c>
      <c r="G26" s="19" t="s">
        <v>7</v>
      </c>
      <c r="H26" s="45"/>
      <c r="I26" s="45"/>
      <c r="J26" s="45"/>
      <c r="S26" s="39">
        <v>350</v>
      </c>
      <c r="T26" s="35">
        <v>77.3</v>
      </c>
      <c r="U26" s="35">
        <v>60.6</v>
      </c>
      <c r="V26" s="36">
        <v>350</v>
      </c>
      <c r="W26" s="36">
        <v>100</v>
      </c>
      <c r="X26" s="36">
        <v>14</v>
      </c>
      <c r="Y26" s="37">
        <v>16</v>
      </c>
      <c r="Z26" s="37">
        <v>34</v>
      </c>
      <c r="AA26" s="36">
        <v>283</v>
      </c>
      <c r="AB26" s="36">
        <v>12840</v>
      </c>
      <c r="AC26" s="36">
        <v>734</v>
      </c>
      <c r="AD26" s="35">
        <v>12.9</v>
      </c>
      <c r="AE26" s="36">
        <v>570</v>
      </c>
      <c r="AF26" s="35">
        <v>75</v>
      </c>
      <c r="AG26" s="35">
        <v>2.72</v>
      </c>
      <c r="AH26" s="38">
        <v>2.4</v>
      </c>
      <c r="AI26" s="35">
        <v>4.45</v>
      </c>
    </row>
    <row r="27" spans="1:35">
      <c r="S27" s="39">
        <v>380</v>
      </c>
      <c r="T27" s="35">
        <v>80.400000000000006</v>
      </c>
      <c r="U27" s="35">
        <v>63.1</v>
      </c>
      <c r="V27" s="36">
        <v>380</v>
      </c>
      <c r="W27" s="36">
        <v>102</v>
      </c>
      <c r="X27" s="37">
        <v>13.5</v>
      </c>
      <c r="Y27" s="37">
        <v>16</v>
      </c>
      <c r="Z27" s="37">
        <v>33.5</v>
      </c>
      <c r="AA27" s="36">
        <v>313</v>
      </c>
      <c r="AB27" s="36">
        <v>15760</v>
      </c>
      <c r="AC27" s="36">
        <v>829</v>
      </c>
      <c r="AD27" s="35">
        <v>14</v>
      </c>
      <c r="AE27" s="36">
        <v>615</v>
      </c>
      <c r="AF27" s="35">
        <v>78.7</v>
      </c>
      <c r="AG27" s="35">
        <v>2.77</v>
      </c>
      <c r="AH27" s="38">
        <v>2.38</v>
      </c>
      <c r="AI27" s="35">
        <v>4.58</v>
      </c>
    </row>
    <row r="28" spans="1:35">
      <c r="S28" s="39">
        <v>400</v>
      </c>
      <c r="T28" s="35">
        <v>91.5</v>
      </c>
      <c r="U28" s="35">
        <v>71.8</v>
      </c>
      <c r="V28" s="36">
        <v>400</v>
      </c>
      <c r="W28" s="36">
        <v>110</v>
      </c>
      <c r="X28" s="36">
        <v>14</v>
      </c>
      <c r="Y28" s="37">
        <v>18</v>
      </c>
      <c r="Z28" s="37">
        <v>38</v>
      </c>
      <c r="AA28" s="36">
        <v>325</v>
      </c>
      <c r="AB28" s="36">
        <v>20350</v>
      </c>
      <c r="AC28" s="36">
        <v>1020</v>
      </c>
      <c r="AD28" s="35">
        <v>14.9</v>
      </c>
      <c r="AE28" s="36">
        <v>846</v>
      </c>
      <c r="AF28" s="35">
        <v>102</v>
      </c>
      <c r="AG28" s="35">
        <v>3.04</v>
      </c>
      <c r="AH28" s="38">
        <v>2.65</v>
      </c>
      <c r="AI28" s="35">
        <v>5.1100000000000003</v>
      </c>
    </row>
  </sheetData>
  <mergeCells count="32">
    <mergeCell ref="A21:B21"/>
    <mergeCell ref="AE2:AE3"/>
    <mergeCell ref="AF2:AF3"/>
    <mergeCell ref="AG2:AG3"/>
    <mergeCell ref="M16:N16"/>
    <mergeCell ref="B4:C4"/>
    <mergeCell ref="A8:B8"/>
    <mergeCell ref="B15:C15"/>
    <mergeCell ref="H25:H26"/>
    <mergeCell ref="I25:I26"/>
    <mergeCell ref="J25:J26"/>
    <mergeCell ref="AB1:AD1"/>
    <mergeCell ref="AE1:AG1"/>
    <mergeCell ref="S1:S3"/>
    <mergeCell ref="J12:K12"/>
    <mergeCell ref="J8:K8"/>
    <mergeCell ref="M15:N15"/>
    <mergeCell ref="AH1:AI1"/>
    <mergeCell ref="T2:T3"/>
    <mergeCell ref="V2:V3"/>
    <mergeCell ref="W2:W3"/>
    <mergeCell ref="X2:X3"/>
    <mergeCell ref="Y2:Y3"/>
    <mergeCell ref="Z2:Z3"/>
    <mergeCell ref="AA2:AA3"/>
    <mergeCell ref="V1:AA1"/>
    <mergeCell ref="AH2:AH3"/>
    <mergeCell ref="AI2:AI3"/>
    <mergeCell ref="AB2:AB3"/>
    <mergeCell ref="AC2:AC3"/>
    <mergeCell ref="AD2:AD3"/>
    <mergeCell ref="U1:U2"/>
  </mergeCells>
  <phoneticPr fontId="4" type="noConversion"/>
  <conditionalFormatting sqref="M9:M10 M22:M23">
    <cfRule type="cellIs" dxfId="3" priority="1" operator="equal">
      <formula>"unsafe"</formula>
    </cfRule>
    <cfRule type="cellIs" dxfId="2" priority="2" operator="equal">
      <formula>"safe"</formula>
    </cfRule>
  </conditionalFormatting>
  <dataValidations disablePrompts="1" count="3">
    <dataValidation type="list" allowBlank="1" showInputMessage="1" showErrorMessage="1" sqref="B4" xr:uid="{B047D16B-121C-4869-BC00-FF20CE80F93B}">
      <formula1>$A$1:$A$3</formula1>
    </dataValidation>
    <dataValidation type="list" allowBlank="1" showInputMessage="1" showErrorMessage="1" sqref="B15" xr:uid="{36993067-B554-4E83-A566-E593417DC03B}">
      <formula1>$D$1:$D$7</formula1>
    </dataValidation>
    <dataValidation type="list" allowBlank="1" showInputMessage="1" showErrorMessage="1" sqref="C21" xr:uid="{F5D807DE-0E56-4590-8BAA-10EF40925B74}">
      <formula1>$S$4:$S$28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1BD8-61A2-47A7-8C08-B7F76E3A141B}">
  <dimension ref="A1:AJ28"/>
  <sheetViews>
    <sheetView tabSelected="1" workbookViewId="0">
      <selection activeCell="E12" sqref="E12"/>
    </sheetView>
  </sheetViews>
  <sheetFormatPr defaultRowHeight="18.75"/>
  <cols>
    <col min="1" max="1" width="10.375" style="57" customWidth="1"/>
    <col min="2" max="2" width="6.25" style="57" customWidth="1"/>
    <col min="3" max="3" width="6.125" style="57" customWidth="1"/>
    <col min="4" max="16384" width="9" style="57"/>
  </cols>
  <sheetData>
    <row r="1" spans="1:36">
      <c r="A1" s="55">
        <v>37</v>
      </c>
      <c r="B1" s="55"/>
      <c r="C1" s="56"/>
      <c r="T1" s="58" t="s">
        <v>23</v>
      </c>
      <c r="U1" s="59" t="s">
        <v>24</v>
      </c>
      <c r="V1" s="60" t="s">
        <v>25</v>
      </c>
      <c r="W1" s="60" t="s">
        <v>26</v>
      </c>
      <c r="X1" s="60"/>
      <c r="Y1" s="60"/>
      <c r="Z1" s="60"/>
      <c r="AA1" s="60"/>
      <c r="AB1" s="60"/>
      <c r="AC1" s="58" t="s">
        <v>27</v>
      </c>
      <c r="AD1" s="58"/>
      <c r="AE1" s="58"/>
      <c r="AF1" s="58" t="s">
        <v>28</v>
      </c>
      <c r="AG1" s="58"/>
      <c r="AH1" s="58"/>
      <c r="AI1" s="60" t="s">
        <v>29</v>
      </c>
      <c r="AJ1" s="60"/>
    </row>
    <row r="2" spans="1:36">
      <c r="A2" s="55">
        <v>44</v>
      </c>
      <c r="B2" s="55"/>
      <c r="C2" s="56"/>
      <c r="T2" s="58"/>
      <c r="U2" s="60" t="s">
        <v>89</v>
      </c>
      <c r="V2" s="60"/>
      <c r="W2" s="58" t="s">
        <v>17</v>
      </c>
      <c r="X2" s="58" t="s">
        <v>30</v>
      </c>
      <c r="Y2" s="58" t="s">
        <v>31</v>
      </c>
      <c r="Z2" s="60" t="s">
        <v>90</v>
      </c>
      <c r="AA2" s="58" t="s">
        <v>32</v>
      </c>
      <c r="AB2" s="60" t="s">
        <v>33</v>
      </c>
      <c r="AC2" s="60" t="s">
        <v>91</v>
      </c>
      <c r="AD2" s="60" t="s">
        <v>92</v>
      </c>
      <c r="AE2" s="60" t="s">
        <v>93</v>
      </c>
      <c r="AF2" s="60" t="s">
        <v>94</v>
      </c>
      <c r="AG2" s="60" t="s">
        <v>95</v>
      </c>
      <c r="AH2" s="60" t="s">
        <v>96</v>
      </c>
      <c r="AI2" s="60" t="s">
        <v>97</v>
      </c>
      <c r="AJ2" s="60" t="s">
        <v>98</v>
      </c>
    </row>
    <row r="3" spans="1:36" ht="19.5" thickBot="1">
      <c r="A3" s="55">
        <v>52</v>
      </c>
      <c r="B3" s="61"/>
      <c r="C3" s="56"/>
      <c r="T3" s="58"/>
      <c r="U3" s="60"/>
      <c r="V3" s="59" t="s">
        <v>34</v>
      </c>
      <c r="W3" s="58"/>
      <c r="X3" s="58"/>
      <c r="Y3" s="58"/>
      <c r="Z3" s="60"/>
      <c r="AA3" s="58"/>
      <c r="AB3" s="60"/>
      <c r="AC3" s="60"/>
      <c r="AD3" s="60"/>
      <c r="AE3" s="60"/>
      <c r="AF3" s="60"/>
      <c r="AG3" s="60"/>
      <c r="AH3" s="60"/>
      <c r="AI3" s="60"/>
      <c r="AJ3" s="60"/>
    </row>
    <row r="4" spans="1:36">
      <c r="A4" s="62" t="s">
        <v>113</v>
      </c>
      <c r="B4" s="63">
        <v>37</v>
      </c>
      <c r="C4" s="63"/>
      <c r="E4" s="64" t="s">
        <v>54</v>
      </c>
      <c r="T4" s="59" t="s">
        <v>35</v>
      </c>
      <c r="U4" s="65">
        <v>2.21</v>
      </c>
      <c r="V4" s="65">
        <v>1.74</v>
      </c>
      <c r="W4" s="66">
        <v>30</v>
      </c>
      <c r="X4" s="66">
        <v>15</v>
      </c>
      <c r="Y4" s="66">
        <v>4</v>
      </c>
      <c r="Z4" s="67">
        <v>4.5</v>
      </c>
      <c r="AA4" s="67">
        <v>9</v>
      </c>
      <c r="AB4" s="66">
        <v>12</v>
      </c>
      <c r="AC4" s="65">
        <v>2.5299999999999998</v>
      </c>
      <c r="AD4" s="65">
        <v>1.69</v>
      </c>
      <c r="AE4" s="65">
        <v>1.07</v>
      </c>
      <c r="AF4" s="65">
        <v>0.38</v>
      </c>
      <c r="AG4" s="65">
        <v>0.39</v>
      </c>
      <c r="AH4" s="65">
        <v>0.42</v>
      </c>
      <c r="AI4" s="68">
        <v>0.52</v>
      </c>
      <c r="AJ4" s="65">
        <v>0.74</v>
      </c>
    </row>
    <row r="5" spans="1:36" ht="21">
      <c r="A5" s="69" t="s">
        <v>123</v>
      </c>
      <c r="B5" s="70">
        <f>IF(B4=A1,2.4,IF(B4=A2,2.8,3.6))</f>
        <v>2.4</v>
      </c>
      <c r="C5" s="71" t="s">
        <v>99</v>
      </c>
      <c r="E5" s="72" t="s">
        <v>88</v>
      </c>
      <c r="F5" s="72"/>
      <c r="I5" s="72" t="s">
        <v>59</v>
      </c>
      <c r="J5" s="72"/>
      <c r="K5" s="73" t="s">
        <v>87</v>
      </c>
      <c r="T5" s="66">
        <v>30</v>
      </c>
      <c r="U5" s="65">
        <v>5.44</v>
      </c>
      <c r="V5" s="65">
        <v>4.2699999999999996</v>
      </c>
      <c r="W5" s="66">
        <v>30</v>
      </c>
      <c r="X5" s="66">
        <v>33</v>
      </c>
      <c r="Y5" s="66">
        <v>5</v>
      </c>
      <c r="Z5" s="67">
        <v>7</v>
      </c>
      <c r="AA5" s="67">
        <v>14.5</v>
      </c>
      <c r="AB5" s="66">
        <v>1</v>
      </c>
      <c r="AC5" s="65">
        <v>6.39</v>
      </c>
      <c r="AD5" s="65">
        <v>4.26</v>
      </c>
      <c r="AE5" s="65">
        <v>1.08</v>
      </c>
      <c r="AF5" s="65">
        <v>5.33</v>
      </c>
      <c r="AG5" s="65">
        <v>2.68</v>
      </c>
      <c r="AH5" s="65">
        <v>0.99</v>
      </c>
      <c r="AI5" s="68">
        <v>1.31</v>
      </c>
      <c r="AJ5" s="65">
        <v>2.2200000000000002</v>
      </c>
    </row>
    <row r="6" spans="1:36" ht="21.75" thickBot="1">
      <c r="A6" s="74" t="s">
        <v>124</v>
      </c>
      <c r="B6" s="61">
        <f>IF(B4=A1,3.6,IF(B4=A2,4.4,5.2))</f>
        <v>3.6</v>
      </c>
      <c r="C6" s="75" t="s">
        <v>99</v>
      </c>
      <c r="E6" s="76" t="s">
        <v>85</v>
      </c>
      <c r="F6" s="77">
        <v>1</v>
      </c>
      <c r="G6" s="57" t="s">
        <v>16</v>
      </c>
      <c r="I6" s="76" t="s">
        <v>119</v>
      </c>
      <c r="J6" s="77">
        <v>1.5</v>
      </c>
      <c r="K6" s="57" t="s">
        <v>16</v>
      </c>
      <c r="T6" s="59" t="s">
        <v>36</v>
      </c>
      <c r="U6" s="65">
        <v>3.66</v>
      </c>
      <c r="V6" s="65">
        <v>2.87</v>
      </c>
      <c r="W6" s="66">
        <v>40</v>
      </c>
      <c r="X6" s="66">
        <v>20</v>
      </c>
      <c r="Y6" s="66">
        <v>5</v>
      </c>
      <c r="Z6" s="67">
        <v>5.5</v>
      </c>
      <c r="AA6" s="67">
        <v>11</v>
      </c>
      <c r="AB6" s="66">
        <v>18</v>
      </c>
      <c r="AC6" s="65">
        <v>7.58</v>
      </c>
      <c r="AD6" s="65">
        <v>3.79</v>
      </c>
      <c r="AE6" s="65">
        <v>1.44</v>
      </c>
      <c r="AF6" s="65">
        <v>1.1399999999999999</v>
      </c>
      <c r="AG6" s="65">
        <v>0.86</v>
      </c>
      <c r="AH6" s="65">
        <v>0.56000000000000005</v>
      </c>
      <c r="AI6" s="68">
        <v>0.67</v>
      </c>
      <c r="AJ6" s="65">
        <v>1.01</v>
      </c>
    </row>
    <row r="7" spans="1:36" ht="21.75" thickBot="1">
      <c r="A7" s="56"/>
      <c r="B7" s="56"/>
      <c r="C7" s="56"/>
      <c r="E7" s="76" t="s">
        <v>100</v>
      </c>
      <c r="F7" s="56">
        <f>0.1*B18*F6*4</f>
        <v>40</v>
      </c>
      <c r="G7" s="57" t="s">
        <v>101</v>
      </c>
      <c r="I7" s="76" t="s">
        <v>86</v>
      </c>
      <c r="J7" s="77">
        <v>30</v>
      </c>
      <c r="K7" s="57" t="s">
        <v>16</v>
      </c>
      <c r="T7" s="66">
        <v>40</v>
      </c>
      <c r="U7" s="65">
        <v>6.21</v>
      </c>
      <c r="V7" s="65">
        <v>4.87</v>
      </c>
      <c r="W7" s="66">
        <v>40</v>
      </c>
      <c r="X7" s="66">
        <v>35</v>
      </c>
      <c r="Y7" s="66">
        <v>5</v>
      </c>
      <c r="Z7" s="67">
        <v>7</v>
      </c>
      <c r="AA7" s="67">
        <v>14.5</v>
      </c>
      <c r="AB7" s="66">
        <v>11</v>
      </c>
      <c r="AC7" s="65">
        <v>14.1</v>
      </c>
      <c r="AD7" s="65">
        <v>7.05</v>
      </c>
      <c r="AE7" s="65">
        <v>1.5</v>
      </c>
      <c r="AF7" s="65">
        <v>6.68</v>
      </c>
      <c r="AG7" s="65">
        <v>3.08</v>
      </c>
      <c r="AH7" s="65">
        <v>1.04</v>
      </c>
      <c r="AI7" s="68">
        <v>1.33</v>
      </c>
      <c r="AJ7" s="65">
        <v>2.3199999999999998</v>
      </c>
    </row>
    <row r="8" spans="1:36" ht="21">
      <c r="A8" s="83" t="s">
        <v>9</v>
      </c>
      <c r="B8" s="84"/>
      <c r="C8" s="78"/>
      <c r="E8" s="76" t="s">
        <v>102</v>
      </c>
      <c r="F8" s="56">
        <f>B15*F6*2</f>
        <v>120</v>
      </c>
      <c r="G8" s="57" t="s">
        <v>101</v>
      </c>
      <c r="I8" s="76" t="s">
        <v>117</v>
      </c>
      <c r="J8" s="56">
        <f>B13+2+0.5*B15</f>
        <v>84.8</v>
      </c>
      <c r="K8" s="57" t="s">
        <v>16</v>
      </c>
      <c r="T8" s="59" t="s">
        <v>37</v>
      </c>
      <c r="U8" s="65">
        <v>4.92</v>
      </c>
      <c r="V8" s="65">
        <v>3.86</v>
      </c>
      <c r="W8" s="66">
        <v>50</v>
      </c>
      <c r="X8" s="66">
        <v>25</v>
      </c>
      <c r="Y8" s="66">
        <v>5</v>
      </c>
      <c r="Z8" s="67">
        <v>6</v>
      </c>
      <c r="AA8" s="67">
        <v>12.5</v>
      </c>
      <c r="AB8" s="66">
        <v>25</v>
      </c>
      <c r="AC8" s="65">
        <v>16.600000000000001</v>
      </c>
      <c r="AD8" s="65">
        <v>6.73</v>
      </c>
      <c r="AE8" s="65">
        <v>1.85</v>
      </c>
      <c r="AF8" s="65">
        <v>2.4900000000000002</v>
      </c>
      <c r="AG8" s="65">
        <v>1.48</v>
      </c>
      <c r="AH8" s="65">
        <v>0.71</v>
      </c>
      <c r="AI8" s="68">
        <v>0.81</v>
      </c>
      <c r="AJ8" s="65">
        <v>1.34</v>
      </c>
    </row>
    <row r="9" spans="1:36" ht="21">
      <c r="A9" s="69" t="s">
        <v>120</v>
      </c>
      <c r="B9" s="79">
        <v>0.61</v>
      </c>
      <c r="C9" s="71" t="s">
        <v>7</v>
      </c>
      <c r="E9" s="76" t="s">
        <v>103</v>
      </c>
      <c r="F9" s="56">
        <f>F7+F8</f>
        <v>160</v>
      </c>
      <c r="G9" s="57" t="s">
        <v>101</v>
      </c>
      <c r="I9" s="76" t="s">
        <v>118</v>
      </c>
      <c r="J9" s="56">
        <f>B9*J8+B10*J7</f>
        <v>286.62799999999999</v>
      </c>
      <c r="K9" s="57" t="s">
        <v>8</v>
      </c>
      <c r="T9" s="66">
        <v>50</v>
      </c>
      <c r="U9" s="65">
        <v>7.12</v>
      </c>
      <c r="V9" s="65">
        <v>5.59</v>
      </c>
      <c r="W9" s="66">
        <v>50</v>
      </c>
      <c r="X9" s="66">
        <v>38</v>
      </c>
      <c r="Y9" s="66">
        <v>5</v>
      </c>
      <c r="Z9" s="67">
        <v>7</v>
      </c>
      <c r="AA9" s="67">
        <v>15</v>
      </c>
      <c r="AB9" s="66">
        <v>20</v>
      </c>
      <c r="AC9" s="65">
        <v>26.4</v>
      </c>
      <c r="AD9" s="65">
        <v>10.6</v>
      </c>
      <c r="AE9" s="65">
        <v>1.92</v>
      </c>
      <c r="AF9" s="65">
        <v>9.1199999999999992</v>
      </c>
      <c r="AG9" s="65">
        <v>3.75</v>
      </c>
      <c r="AH9" s="65">
        <v>1.1299999999999999</v>
      </c>
      <c r="AI9" s="68">
        <v>1.37</v>
      </c>
      <c r="AJ9" s="65">
        <v>2.4700000000000002</v>
      </c>
    </row>
    <row r="10" spans="1:36" ht="21">
      <c r="A10" s="80" t="s">
        <v>121</v>
      </c>
      <c r="B10" s="79">
        <v>7.83</v>
      </c>
      <c r="C10" s="70" t="s">
        <v>7</v>
      </c>
      <c r="E10" s="76" t="s">
        <v>104</v>
      </c>
      <c r="F10" s="56">
        <f>2*((F6*B15^3)/12)+4*(B18*0.1*F6*(0.5*B15+0.5*F6)^2)</f>
        <v>73210</v>
      </c>
      <c r="G10" s="57" t="s">
        <v>105</v>
      </c>
      <c r="I10" s="76" t="s">
        <v>115</v>
      </c>
      <c r="J10" s="56">
        <f>B15*J6</f>
        <v>90</v>
      </c>
      <c r="K10" s="57" t="s">
        <v>101</v>
      </c>
      <c r="T10" s="66">
        <v>60</v>
      </c>
      <c r="U10" s="65">
        <v>6.46</v>
      </c>
      <c r="V10" s="65">
        <v>5.07</v>
      </c>
      <c r="W10" s="66">
        <v>60</v>
      </c>
      <c r="X10" s="66">
        <v>30</v>
      </c>
      <c r="Y10" s="66">
        <v>6</v>
      </c>
      <c r="Z10" s="67">
        <v>6</v>
      </c>
      <c r="AA10" s="67">
        <v>12.5</v>
      </c>
      <c r="AB10" s="66">
        <v>35</v>
      </c>
      <c r="AC10" s="65">
        <v>31.6</v>
      </c>
      <c r="AD10" s="65">
        <v>10.5</v>
      </c>
      <c r="AE10" s="65">
        <v>2.21</v>
      </c>
      <c r="AF10" s="65">
        <v>4.51</v>
      </c>
      <c r="AG10" s="65">
        <v>2.16</v>
      </c>
      <c r="AH10" s="65">
        <v>0.84</v>
      </c>
      <c r="AI10" s="68">
        <v>0.91</v>
      </c>
      <c r="AJ10" s="65">
        <v>1.5</v>
      </c>
    </row>
    <row r="11" spans="1:36" ht="21.75" thickBot="1">
      <c r="A11" s="74" t="s">
        <v>122</v>
      </c>
      <c r="B11" s="81">
        <v>504</v>
      </c>
      <c r="C11" s="75" t="s">
        <v>8</v>
      </c>
      <c r="E11" s="76" t="s">
        <v>106</v>
      </c>
      <c r="F11" s="56">
        <f>2*(B15*F6*(0.5*B14)^2)+4*((F6*(0.1*B18)^3/12)+0.1*B18*F6*(0.5*B14-0.5*0.1*B18)^2)</f>
        <v>91333.333333333328</v>
      </c>
      <c r="G11" s="57" t="s">
        <v>105</v>
      </c>
      <c r="I11" s="76" t="s">
        <v>116</v>
      </c>
      <c r="J11" s="56">
        <f>(J6*B15^3)/12</f>
        <v>27000</v>
      </c>
      <c r="K11" s="57" t="s">
        <v>107</v>
      </c>
      <c r="T11" s="66">
        <v>65</v>
      </c>
      <c r="U11" s="65">
        <v>9.0299999999999994</v>
      </c>
      <c r="V11" s="65">
        <v>7.09</v>
      </c>
      <c r="W11" s="66">
        <v>65</v>
      </c>
      <c r="X11" s="66">
        <v>42</v>
      </c>
      <c r="Y11" s="67">
        <v>5.5</v>
      </c>
      <c r="Z11" s="67">
        <v>7.5</v>
      </c>
      <c r="AA11" s="67">
        <v>16</v>
      </c>
      <c r="AB11" s="66">
        <v>33</v>
      </c>
      <c r="AC11" s="65">
        <v>57.5</v>
      </c>
      <c r="AD11" s="65">
        <v>17.7</v>
      </c>
      <c r="AE11" s="65">
        <v>2.52</v>
      </c>
      <c r="AF11" s="65">
        <v>14.1</v>
      </c>
      <c r="AG11" s="65">
        <v>5.07</v>
      </c>
      <c r="AH11" s="65">
        <v>1.25</v>
      </c>
      <c r="AI11" s="68">
        <v>1.42</v>
      </c>
      <c r="AJ11" s="65">
        <v>2.6</v>
      </c>
    </row>
    <row r="12" spans="1:36" ht="21.75" thickBot="1">
      <c r="E12" s="76" t="s">
        <v>108</v>
      </c>
      <c r="F12" s="56">
        <f>F10+F11</f>
        <v>164543.33333333331</v>
      </c>
      <c r="G12" s="57" t="s">
        <v>107</v>
      </c>
      <c r="I12" s="76" t="s">
        <v>68</v>
      </c>
      <c r="J12" s="56">
        <f>B9/J10+(J9*0.5*B15)/J11</f>
        <v>0.32525333333333334</v>
      </c>
      <c r="K12" s="70" t="s">
        <v>99</v>
      </c>
      <c r="L12" s="82" t="str">
        <f>IF(J12&lt;=0.58*B5,"Safe","Unsafe")</f>
        <v>Safe</v>
      </c>
      <c r="T12" s="66">
        <v>70</v>
      </c>
      <c r="U12" s="65">
        <v>8.57</v>
      </c>
      <c r="V12" s="65">
        <v>6.73</v>
      </c>
      <c r="W12" s="66">
        <v>70</v>
      </c>
      <c r="X12" s="66">
        <v>40</v>
      </c>
      <c r="Y12" s="66">
        <v>6</v>
      </c>
      <c r="Z12" s="67">
        <v>6.5</v>
      </c>
      <c r="AA12" s="67">
        <v>16</v>
      </c>
      <c r="AB12" s="66">
        <v>38</v>
      </c>
      <c r="AC12" s="65">
        <v>61.1</v>
      </c>
      <c r="AD12" s="65">
        <v>17.5</v>
      </c>
      <c r="AE12" s="65">
        <v>2.67</v>
      </c>
      <c r="AF12" s="65">
        <v>11.4</v>
      </c>
      <c r="AG12" s="65">
        <v>4.0999999999999996</v>
      </c>
      <c r="AH12" s="65">
        <v>1.1499999999999999</v>
      </c>
      <c r="AI12" s="68">
        <v>1.22</v>
      </c>
      <c r="AJ12" s="65">
        <v>2.2000000000000002</v>
      </c>
    </row>
    <row r="13" spans="1:36" ht="21">
      <c r="A13" s="56" t="s">
        <v>109</v>
      </c>
      <c r="B13" s="77">
        <v>52.8</v>
      </c>
      <c r="C13" s="57" t="s">
        <v>16</v>
      </c>
      <c r="E13" s="76" t="s">
        <v>110</v>
      </c>
      <c r="F13" s="57">
        <f>(B9/F9)+((B11*(0.5*B15+F6))/F12)</f>
        <v>9.8766210268824831E-2</v>
      </c>
      <c r="G13" s="70" t="s">
        <v>99</v>
      </c>
      <c r="I13" s="76" t="s">
        <v>69</v>
      </c>
      <c r="J13" s="56">
        <f>1.5*(B10/J10)</f>
        <v>0.1305</v>
      </c>
      <c r="K13" s="70" t="s">
        <v>99</v>
      </c>
      <c r="L13" s="55" t="str">
        <f>IF(J13&lt;=0.35*B5,"Safe","Unsafe")</f>
        <v>Safe</v>
      </c>
      <c r="T13" s="66">
        <v>80</v>
      </c>
      <c r="U13" s="65">
        <v>11</v>
      </c>
      <c r="V13" s="65">
        <v>8.64</v>
      </c>
      <c r="W13" s="66">
        <v>80</v>
      </c>
      <c r="X13" s="66">
        <v>45</v>
      </c>
      <c r="Y13" s="66">
        <v>6</v>
      </c>
      <c r="Z13" s="67">
        <v>8</v>
      </c>
      <c r="AA13" s="67">
        <v>17</v>
      </c>
      <c r="AB13" s="66">
        <v>47</v>
      </c>
      <c r="AC13" s="66">
        <v>106</v>
      </c>
      <c r="AD13" s="65">
        <v>26.5</v>
      </c>
      <c r="AE13" s="65">
        <v>3.1</v>
      </c>
      <c r="AF13" s="65">
        <v>19.399999999999999</v>
      </c>
      <c r="AG13" s="65">
        <v>6.36</v>
      </c>
      <c r="AH13" s="65">
        <v>1.33</v>
      </c>
      <c r="AI13" s="68">
        <v>1.45</v>
      </c>
      <c r="AJ13" s="65">
        <v>2.67</v>
      </c>
    </row>
    <row r="14" spans="1:36" ht="21">
      <c r="A14" s="76" t="s">
        <v>19</v>
      </c>
      <c r="B14" s="77">
        <v>50</v>
      </c>
      <c r="C14" s="57" t="s">
        <v>16</v>
      </c>
      <c r="E14" s="76" t="s">
        <v>111</v>
      </c>
      <c r="F14" s="57">
        <f>(B10/F9)+(B11*(0.5*B14+F6)/F12)</f>
        <v>0.12857609570933695</v>
      </c>
      <c r="G14" s="70" t="s">
        <v>99</v>
      </c>
      <c r="T14" s="66">
        <v>100</v>
      </c>
      <c r="U14" s="65">
        <v>13.5</v>
      </c>
      <c r="V14" s="65">
        <v>10.6</v>
      </c>
      <c r="W14" s="66">
        <v>100</v>
      </c>
      <c r="X14" s="66">
        <v>50</v>
      </c>
      <c r="Y14" s="66">
        <v>6</v>
      </c>
      <c r="Z14" s="67">
        <v>8.5</v>
      </c>
      <c r="AA14" s="67">
        <v>18</v>
      </c>
      <c r="AB14" s="66">
        <v>64</v>
      </c>
      <c r="AC14" s="66">
        <v>206</v>
      </c>
      <c r="AD14" s="65">
        <v>41.2</v>
      </c>
      <c r="AE14" s="65">
        <v>3.91</v>
      </c>
      <c r="AF14" s="65">
        <v>29.3</v>
      </c>
      <c r="AG14" s="65">
        <v>8.49</v>
      </c>
      <c r="AH14" s="65">
        <v>1.47</v>
      </c>
      <c r="AI14" s="68">
        <v>1.55</v>
      </c>
      <c r="AJ14" s="65">
        <v>2.93</v>
      </c>
    </row>
    <row r="15" spans="1:36" ht="21">
      <c r="A15" s="76" t="s">
        <v>18</v>
      </c>
      <c r="B15" s="56">
        <f>ROUND(1.2*B14,0)</f>
        <v>60</v>
      </c>
      <c r="C15" s="57" t="s">
        <v>16</v>
      </c>
      <c r="E15" s="76" t="s">
        <v>112</v>
      </c>
      <c r="F15" s="57">
        <f>SQRT(F13^2+F14^2)</f>
        <v>0.16213135624771136</v>
      </c>
      <c r="G15" s="70" t="s">
        <v>99</v>
      </c>
      <c r="H15" s="55" t="str">
        <f>IF(F15&lt;=0.2*B6,"Safe","Unsafe")</f>
        <v>Safe</v>
      </c>
      <c r="T15" s="66">
        <v>120</v>
      </c>
      <c r="U15" s="65">
        <v>17</v>
      </c>
      <c r="V15" s="65">
        <v>13.4</v>
      </c>
      <c r="W15" s="66">
        <v>120</v>
      </c>
      <c r="X15" s="66">
        <v>55</v>
      </c>
      <c r="Y15" s="66">
        <v>7</v>
      </c>
      <c r="Z15" s="67">
        <v>9</v>
      </c>
      <c r="AA15" s="67">
        <v>19</v>
      </c>
      <c r="AB15" s="66">
        <v>82</v>
      </c>
      <c r="AC15" s="66">
        <v>364</v>
      </c>
      <c r="AD15" s="65">
        <v>60.7</v>
      </c>
      <c r="AE15" s="65">
        <v>4.62</v>
      </c>
      <c r="AF15" s="65">
        <v>43.2</v>
      </c>
      <c r="AG15" s="65">
        <v>11.1</v>
      </c>
      <c r="AH15" s="65">
        <v>1.59</v>
      </c>
      <c r="AI15" s="68">
        <v>1.6</v>
      </c>
      <c r="AJ15" s="65">
        <v>3.03</v>
      </c>
    </row>
    <row r="16" spans="1:36">
      <c r="T16" s="66">
        <v>140</v>
      </c>
      <c r="U16" s="65">
        <v>20.399999999999999</v>
      </c>
      <c r="V16" s="65">
        <v>16</v>
      </c>
      <c r="W16" s="66">
        <v>140</v>
      </c>
      <c r="X16" s="66">
        <v>60</v>
      </c>
      <c r="Y16" s="66">
        <v>7</v>
      </c>
      <c r="Z16" s="67">
        <v>10</v>
      </c>
      <c r="AA16" s="67">
        <v>21</v>
      </c>
      <c r="AB16" s="66">
        <v>97</v>
      </c>
      <c r="AC16" s="66">
        <v>605</v>
      </c>
      <c r="AD16" s="65">
        <v>86.4</v>
      </c>
      <c r="AE16" s="65">
        <v>5.45</v>
      </c>
      <c r="AF16" s="65">
        <v>62.7</v>
      </c>
      <c r="AG16" s="65">
        <v>14.8</v>
      </c>
      <c r="AH16" s="65">
        <v>1.75</v>
      </c>
      <c r="AI16" s="68">
        <v>1.75</v>
      </c>
      <c r="AJ16" s="65">
        <v>3.37</v>
      </c>
    </row>
    <row r="17" spans="1:36">
      <c r="A17" s="85" t="s">
        <v>114</v>
      </c>
      <c r="B17" s="63">
        <v>320</v>
      </c>
      <c r="C17" s="63"/>
      <c r="T17" s="66">
        <v>160</v>
      </c>
      <c r="U17" s="65">
        <v>24</v>
      </c>
      <c r="V17" s="65">
        <v>18.8</v>
      </c>
      <c r="W17" s="66">
        <v>160</v>
      </c>
      <c r="X17" s="66">
        <v>65</v>
      </c>
      <c r="Y17" s="67">
        <v>7.5</v>
      </c>
      <c r="Z17" s="67">
        <v>10.5</v>
      </c>
      <c r="AA17" s="67">
        <v>22.5</v>
      </c>
      <c r="AB17" s="66">
        <v>116</v>
      </c>
      <c r="AC17" s="66">
        <v>925</v>
      </c>
      <c r="AD17" s="66">
        <v>116</v>
      </c>
      <c r="AE17" s="65">
        <v>6.21</v>
      </c>
      <c r="AF17" s="65">
        <v>85.3</v>
      </c>
      <c r="AG17" s="65">
        <v>18.3</v>
      </c>
      <c r="AH17" s="65">
        <v>1.89</v>
      </c>
      <c r="AI17" s="68">
        <v>1.84</v>
      </c>
      <c r="AJ17" s="65">
        <v>3.56</v>
      </c>
    </row>
    <row r="18" spans="1:36">
      <c r="A18" s="86" t="s">
        <v>38</v>
      </c>
      <c r="B18" s="70">
        <f>VLOOKUP(B17,omar23,5,FALSE)</f>
        <v>100</v>
      </c>
      <c r="C18" s="71" t="s">
        <v>13</v>
      </c>
      <c r="T18" s="66">
        <v>180</v>
      </c>
      <c r="U18" s="65">
        <v>28</v>
      </c>
      <c r="V18" s="65">
        <v>22</v>
      </c>
      <c r="W18" s="66">
        <v>180</v>
      </c>
      <c r="X18" s="66">
        <v>70</v>
      </c>
      <c r="Y18" s="66">
        <v>8</v>
      </c>
      <c r="Z18" s="67">
        <v>11</v>
      </c>
      <c r="AA18" s="67">
        <v>23.5</v>
      </c>
      <c r="AB18" s="66">
        <v>133</v>
      </c>
      <c r="AC18" s="66">
        <v>1350</v>
      </c>
      <c r="AD18" s="66">
        <v>150</v>
      </c>
      <c r="AE18" s="65">
        <v>6.95</v>
      </c>
      <c r="AF18" s="66">
        <v>114</v>
      </c>
      <c r="AG18" s="65">
        <v>22.4</v>
      </c>
      <c r="AH18" s="65">
        <v>2.02</v>
      </c>
      <c r="AI18" s="68">
        <v>1.92</v>
      </c>
      <c r="AJ18" s="65">
        <v>3.75</v>
      </c>
    </row>
    <row r="19" spans="1:36">
      <c r="A19" s="86" t="s">
        <v>57</v>
      </c>
      <c r="B19" s="70">
        <f>VLOOKUP(B17,omar23,7,FALSE)</f>
        <v>17.5</v>
      </c>
      <c r="C19" s="71" t="s">
        <v>13</v>
      </c>
      <c r="T19" s="66">
        <v>200</v>
      </c>
      <c r="U19" s="65">
        <v>32.200000000000003</v>
      </c>
      <c r="V19" s="65">
        <v>25.3</v>
      </c>
      <c r="W19" s="66">
        <v>200</v>
      </c>
      <c r="X19" s="66">
        <v>75</v>
      </c>
      <c r="Y19" s="67">
        <v>8.5</v>
      </c>
      <c r="Z19" s="67">
        <v>11.5</v>
      </c>
      <c r="AA19" s="67">
        <v>24.5</v>
      </c>
      <c r="AB19" s="66">
        <v>151</v>
      </c>
      <c r="AC19" s="66">
        <v>1910</v>
      </c>
      <c r="AD19" s="66">
        <v>191</v>
      </c>
      <c r="AE19" s="65">
        <v>7.7</v>
      </c>
      <c r="AF19" s="66">
        <v>148</v>
      </c>
      <c r="AG19" s="65">
        <v>27</v>
      </c>
      <c r="AH19" s="65">
        <v>2.14</v>
      </c>
      <c r="AI19" s="68">
        <v>2.0099999999999998</v>
      </c>
      <c r="AJ19" s="65">
        <v>3.94</v>
      </c>
    </row>
    <row r="20" spans="1:36" ht="19.5" thickBot="1">
      <c r="A20" s="87" t="s">
        <v>39</v>
      </c>
      <c r="B20" s="61">
        <f>VLOOKUP(B17,omar23,16,FALSE)</f>
        <v>2.6</v>
      </c>
      <c r="C20" s="70" t="s">
        <v>16</v>
      </c>
      <c r="T20" s="66">
        <v>220</v>
      </c>
      <c r="U20" s="65">
        <v>37.4</v>
      </c>
      <c r="V20" s="65">
        <v>29.4</v>
      </c>
      <c r="W20" s="66">
        <v>220</v>
      </c>
      <c r="X20" s="66">
        <v>80</v>
      </c>
      <c r="Y20" s="66">
        <v>9</v>
      </c>
      <c r="Z20" s="67">
        <v>12.5</v>
      </c>
      <c r="AA20" s="67">
        <v>26.5</v>
      </c>
      <c r="AB20" s="66">
        <v>166</v>
      </c>
      <c r="AC20" s="66">
        <v>2690</v>
      </c>
      <c r="AD20" s="66">
        <v>245</v>
      </c>
      <c r="AE20" s="65">
        <v>8.48</v>
      </c>
      <c r="AF20" s="66">
        <v>197</v>
      </c>
      <c r="AG20" s="65">
        <v>33.6</v>
      </c>
      <c r="AH20" s="65">
        <v>2.2999999999999998</v>
      </c>
      <c r="AI20" s="68">
        <v>2.14</v>
      </c>
      <c r="AJ20" s="65">
        <v>4.2</v>
      </c>
    </row>
    <row r="21" spans="1:36">
      <c r="T21" s="66">
        <v>240</v>
      </c>
      <c r="U21" s="65">
        <v>42.3</v>
      </c>
      <c r="V21" s="65">
        <v>33.200000000000003</v>
      </c>
      <c r="W21" s="66">
        <v>240</v>
      </c>
      <c r="X21" s="66">
        <v>85</v>
      </c>
      <c r="Y21" s="67">
        <v>9.5</v>
      </c>
      <c r="Z21" s="67">
        <v>13</v>
      </c>
      <c r="AA21" s="67">
        <v>28</v>
      </c>
      <c r="AB21" s="66">
        <v>185</v>
      </c>
      <c r="AC21" s="66">
        <v>3600</v>
      </c>
      <c r="AD21" s="66">
        <v>300</v>
      </c>
      <c r="AE21" s="65">
        <v>9.2200000000000006</v>
      </c>
      <c r="AF21" s="66">
        <v>248</v>
      </c>
      <c r="AG21" s="65">
        <v>39.6</v>
      </c>
      <c r="AH21" s="65">
        <v>2.42</v>
      </c>
      <c r="AI21" s="68">
        <v>2.23</v>
      </c>
      <c r="AJ21" s="65">
        <v>4.3899999999999997</v>
      </c>
    </row>
    <row r="22" spans="1:36">
      <c r="T22" s="66">
        <v>260</v>
      </c>
      <c r="U22" s="65">
        <v>48.3</v>
      </c>
      <c r="V22" s="65">
        <v>37.9</v>
      </c>
      <c r="W22" s="66">
        <v>260</v>
      </c>
      <c r="X22" s="66">
        <v>90</v>
      </c>
      <c r="Y22" s="66">
        <v>10</v>
      </c>
      <c r="Z22" s="67">
        <v>14</v>
      </c>
      <c r="AA22" s="67">
        <v>30</v>
      </c>
      <c r="AB22" s="66">
        <v>201</v>
      </c>
      <c r="AC22" s="66">
        <v>4820</v>
      </c>
      <c r="AD22" s="66">
        <v>371</v>
      </c>
      <c r="AE22" s="65">
        <v>9.99</v>
      </c>
      <c r="AF22" s="66">
        <v>317</v>
      </c>
      <c r="AG22" s="65">
        <v>47.7</v>
      </c>
      <c r="AH22" s="65">
        <v>2.56</v>
      </c>
      <c r="AI22" s="68">
        <v>2.36</v>
      </c>
      <c r="AJ22" s="65">
        <v>4.66</v>
      </c>
    </row>
    <row r="23" spans="1:36">
      <c r="T23" s="66">
        <v>280</v>
      </c>
      <c r="U23" s="65">
        <v>53.3</v>
      </c>
      <c r="V23" s="65">
        <v>41.8</v>
      </c>
      <c r="W23" s="66">
        <v>280</v>
      </c>
      <c r="X23" s="66">
        <v>95</v>
      </c>
      <c r="Y23" s="66">
        <v>10</v>
      </c>
      <c r="Z23" s="67">
        <v>15</v>
      </c>
      <c r="AA23" s="67">
        <v>32</v>
      </c>
      <c r="AB23" s="66">
        <v>213</v>
      </c>
      <c r="AC23" s="66">
        <v>6280</v>
      </c>
      <c r="AD23" s="66">
        <v>448</v>
      </c>
      <c r="AE23" s="65">
        <v>10.9</v>
      </c>
      <c r="AF23" s="66">
        <v>399</v>
      </c>
      <c r="AG23" s="65">
        <v>57.2</v>
      </c>
      <c r="AH23" s="65">
        <v>2.74</v>
      </c>
      <c r="AI23" s="68">
        <v>2.5299999999999998</v>
      </c>
      <c r="AJ23" s="65">
        <v>5.0199999999999996</v>
      </c>
    </row>
    <row r="24" spans="1:36">
      <c r="T24" s="66">
        <v>300</v>
      </c>
      <c r="U24" s="65">
        <v>58.8</v>
      </c>
      <c r="V24" s="65">
        <v>46.2</v>
      </c>
      <c r="W24" s="66">
        <v>300</v>
      </c>
      <c r="X24" s="66">
        <v>100</v>
      </c>
      <c r="Y24" s="66">
        <v>10</v>
      </c>
      <c r="Z24" s="67">
        <v>16</v>
      </c>
      <c r="AA24" s="67">
        <v>34</v>
      </c>
      <c r="AB24" s="66">
        <v>232</v>
      </c>
      <c r="AC24" s="66">
        <v>8030</v>
      </c>
      <c r="AD24" s="66">
        <v>535</v>
      </c>
      <c r="AE24" s="65">
        <v>11.7</v>
      </c>
      <c r="AF24" s="66">
        <v>495</v>
      </c>
      <c r="AG24" s="65">
        <v>67.8</v>
      </c>
      <c r="AH24" s="65">
        <v>2.9</v>
      </c>
      <c r="AI24" s="68">
        <v>2.7</v>
      </c>
      <c r="AJ24" s="65">
        <v>5.41</v>
      </c>
    </row>
    <row r="25" spans="1:36">
      <c r="T25" s="66">
        <v>320</v>
      </c>
      <c r="U25" s="65">
        <v>75.8</v>
      </c>
      <c r="V25" s="65">
        <v>59.5</v>
      </c>
      <c r="W25" s="66">
        <v>320</v>
      </c>
      <c r="X25" s="66">
        <v>100</v>
      </c>
      <c r="Y25" s="66">
        <v>14</v>
      </c>
      <c r="Z25" s="67">
        <v>17.5</v>
      </c>
      <c r="AA25" s="67">
        <v>37</v>
      </c>
      <c r="AB25" s="66">
        <v>247</v>
      </c>
      <c r="AC25" s="66">
        <v>10870</v>
      </c>
      <c r="AD25" s="66">
        <v>679</v>
      </c>
      <c r="AE25" s="65">
        <v>12.1</v>
      </c>
      <c r="AF25" s="66">
        <v>597</v>
      </c>
      <c r="AG25" s="65">
        <v>80.599999999999994</v>
      </c>
      <c r="AH25" s="65">
        <v>2.81</v>
      </c>
      <c r="AI25" s="68">
        <v>2.6</v>
      </c>
      <c r="AJ25" s="65">
        <v>4.82</v>
      </c>
    </row>
    <row r="26" spans="1:36">
      <c r="T26" s="66">
        <v>350</v>
      </c>
      <c r="U26" s="65">
        <v>77.3</v>
      </c>
      <c r="V26" s="65">
        <v>60.6</v>
      </c>
      <c r="W26" s="66">
        <v>350</v>
      </c>
      <c r="X26" s="66">
        <v>100</v>
      </c>
      <c r="Y26" s="66">
        <v>14</v>
      </c>
      <c r="Z26" s="67">
        <v>16</v>
      </c>
      <c r="AA26" s="67">
        <v>34</v>
      </c>
      <c r="AB26" s="66">
        <v>283</v>
      </c>
      <c r="AC26" s="66">
        <v>12840</v>
      </c>
      <c r="AD26" s="66">
        <v>734</v>
      </c>
      <c r="AE26" s="65">
        <v>12.9</v>
      </c>
      <c r="AF26" s="66">
        <v>570</v>
      </c>
      <c r="AG26" s="65">
        <v>75</v>
      </c>
      <c r="AH26" s="65">
        <v>2.72</v>
      </c>
      <c r="AI26" s="68">
        <v>2.4</v>
      </c>
      <c r="AJ26" s="65">
        <v>4.45</v>
      </c>
    </row>
    <row r="27" spans="1:36">
      <c r="T27" s="66">
        <v>380</v>
      </c>
      <c r="U27" s="65">
        <v>80.400000000000006</v>
      </c>
      <c r="V27" s="65">
        <v>63.1</v>
      </c>
      <c r="W27" s="66">
        <v>380</v>
      </c>
      <c r="X27" s="66">
        <v>102</v>
      </c>
      <c r="Y27" s="67">
        <v>13.5</v>
      </c>
      <c r="Z27" s="67">
        <v>16</v>
      </c>
      <c r="AA27" s="67">
        <v>33.5</v>
      </c>
      <c r="AB27" s="66">
        <v>313</v>
      </c>
      <c r="AC27" s="66">
        <v>15760</v>
      </c>
      <c r="AD27" s="66">
        <v>829</v>
      </c>
      <c r="AE27" s="65">
        <v>14</v>
      </c>
      <c r="AF27" s="66">
        <v>615</v>
      </c>
      <c r="AG27" s="65">
        <v>78.7</v>
      </c>
      <c r="AH27" s="65">
        <v>2.77</v>
      </c>
      <c r="AI27" s="68">
        <v>2.38</v>
      </c>
      <c r="AJ27" s="65">
        <v>4.58</v>
      </c>
    </row>
    <row r="28" spans="1:36">
      <c r="T28" s="66">
        <v>400</v>
      </c>
      <c r="U28" s="65">
        <v>91.5</v>
      </c>
      <c r="V28" s="65">
        <v>71.8</v>
      </c>
      <c r="W28" s="66">
        <v>400</v>
      </c>
      <c r="X28" s="66">
        <v>110</v>
      </c>
      <c r="Y28" s="66">
        <v>14</v>
      </c>
      <c r="Z28" s="67">
        <v>18</v>
      </c>
      <c r="AA28" s="67">
        <v>38</v>
      </c>
      <c r="AB28" s="66">
        <v>325</v>
      </c>
      <c r="AC28" s="66">
        <v>20350</v>
      </c>
      <c r="AD28" s="66">
        <v>1020</v>
      </c>
      <c r="AE28" s="65">
        <v>14.9</v>
      </c>
      <c r="AF28" s="66">
        <v>846</v>
      </c>
      <c r="AG28" s="65">
        <v>102</v>
      </c>
      <c r="AH28" s="65">
        <v>3.04</v>
      </c>
      <c r="AI28" s="68">
        <v>2.65</v>
      </c>
      <c r="AJ28" s="65">
        <v>5.1100000000000003</v>
      </c>
    </row>
  </sheetData>
  <mergeCells count="25">
    <mergeCell ref="AC1:AE1"/>
    <mergeCell ref="AF1:AH1"/>
    <mergeCell ref="AI1:AJ1"/>
    <mergeCell ref="U2:U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E5:F5"/>
    <mergeCell ref="I5:J5"/>
    <mergeCell ref="B4:C4"/>
    <mergeCell ref="T1:T3"/>
    <mergeCell ref="V1:V2"/>
    <mergeCell ref="W1:AB1"/>
    <mergeCell ref="B17:C17"/>
  </mergeCells>
  <phoneticPr fontId="4" type="noConversion"/>
  <conditionalFormatting sqref="H15 L12:L13">
    <cfRule type="cellIs" dxfId="1" priority="2" operator="equal">
      <formula>"safe"</formula>
    </cfRule>
  </conditionalFormatting>
  <conditionalFormatting sqref="H15 L12:L13">
    <cfRule type="cellIs" dxfId="0" priority="1" operator="equal">
      <formula>"unsafe"</formula>
    </cfRule>
  </conditionalFormatting>
  <dataValidations count="2">
    <dataValidation type="list" allowBlank="1" showInputMessage="1" showErrorMessage="1" sqref="B4" xr:uid="{9A5FFC71-FC18-4C80-8BF5-1F87542DC5BC}">
      <formula1>$A$1:$A$3</formula1>
    </dataValidation>
    <dataValidation type="list" allowBlank="1" showInputMessage="1" showErrorMessage="1" sqref="B17" xr:uid="{5131490E-D19F-4F49-90AF-950629380A92}">
      <formula1>$T$4:$T$28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 Bolted '2C' </vt:lpstr>
      <vt:lpstr>Welded</vt:lpstr>
      <vt:lpstr>omar23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Ramadan</dc:creator>
  <cp:lastModifiedBy>Windows User</cp:lastModifiedBy>
  <dcterms:created xsi:type="dcterms:W3CDTF">2020-05-19T18:18:49Z</dcterms:created>
  <dcterms:modified xsi:type="dcterms:W3CDTF">2022-03-12T09:55:02Z</dcterms:modified>
</cp:coreProperties>
</file>