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-Study\all about steel structure\Excel Sheets\my sheets\LRFD\"/>
    </mc:Choice>
  </mc:AlternateContent>
  <xr:revisionPtr revIDLastSave="0" documentId="13_ncr:1_{F1367626-15C5-4236-803E-1B9E459484F6}" xr6:coauthVersionLast="47" xr6:coauthVersionMax="47" xr10:uidLastSave="{00000000-0000-0000-0000-000000000000}"/>
  <bookViews>
    <workbookView xWindow="-120" yWindow="-120" windowWidth="20730" windowHeight="11310" xr2:uid="{69F78319-2F6D-4C6C-8EA8-1AF08A862AB4}"/>
  </bookViews>
  <sheets>
    <sheet name="IPE" sheetId="2" r:id="rId1"/>
  </sheets>
  <definedNames>
    <definedName name="_xlnm.Print_Area" localSheetId="0">IPE!$A$1:$K$42</definedName>
    <definedName name="table">IPE!$P$1:$AE$21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0" i="2" l="1"/>
  <c r="F8" i="2"/>
  <c r="J5" i="2" l="1"/>
  <c r="F7" i="2" s="1"/>
  <c r="B19" i="2"/>
  <c r="B42" i="2"/>
  <c r="B36" i="2"/>
  <c r="F25" i="2" s="1"/>
  <c r="B35" i="2"/>
  <c r="B34" i="2"/>
  <c r="B33" i="2"/>
  <c r="J25" i="2" s="1"/>
  <c r="B31" i="2"/>
  <c r="B32" i="2" s="1"/>
  <c r="B30" i="2"/>
  <c r="B29" i="2"/>
  <c r="B26" i="2"/>
  <c r="B25" i="2"/>
  <c r="B24" i="2"/>
  <c r="B23" i="2"/>
  <c r="B22" i="2"/>
  <c r="B21" i="2"/>
  <c r="B20" i="2"/>
  <c r="B6" i="2"/>
  <c r="B5" i="2"/>
  <c r="F18" i="2" l="1"/>
  <c r="B37" i="2"/>
  <c r="F26" i="2"/>
  <c r="F27" i="2" s="1"/>
  <c r="F28" i="2" s="1"/>
  <c r="G33" i="2" s="1"/>
  <c r="H33" i="2" s="1"/>
  <c r="F15" i="2"/>
  <c r="G15" i="2" s="1"/>
  <c r="F14" i="2"/>
  <c r="B38" i="2"/>
  <c r="B39" i="2" s="1"/>
  <c r="B40" i="2" s="1"/>
  <c r="K25" i="2"/>
  <c r="G25" i="2"/>
  <c r="F13" i="2"/>
  <c r="F33" i="2" l="1"/>
  <c r="F32" i="2"/>
  <c r="E33" i="2"/>
  <c r="G21" i="2"/>
  <c r="F21" i="2"/>
  <c r="E21" i="2"/>
  <c r="H21" i="2"/>
  <c r="G20" i="2"/>
  <c r="G32" i="2" s="1"/>
  <c r="G19" i="2"/>
  <c r="E20" i="2"/>
  <c r="H20" i="2"/>
  <c r="F20" i="2"/>
  <c r="F19" i="2"/>
  <c r="E19" i="2"/>
  <c r="H19" i="2"/>
  <c r="E32" i="2"/>
  <c r="G14" i="2"/>
  <c r="J14" i="2" s="1"/>
  <c r="J26" i="2"/>
  <c r="J27" i="2" s="1"/>
  <c r="J28" i="2" s="1"/>
  <c r="E36" i="2" l="1"/>
  <c r="H32" i="2"/>
  <c r="F36" i="2" l="1"/>
</calcChain>
</file>

<file path=xl/sharedStrings.xml><?xml version="1.0" encoding="utf-8"?>
<sst xmlns="http://schemas.openxmlformats.org/spreadsheetml/2006/main" count="144" uniqueCount="107">
  <si>
    <t>h</t>
  </si>
  <si>
    <t>b</t>
  </si>
  <si>
    <t>s</t>
  </si>
  <si>
    <t>r</t>
  </si>
  <si>
    <t>t</t>
  </si>
  <si>
    <t>c</t>
  </si>
  <si>
    <t>h-2c</t>
  </si>
  <si>
    <t>Area</t>
  </si>
  <si>
    <t>cm</t>
  </si>
  <si>
    <t>mm</t>
  </si>
  <si>
    <t>unitless</t>
  </si>
  <si>
    <t>Compact</t>
  </si>
  <si>
    <t>IPE</t>
  </si>
  <si>
    <t>Non-compact</t>
  </si>
  <si>
    <t>Sec.</t>
  </si>
  <si>
    <t>Weight</t>
  </si>
  <si>
    <t>Dimensions (mm)</t>
  </si>
  <si>
    <t>x-x</t>
  </si>
  <si>
    <t>y-y</t>
  </si>
  <si>
    <t>Slender</t>
  </si>
  <si>
    <t>No.</t>
  </si>
  <si>
    <t>(kg/m`)</t>
  </si>
  <si>
    <t>Cm.t</t>
  </si>
  <si>
    <t xml:space="preserve">Normal </t>
  </si>
  <si>
    <t>Ton</t>
  </si>
  <si>
    <t>Checks:</t>
  </si>
  <si>
    <t>i- Compactness</t>
  </si>
  <si>
    <t>&gt;&gt;&gt;</t>
  </si>
  <si>
    <t xml:space="preserve">In Plane : </t>
  </si>
  <si>
    <t>ton</t>
  </si>
  <si>
    <t xml:space="preserve">iv- Interaction Equation </t>
  </si>
  <si>
    <t>Inplane Stability</t>
  </si>
  <si>
    <t xml:space="preserve">Straining Actions </t>
  </si>
  <si>
    <t>Girts</t>
  </si>
  <si>
    <t>span</t>
  </si>
  <si>
    <t>number</t>
  </si>
  <si>
    <t>Kg/m'</t>
  </si>
  <si>
    <t>Spacing</t>
  </si>
  <si>
    <t>H</t>
  </si>
  <si>
    <t>Wind Load</t>
  </si>
  <si>
    <t>Ce</t>
  </si>
  <si>
    <t>K</t>
  </si>
  <si>
    <t>q</t>
  </si>
  <si>
    <t>t/cm'</t>
  </si>
  <si>
    <r>
      <t>(cm</t>
    </r>
    <r>
      <rPr>
        <b/>
        <vertAlign val="superscript"/>
        <sz val="14"/>
        <rFont val="Calibri"/>
        <family val="2"/>
      </rPr>
      <t>2</t>
    </r>
    <r>
      <rPr>
        <b/>
        <sz val="14"/>
        <rFont val="Calibri"/>
        <family val="2"/>
      </rPr>
      <t>)</t>
    </r>
  </si>
  <si>
    <r>
      <t>I</t>
    </r>
    <r>
      <rPr>
        <b/>
        <vertAlign val="subscript"/>
        <sz val="14"/>
        <rFont val="Calibri"/>
        <family val="2"/>
      </rPr>
      <t>x</t>
    </r>
    <r>
      <rPr>
        <b/>
        <sz val="14"/>
        <rFont val="Calibri"/>
        <family val="2"/>
      </rPr>
      <t xml:space="preserve"> (cm</t>
    </r>
    <r>
      <rPr>
        <b/>
        <vertAlign val="superscript"/>
        <sz val="14"/>
        <rFont val="Calibri"/>
        <family val="2"/>
      </rPr>
      <t>4</t>
    </r>
    <r>
      <rPr>
        <b/>
        <sz val="14"/>
        <rFont val="Calibri"/>
        <family val="2"/>
      </rPr>
      <t>)</t>
    </r>
  </si>
  <si>
    <r>
      <t>S</t>
    </r>
    <r>
      <rPr>
        <b/>
        <vertAlign val="subscript"/>
        <sz val="14"/>
        <rFont val="Calibri"/>
        <family val="2"/>
      </rPr>
      <t>x</t>
    </r>
    <r>
      <rPr>
        <b/>
        <sz val="14"/>
        <rFont val="Calibri"/>
        <family val="2"/>
      </rPr>
      <t xml:space="preserve"> (cm</t>
    </r>
    <r>
      <rPr>
        <b/>
        <vertAlign val="superscript"/>
        <sz val="14"/>
        <rFont val="Calibri"/>
        <family val="2"/>
      </rPr>
      <t>3</t>
    </r>
    <r>
      <rPr>
        <b/>
        <sz val="14"/>
        <rFont val="Calibri"/>
        <family val="2"/>
      </rPr>
      <t>)</t>
    </r>
  </si>
  <si>
    <r>
      <t>r</t>
    </r>
    <r>
      <rPr>
        <b/>
        <vertAlign val="subscript"/>
        <sz val="14"/>
        <rFont val="Calibri"/>
        <family val="2"/>
      </rPr>
      <t>x</t>
    </r>
    <r>
      <rPr>
        <b/>
        <sz val="14"/>
        <rFont val="Calibri"/>
        <family val="2"/>
      </rPr>
      <t xml:space="preserve"> (cm)</t>
    </r>
  </si>
  <si>
    <r>
      <t>I</t>
    </r>
    <r>
      <rPr>
        <b/>
        <vertAlign val="subscript"/>
        <sz val="14"/>
        <rFont val="Calibri"/>
        <family val="2"/>
      </rPr>
      <t>y</t>
    </r>
    <r>
      <rPr>
        <b/>
        <sz val="14"/>
        <rFont val="Calibri"/>
        <family val="2"/>
      </rPr>
      <t xml:space="preserve"> (cm</t>
    </r>
    <r>
      <rPr>
        <b/>
        <vertAlign val="superscript"/>
        <sz val="14"/>
        <rFont val="Calibri"/>
        <family val="2"/>
      </rPr>
      <t>4</t>
    </r>
    <r>
      <rPr>
        <b/>
        <sz val="14"/>
        <rFont val="Calibri"/>
        <family val="2"/>
      </rPr>
      <t>)</t>
    </r>
  </si>
  <si>
    <r>
      <t>S</t>
    </r>
    <r>
      <rPr>
        <b/>
        <vertAlign val="subscript"/>
        <sz val="14"/>
        <rFont val="Calibri"/>
        <family val="2"/>
      </rPr>
      <t>y</t>
    </r>
    <r>
      <rPr>
        <b/>
        <sz val="14"/>
        <rFont val="Calibri"/>
        <family val="2"/>
      </rPr>
      <t xml:space="preserve"> (cm</t>
    </r>
    <r>
      <rPr>
        <b/>
        <vertAlign val="superscript"/>
        <sz val="14"/>
        <rFont val="Calibri"/>
        <family val="2"/>
      </rPr>
      <t>3</t>
    </r>
    <r>
      <rPr>
        <b/>
        <sz val="14"/>
        <rFont val="Calibri"/>
        <family val="2"/>
      </rPr>
      <t>)</t>
    </r>
  </si>
  <si>
    <r>
      <t>r</t>
    </r>
    <r>
      <rPr>
        <b/>
        <vertAlign val="subscript"/>
        <sz val="14"/>
        <rFont val="Calibri"/>
        <family val="2"/>
      </rPr>
      <t>y</t>
    </r>
    <r>
      <rPr>
        <b/>
        <sz val="14"/>
        <rFont val="Calibri"/>
        <family val="2"/>
      </rPr>
      <t xml:space="preserve"> (cm)</t>
    </r>
  </si>
  <si>
    <r>
      <t>Kg/m</t>
    </r>
    <r>
      <rPr>
        <b/>
        <vertAlign val="superscript"/>
        <sz val="14"/>
        <color theme="1"/>
        <rFont val="Calibri"/>
        <family val="2"/>
      </rPr>
      <t>2</t>
    </r>
  </si>
  <si>
    <r>
      <t>W</t>
    </r>
    <r>
      <rPr>
        <b/>
        <vertAlign val="subscript"/>
        <sz val="14"/>
        <color theme="1"/>
        <rFont val="Calibri"/>
        <family val="2"/>
      </rPr>
      <t>W.L</t>
    </r>
  </si>
  <si>
    <t>Choice of section</t>
  </si>
  <si>
    <t>Properties of section</t>
  </si>
  <si>
    <t>Data</t>
  </si>
  <si>
    <t>st</t>
  </si>
  <si>
    <t>α =</t>
  </si>
  <si>
    <t>Section</t>
  </si>
  <si>
    <t>Weight =</t>
  </si>
  <si>
    <t>h =</t>
  </si>
  <si>
    <t>b =</t>
  </si>
  <si>
    <t>s =</t>
  </si>
  <si>
    <t>r =</t>
  </si>
  <si>
    <t>t =</t>
  </si>
  <si>
    <t>c =</t>
  </si>
  <si>
    <t>h-2c =</t>
  </si>
  <si>
    <t>Area =</t>
  </si>
  <si>
    <t>X =</t>
  </si>
  <si>
    <t>Out of Plane Stability</t>
  </si>
  <si>
    <t>Out of Plane :</t>
  </si>
  <si>
    <t>ii- As a Beam :</t>
  </si>
  <si>
    <t>iii- As a Comp. Member :</t>
  </si>
  <si>
    <r>
      <t>F</t>
    </r>
    <r>
      <rPr>
        <b/>
        <vertAlign val="subscript"/>
        <sz val="14"/>
        <color theme="1"/>
        <rFont val="Calibri"/>
        <family val="2"/>
      </rPr>
      <t>y</t>
    </r>
    <r>
      <rPr>
        <b/>
        <sz val="14"/>
        <color theme="1"/>
        <rFont val="Calibri"/>
        <family val="2"/>
      </rPr>
      <t xml:space="preserve"> =</t>
    </r>
  </si>
  <si>
    <r>
      <t>t/cm</t>
    </r>
    <r>
      <rPr>
        <b/>
        <vertAlign val="superscript"/>
        <sz val="14"/>
        <color theme="1"/>
        <rFont val="Calibri"/>
        <family val="2"/>
      </rPr>
      <t>2</t>
    </r>
  </si>
  <si>
    <r>
      <t>F</t>
    </r>
    <r>
      <rPr>
        <b/>
        <vertAlign val="subscript"/>
        <sz val="14"/>
        <color theme="1"/>
        <rFont val="Calibri"/>
        <family val="2"/>
      </rPr>
      <t>u</t>
    </r>
    <r>
      <rPr>
        <b/>
        <sz val="14"/>
        <color theme="1"/>
        <rFont val="Calibri"/>
        <family val="2"/>
      </rPr>
      <t xml:space="preserve"> =</t>
    </r>
  </si>
  <si>
    <r>
      <t>Moment (M</t>
    </r>
    <r>
      <rPr>
        <b/>
        <vertAlign val="subscript"/>
        <sz val="14"/>
        <color theme="1"/>
        <rFont val="Calibri"/>
        <family val="2"/>
      </rPr>
      <t>ux</t>
    </r>
    <r>
      <rPr>
        <b/>
        <sz val="14"/>
        <color theme="1"/>
        <rFont val="Calibri"/>
        <family val="2"/>
      </rPr>
      <t>)</t>
    </r>
  </si>
  <si>
    <r>
      <t>H</t>
    </r>
    <r>
      <rPr>
        <b/>
        <vertAlign val="subscript"/>
        <sz val="14"/>
        <color theme="1"/>
        <rFont val="Calibri"/>
        <family val="2"/>
      </rPr>
      <t>wall</t>
    </r>
  </si>
  <si>
    <r>
      <t>L</t>
    </r>
    <r>
      <rPr>
        <b/>
        <vertAlign val="subscript"/>
        <sz val="14"/>
        <color theme="1"/>
        <rFont val="Calibri"/>
        <family val="2"/>
      </rPr>
      <t>bin</t>
    </r>
    <r>
      <rPr>
        <b/>
        <sz val="14"/>
        <color theme="1"/>
        <rFont val="Calibri"/>
        <family val="2"/>
      </rPr>
      <t xml:space="preserve"> = L</t>
    </r>
    <r>
      <rPr>
        <b/>
        <vertAlign val="subscript"/>
        <sz val="14"/>
        <color theme="1"/>
        <rFont val="Calibri"/>
        <family val="2"/>
      </rPr>
      <t>by</t>
    </r>
  </si>
  <si>
    <r>
      <t>L</t>
    </r>
    <r>
      <rPr>
        <b/>
        <vertAlign val="subscript"/>
        <sz val="14"/>
        <color theme="1"/>
        <rFont val="Calibri"/>
        <family val="2"/>
      </rPr>
      <t>bout</t>
    </r>
    <r>
      <rPr>
        <b/>
        <sz val="14"/>
        <color theme="1"/>
        <rFont val="Calibri"/>
        <family val="2"/>
      </rPr>
      <t xml:space="preserve"> = L</t>
    </r>
    <r>
      <rPr>
        <b/>
        <vertAlign val="subscript"/>
        <sz val="14"/>
        <color theme="1"/>
        <rFont val="Calibri"/>
        <family val="2"/>
      </rPr>
      <t>bx</t>
    </r>
  </si>
  <si>
    <r>
      <t>L</t>
    </r>
    <r>
      <rPr>
        <b/>
        <vertAlign val="subscript"/>
        <sz val="14"/>
        <color theme="1"/>
        <rFont val="Calibri"/>
        <family val="2"/>
      </rPr>
      <t>b</t>
    </r>
  </si>
  <si>
    <r>
      <t>h</t>
    </r>
    <r>
      <rPr>
        <b/>
        <vertAlign val="subscript"/>
        <sz val="14"/>
        <color theme="1"/>
        <rFont val="Calibri"/>
        <family val="2"/>
      </rPr>
      <t>w</t>
    </r>
    <r>
      <rPr>
        <b/>
        <sz val="14"/>
        <color theme="1"/>
        <rFont val="Calibri"/>
        <family val="2"/>
      </rPr>
      <t>/t</t>
    </r>
    <r>
      <rPr>
        <b/>
        <vertAlign val="subscript"/>
        <sz val="14"/>
        <color theme="1"/>
        <rFont val="Calibri"/>
        <family val="2"/>
      </rPr>
      <t>w</t>
    </r>
    <r>
      <rPr>
        <b/>
        <sz val="14"/>
        <color theme="1"/>
        <rFont val="Calibri"/>
        <family val="2"/>
      </rPr>
      <t xml:space="preserve"> =</t>
    </r>
  </si>
  <si>
    <r>
      <t>W</t>
    </r>
    <r>
      <rPr>
        <b/>
        <vertAlign val="subscript"/>
        <sz val="14"/>
        <color theme="1"/>
        <rFont val="Calibri"/>
        <family val="2"/>
      </rPr>
      <t>c.s</t>
    </r>
  </si>
  <si>
    <r>
      <t>kg/m</t>
    </r>
    <r>
      <rPr>
        <b/>
        <vertAlign val="superscript"/>
        <sz val="14"/>
        <color theme="1"/>
        <rFont val="Calibri"/>
        <family val="2"/>
      </rPr>
      <t>2</t>
    </r>
  </si>
  <si>
    <r>
      <t>C/t</t>
    </r>
    <r>
      <rPr>
        <b/>
        <vertAlign val="subscript"/>
        <sz val="14"/>
        <color theme="1"/>
        <rFont val="Calibri"/>
        <family val="2"/>
      </rPr>
      <t>f</t>
    </r>
    <r>
      <rPr>
        <b/>
        <sz val="14"/>
        <color theme="1"/>
        <rFont val="Calibri"/>
        <family val="2"/>
      </rPr>
      <t xml:space="preserve"> =</t>
    </r>
  </si>
  <si>
    <r>
      <t>M</t>
    </r>
    <r>
      <rPr>
        <b/>
        <vertAlign val="subscript"/>
        <sz val="14"/>
        <color theme="1"/>
        <rFont val="Calibri"/>
        <family val="2"/>
      </rPr>
      <t>p</t>
    </r>
    <r>
      <rPr>
        <b/>
        <sz val="14"/>
        <color theme="1"/>
        <rFont val="Calibri"/>
        <family val="2"/>
      </rPr>
      <t xml:space="preserve"> =</t>
    </r>
  </si>
  <si>
    <r>
      <t>λ</t>
    </r>
    <r>
      <rPr>
        <b/>
        <vertAlign val="subscript"/>
        <sz val="14"/>
        <color theme="1"/>
        <rFont val="Calibri"/>
        <family val="2"/>
      </rPr>
      <t>in</t>
    </r>
  </si>
  <si>
    <r>
      <t>λ</t>
    </r>
    <r>
      <rPr>
        <b/>
        <vertAlign val="subscript"/>
        <sz val="14"/>
        <color theme="1"/>
        <rFont val="Calibri"/>
        <family val="2"/>
      </rPr>
      <t>out</t>
    </r>
  </si>
  <si>
    <r>
      <t>λ</t>
    </r>
    <r>
      <rPr>
        <b/>
        <vertAlign val="subscript"/>
        <sz val="14"/>
        <color theme="1"/>
        <rFont val="Calibri"/>
        <family val="2"/>
      </rPr>
      <t>c</t>
    </r>
  </si>
  <si>
    <r>
      <t>F</t>
    </r>
    <r>
      <rPr>
        <b/>
        <vertAlign val="subscript"/>
        <sz val="14"/>
        <color theme="1"/>
        <rFont val="Calibri"/>
        <family val="2"/>
      </rPr>
      <t>cr</t>
    </r>
  </si>
  <si>
    <r>
      <t>P</t>
    </r>
    <r>
      <rPr>
        <b/>
        <vertAlign val="subscript"/>
        <sz val="14"/>
        <color theme="1"/>
        <rFont val="Calibri"/>
        <family val="2"/>
      </rPr>
      <t>nx</t>
    </r>
  </si>
  <si>
    <r>
      <t>P</t>
    </r>
    <r>
      <rPr>
        <b/>
        <vertAlign val="subscript"/>
        <sz val="14"/>
        <color theme="1"/>
        <rFont val="Calibri"/>
        <family val="2"/>
      </rPr>
      <t>ny</t>
    </r>
  </si>
  <si>
    <r>
      <t>cm</t>
    </r>
    <r>
      <rPr>
        <b/>
        <vertAlign val="superscript"/>
        <sz val="14"/>
        <color theme="1"/>
        <rFont val="Calibri"/>
        <family val="2"/>
      </rPr>
      <t>2</t>
    </r>
  </si>
  <si>
    <r>
      <t>I</t>
    </r>
    <r>
      <rPr>
        <b/>
        <vertAlign val="subscript"/>
        <sz val="14"/>
        <color theme="1"/>
        <rFont val="Calibri"/>
        <family val="2"/>
      </rPr>
      <t>x</t>
    </r>
    <r>
      <rPr>
        <b/>
        <sz val="14"/>
        <color theme="1"/>
        <rFont val="Calibri"/>
        <family val="2"/>
      </rPr>
      <t xml:space="preserve"> =</t>
    </r>
  </si>
  <si>
    <r>
      <t>cm</t>
    </r>
    <r>
      <rPr>
        <b/>
        <vertAlign val="superscript"/>
        <sz val="14"/>
        <color theme="1"/>
        <rFont val="Calibri"/>
        <family val="2"/>
      </rPr>
      <t>4</t>
    </r>
  </si>
  <si>
    <r>
      <t>S</t>
    </r>
    <r>
      <rPr>
        <b/>
        <vertAlign val="subscript"/>
        <sz val="14"/>
        <color theme="1"/>
        <rFont val="Calibri"/>
        <family val="2"/>
      </rPr>
      <t>x</t>
    </r>
    <r>
      <rPr>
        <b/>
        <sz val="14"/>
        <color theme="1"/>
        <rFont val="Calibri"/>
        <family val="2"/>
      </rPr>
      <t xml:space="preserve"> =</t>
    </r>
  </si>
  <si>
    <r>
      <t>cm</t>
    </r>
    <r>
      <rPr>
        <b/>
        <vertAlign val="superscript"/>
        <sz val="14"/>
        <color theme="1"/>
        <rFont val="Calibri"/>
        <family val="2"/>
      </rPr>
      <t>3</t>
    </r>
  </si>
  <si>
    <r>
      <t>Z</t>
    </r>
    <r>
      <rPr>
        <b/>
        <vertAlign val="subscript"/>
        <sz val="14"/>
        <color theme="1"/>
        <rFont val="Calibri"/>
        <family val="2"/>
      </rPr>
      <t>x</t>
    </r>
    <r>
      <rPr>
        <b/>
        <sz val="14"/>
        <color theme="1"/>
        <rFont val="Calibri"/>
        <family val="2"/>
      </rPr>
      <t xml:space="preserve"> =</t>
    </r>
  </si>
  <si>
    <r>
      <t>r</t>
    </r>
    <r>
      <rPr>
        <b/>
        <vertAlign val="subscript"/>
        <sz val="14"/>
        <color theme="1"/>
        <rFont val="Calibri"/>
        <family val="2"/>
      </rPr>
      <t>x</t>
    </r>
    <r>
      <rPr>
        <b/>
        <sz val="14"/>
        <color theme="1"/>
        <rFont val="Calibri"/>
        <family val="2"/>
      </rPr>
      <t xml:space="preserve"> =</t>
    </r>
  </si>
  <si>
    <r>
      <t>I</t>
    </r>
    <r>
      <rPr>
        <b/>
        <vertAlign val="subscript"/>
        <sz val="14"/>
        <color theme="1"/>
        <rFont val="Calibri"/>
        <family val="2"/>
      </rPr>
      <t>y</t>
    </r>
    <r>
      <rPr>
        <b/>
        <sz val="14"/>
        <color theme="1"/>
        <rFont val="Calibri"/>
        <family val="2"/>
      </rPr>
      <t xml:space="preserve"> =</t>
    </r>
  </si>
  <si>
    <r>
      <t>S</t>
    </r>
    <r>
      <rPr>
        <b/>
        <vertAlign val="subscript"/>
        <sz val="14"/>
        <color theme="1"/>
        <rFont val="Calibri"/>
        <family val="2"/>
      </rPr>
      <t>y</t>
    </r>
    <r>
      <rPr>
        <b/>
        <sz val="14"/>
        <color theme="1"/>
        <rFont val="Calibri"/>
        <family val="2"/>
      </rPr>
      <t xml:space="preserve"> =</t>
    </r>
  </si>
  <si>
    <r>
      <t>r</t>
    </r>
    <r>
      <rPr>
        <b/>
        <vertAlign val="subscript"/>
        <sz val="14"/>
        <color theme="1"/>
        <rFont val="Calibri"/>
        <family val="2"/>
      </rPr>
      <t>y</t>
    </r>
    <r>
      <rPr>
        <b/>
        <sz val="14"/>
        <color theme="1"/>
        <rFont val="Calibri"/>
        <family val="2"/>
      </rPr>
      <t xml:space="preserve"> =</t>
    </r>
  </si>
  <si>
    <r>
      <t>L</t>
    </r>
    <r>
      <rPr>
        <b/>
        <vertAlign val="subscript"/>
        <sz val="14"/>
        <color theme="1"/>
        <rFont val="Calibri"/>
        <family val="2"/>
      </rPr>
      <t>p</t>
    </r>
    <r>
      <rPr>
        <b/>
        <sz val="14"/>
        <color theme="1"/>
        <rFont val="Calibri"/>
        <family val="2"/>
      </rPr>
      <t xml:space="preserve"> =</t>
    </r>
  </si>
  <si>
    <r>
      <t>r</t>
    </r>
    <r>
      <rPr>
        <b/>
        <vertAlign val="subscript"/>
        <sz val="14"/>
        <color theme="1"/>
        <rFont val="Calibri"/>
        <family val="2"/>
      </rPr>
      <t>t</t>
    </r>
    <r>
      <rPr>
        <b/>
        <sz val="14"/>
        <color theme="1"/>
        <rFont val="Calibri"/>
        <family val="2"/>
      </rPr>
      <t xml:space="preserve"> =</t>
    </r>
  </si>
  <si>
    <r>
      <t>L</t>
    </r>
    <r>
      <rPr>
        <b/>
        <vertAlign val="subscript"/>
        <sz val="14"/>
        <color theme="1"/>
        <rFont val="Calibri"/>
        <family val="2"/>
      </rPr>
      <t>r</t>
    </r>
    <r>
      <rPr>
        <b/>
        <sz val="14"/>
        <color theme="1"/>
        <rFont val="Calibri"/>
        <family val="2"/>
      </rPr>
      <t xml:space="preserve"> =</t>
    </r>
  </si>
  <si>
    <r>
      <rPr>
        <b/>
        <sz val="14"/>
        <color theme="1"/>
        <rFont val="Symbol"/>
        <family val="1"/>
        <charset val="2"/>
      </rPr>
      <t>a</t>
    </r>
    <r>
      <rPr>
        <b/>
        <sz val="14"/>
        <color theme="1"/>
        <rFont val="Calibri"/>
        <family val="2"/>
      </rPr>
      <t xml:space="preserve"> =</t>
    </r>
  </si>
  <si>
    <r>
      <t>C</t>
    </r>
    <r>
      <rPr>
        <b/>
        <vertAlign val="subscript"/>
        <sz val="14"/>
        <color theme="1"/>
        <rFont val="Calibri"/>
        <family val="2"/>
      </rPr>
      <t>b</t>
    </r>
    <r>
      <rPr>
        <b/>
        <sz val="14"/>
        <color theme="1"/>
        <rFont val="Calibri"/>
        <family val="2"/>
      </rPr>
      <t xml:space="preserve">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</si>
</sst>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>
    <font>
      <sz val="11"/>
      <color theme="1"/>
      <name val="Arial"/>
      <family val="2"/>
      <charset val="178"/>
      <scheme val="minor"/>
    </font>
    <font>
      <b/>
      <sz val="14"/>
      <name val="Calibri"/>
      <family val="2"/>
    </font>
    <font>
      <b/>
      <vertAlign val="superscript"/>
      <sz val="14"/>
      <name val="Calibri"/>
      <family val="2"/>
    </font>
    <font>
      <b/>
      <vertAlign val="subscript"/>
      <sz val="14"/>
      <name val="Calibri"/>
      <family val="2"/>
    </font>
    <font>
      <b/>
      <sz val="14"/>
      <color theme="0"/>
      <name val="Calibri"/>
      <family val="2"/>
    </font>
    <font>
      <b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sz val="14"/>
      <color rgb="FFFF0000"/>
      <name val="Calibri"/>
      <family val="2"/>
    </font>
    <font>
      <b/>
      <vertAlign val="superscript"/>
      <sz val="14"/>
      <color theme="1"/>
      <name val="Calibri"/>
      <family val="2"/>
    </font>
    <font>
      <b/>
      <sz val="14"/>
      <color rgb="FF000000"/>
      <name val="Calibri"/>
      <family val="2"/>
    </font>
    <font>
      <b/>
      <vertAlign val="subscript"/>
      <sz val="14"/>
      <color theme="1"/>
      <name val="Calibri"/>
      <family val="2"/>
    </font>
    <font>
      <b/>
      <sz val="14"/>
      <color theme="1"/>
      <name val="Calibri"/>
      <family val="1"/>
      <charset val="2"/>
    </font>
    <font>
      <b/>
      <sz val="14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5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 shrinkToFit="1"/>
    </xf>
    <xf numFmtId="2" fontId="9" fillId="0" borderId="1" xfId="0" applyNumberFormat="1" applyFont="1" applyFill="1" applyBorder="1" applyAlignment="1">
      <alignment horizontal="center" vertical="center" shrinkToFit="1"/>
    </xf>
    <xf numFmtId="164" fontId="9" fillId="0" borderId="1" xfId="0" applyNumberFormat="1" applyFont="1" applyFill="1" applyBorder="1" applyAlignment="1">
      <alignment horizontal="center" vertical="center" shrinkToFi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5" fillId="0" borderId="0" xfId="0" applyFont="1" applyFill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20</xdr:row>
      <xdr:rowOff>485738</xdr:rowOff>
    </xdr:from>
    <xdr:ext cx="410845" cy="112395"/>
    <xdr:sp macro="" textlink="">
      <xdr:nvSpPr>
        <xdr:cNvPr id="2" name="Shape 713">
          <a:extLst>
            <a:ext uri="{FF2B5EF4-FFF2-40B4-BE49-F238E27FC236}">
              <a16:creationId xmlns:a16="http://schemas.microsoft.com/office/drawing/2014/main" id="{E6E93A4C-0813-4F87-9CE4-46289F5B9C02}"/>
            </a:ext>
          </a:extLst>
        </xdr:cNvPr>
        <xdr:cNvSpPr/>
      </xdr:nvSpPr>
      <xdr:spPr>
        <a:xfrm>
          <a:off x="12668250" y="5467313"/>
          <a:ext cx="410845" cy="112395"/>
        </a:xfrm>
        <a:custGeom>
          <a:avLst/>
          <a:gdLst/>
          <a:ahLst/>
          <a:cxnLst/>
          <a:rect l="0" t="0" r="0" b="0"/>
          <a:pathLst>
            <a:path w="410845" h="112395">
              <a:moveTo>
                <a:pt x="5304366" y="-11455685"/>
              </a:moveTo>
              <a:lnTo>
                <a:pt x="5304366" y="-11530912"/>
              </a:lnTo>
              <a:lnTo>
                <a:pt x="5304459" y="-11530912"/>
              </a:lnTo>
            </a:path>
            <a:path w="410845" h="112395">
              <a:moveTo>
                <a:pt x="5304366" y="-11480733"/>
              </a:moveTo>
              <a:lnTo>
                <a:pt x="5331826" y="-11505865"/>
              </a:lnTo>
              <a:lnTo>
                <a:pt x="5345416" y="-11505865"/>
              </a:lnTo>
              <a:lnTo>
                <a:pt x="5359100" y="-11493256"/>
              </a:lnTo>
              <a:lnTo>
                <a:pt x="5359100" y="-11455685"/>
              </a:lnTo>
              <a:lnTo>
                <a:pt x="5359286" y="-11455685"/>
              </a:lnTo>
            </a:path>
            <a:path w="410845" h="112395">
              <a:moveTo>
                <a:pt x="5386466" y="-11493256"/>
              </a:moveTo>
              <a:lnTo>
                <a:pt x="5441107" y="-11493256"/>
              </a:lnTo>
              <a:lnTo>
                <a:pt x="5441200" y="-11493256"/>
              </a:lnTo>
            </a:path>
            <a:path w="410845" h="112395">
              <a:moveTo>
                <a:pt x="5468380" y="-11518389"/>
              </a:moveTo>
              <a:lnTo>
                <a:pt x="5482064" y="-11530912"/>
              </a:lnTo>
              <a:lnTo>
                <a:pt x="5509523" y="-11530912"/>
              </a:lnTo>
              <a:lnTo>
                <a:pt x="5523207" y="-11518389"/>
              </a:lnTo>
              <a:lnTo>
                <a:pt x="5523207" y="-11505865"/>
              </a:lnTo>
              <a:lnTo>
                <a:pt x="5509523" y="-11493256"/>
              </a:lnTo>
              <a:lnTo>
                <a:pt x="5482064" y="-11493256"/>
              </a:lnTo>
              <a:lnTo>
                <a:pt x="5468380" y="-11480733"/>
              </a:lnTo>
              <a:lnTo>
                <a:pt x="5468380" y="-11455685"/>
              </a:lnTo>
              <a:lnTo>
                <a:pt x="5523207" y="-11455685"/>
              </a:lnTo>
            </a:path>
            <a:path w="410845" h="112395">
              <a:moveTo>
                <a:pt x="5605121" y="-11505865"/>
              </a:moveTo>
              <a:lnTo>
                <a:pt x="5564164" y="-11505865"/>
              </a:lnTo>
              <a:lnTo>
                <a:pt x="5550480" y="-11493256"/>
              </a:lnTo>
              <a:lnTo>
                <a:pt x="5550480" y="-11468209"/>
              </a:lnTo>
              <a:lnTo>
                <a:pt x="5564164" y="-11455685"/>
              </a:lnTo>
              <a:lnTo>
                <a:pt x="5605121" y="-11455685"/>
              </a:lnTo>
              <a:lnTo>
                <a:pt x="5605307" y="-11455685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F7F21-4C19-480E-8707-EAAD280A6ACA}">
  <dimension ref="A1:AE50"/>
  <sheetViews>
    <sheetView showGridLines="0" tabSelected="1" topLeftCell="A22" zoomScaleNormal="100" zoomScaleSheetLayoutView="25" workbookViewId="0">
      <selection activeCell="K35" sqref="K35"/>
    </sheetView>
  </sheetViews>
  <sheetFormatPr defaultRowHeight="18.75"/>
  <cols>
    <col min="1" max="1" width="10.125" style="7" bestFit="1" customWidth="1"/>
    <col min="2" max="3" width="9" style="7"/>
    <col min="4" max="4" width="6.375" style="7" customWidth="1"/>
    <col min="5" max="5" width="14.125" style="7" customWidth="1"/>
    <col min="6" max="6" width="10" style="7" customWidth="1"/>
    <col min="7" max="7" width="9" style="18"/>
    <col min="8" max="8" width="9" style="7"/>
    <col min="9" max="9" width="6" style="7" customWidth="1"/>
    <col min="10" max="10" width="11.125" style="7" bestFit="1" customWidth="1"/>
    <col min="11" max="11" width="10.5" style="7" customWidth="1"/>
    <col min="12" max="16384" width="9" style="7"/>
  </cols>
  <sheetData>
    <row r="1" spans="1:31">
      <c r="A1" s="2">
        <v>37</v>
      </c>
      <c r="B1" s="3" t="s">
        <v>11</v>
      </c>
      <c r="C1" s="4"/>
      <c r="D1" s="4"/>
      <c r="E1" s="5" t="s">
        <v>33</v>
      </c>
      <c r="F1" s="6"/>
      <c r="G1" s="4"/>
      <c r="H1" s="4"/>
      <c r="I1" s="5" t="s">
        <v>39</v>
      </c>
      <c r="J1" s="4"/>
      <c r="K1" s="4"/>
      <c r="L1" s="4"/>
      <c r="M1" s="4"/>
      <c r="U1" s="15" t="s">
        <v>12</v>
      </c>
      <c r="V1" s="16"/>
    </row>
    <row r="2" spans="1:31">
      <c r="A2" s="2">
        <v>44</v>
      </c>
      <c r="B2" s="3" t="s">
        <v>13</v>
      </c>
      <c r="C2" s="4"/>
      <c r="D2" s="4"/>
      <c r="E2" s="4" t="s">
        <v>34</v>
      </c>
      <c r="F2" s="8">
        <v>300</v>
      </c>
      <c r="G2" s="4" t="s">
        <v>8</v>
      </c>
      <c r="H2" s="4"/>
      <c r="I2" s="4" t="s">
        <v>40</v>
      </c>
      <c r="J2" s="8">
        <v>0.8</v>
      </c>
      <c r="K2" s="4" t="s">
        <v>10</v>
      </c>
      <c r="L2" s="4"/>
      <c r="M2" s="4"/>
      <c r="P2" s="1" t="s">
        <v>14</v>
      </c>
      <c r="Q2" s="1" t="s">
        <v>7</v>
      </c>
      <c r="R2" s="1" t="s">
        <v>15</v>
      </c>
      <c r="S2" s="12" t="s">
        <v>16</v>
      </c>
      <c r="T2" s="13"/>
      <c r="U2" s="13"/>
      <c r="V2" s="13"/>
      <c r="W2" s="13"/>
      <c r="X2" s="13"/>
      <c r="Y2" s="14"/>
      <c r="Z2" s="12" t="s">
        <v>17</v>
      </c>
      <c r="AA2" s="13"/>
      <c r="AB2" s="14"/>
      <c r="AC2" s="12" t="s">
        <v>18</v>
      </c>
      <c r="AD2" s="13"/>
      <c r="AE2" s="14"/>
    </row>
    <row r="3" spans="1:31" ht="21.75">
      <c r="A3" s="2">
        <v>52</v>
      </c>
      <c r="B3" s="3" t="s">
        <v>19</v>
      </c>
      <c r="C3" s="4"/>
      <c r="D3" s="4"/>
      <c r="E3" s="4" t="s">
        <v>35</v>
      </c>
      <c r="F3" s="8">
        <v>4</v>
      </c>
      <c r="G3" s="4" t="s">
        <v>10</v>
      </c>
      <c r="H3" s="4"/>
      <c r="I3" s="4" t="s">
        <v>41</v>
      </c>
      <c r="J3" s="8">
        <v>1.1000000000000001</v>
      </c>
      <c r="K3" s="4" t="s">
        <v>10</v>
      </c>
      <c r="L3" s="6"/>
      <c r="M3" s="6"/>
      <c r="P3" s="1" t="s">
        <v>20</v>
      </c>
      <c r="Q3" s="1" t="s">
        <v>44</v>
      </c>
      <c r="R3" s="1" t="s">
        <v>21</v>
      </c>
      <c r="S3" s="1" t="s">
        <v>0</v>
      </c>
      <c r="T3" s="1" t="s">
        <v>1</v>
      </c>
      <c r="U3" s="1" t="s">
        <v>2</v>
      </c>
      <c r="V3" s="1" t="s">
        <v>3</v>
      </c>
      <c r="W3" s="1" t="s">
        <v>4</v>
      </c>
      <c r="X3" s="1" t="s">
        <v>5</v>
      </c>
      <c r="Y3" s="1" t="s">
        <v>6</v>
      </c>
      <c r="Z3" s="1" t="s">
        <v>45</v>
      </c>
      <c r="AA3" s="1" t="s">
        <v>46</v>
      </c>
      <c r="AB3" s="1" t="s">
        <v>47</v>
      </c>
      <c r="AC3" s="1" t="s">
        <v>48</v>
      </c>
      <c r="AD3" s="1" t="s">
        <v>49</v>
      </c>
      <c r="AE3" s="1" t="s">
        <v>50</v>
      </c>
    </row>
    <row r="4" spans="1:31" ht="21">
      <c r="A4" s="4" t="s">
        <v>56</v>
      </c>
      <c r="B4" s="17">
        <v>37</v>
      </c>
      <c r="C4" s="17"/>
      <c r="D4" s="4"/>
      <c r="E4" s="4" t="s">
        <v>15</v>
      </c>
      <c r="F4" s="8">
        <v>15</v>
      </c>
      <c r="G4" s="4" t="s">
        <v>36</v>
      </c>
      <c r="H4" s="4"/>
      <c r="I4" s="4" t="s">
        <v>42</v>
      </c>
      <c r="J4" s="8">
        <v>68</v>
      </c>
      <c r="K4" s="4" t="s">
        <v>51</v>
      </c>
      <c r="L4" s="4"/>
      <c r="M4" s="4"/>
      <c r="N4" s="18"/>
      <c r="P4" s="9">
        <v>80</v>
      </c>
      <c r="Q4" s="10">
        <v>7.64</v>
      </c>
      <c r="R4" s="9">
        <v>6</v>
      </c>
      <c r="S4" s="9">
        <v>80</v>
      </c>
      <c r="T4" s="9">
        <v>46</v>
      </c>
      <c r="U4" s="11">
        <v>3.8</v>
      </c>
      <c r="V4" s="9">
        <v>5</v>
      </c>
      <c r="W4" s="11">
        <v>5.2</v>
      </c>
      <c r="X4" s="11">
        <v>10.199999999999999</v>
      </c>
      <c r="Y4" s="9">
        <v>59</v>
      </c>
      <c r="Z4" s="11">
        <v>80.099999999999994</v>
      </c>
      <c r="AA4" s="9">
        <v>20</v>
      </c>
      <c r="AB4" s="10">
        <v>3.24</v>
      </c>
      <c r="AC4" s="10">
        <v>8.49</v>
      </c>
      <c r="AD4" s="10">
        <v>3.69</v>
      </c>
      <c r="AE4" s="10">
        <v>1.05</v>
      </c>
    </row>
    <row r="5" spans="1:31" ht="21">
      <c r="A5" s="4" t="s">
        <v>73</v>
      </c>
      <c r="B5" s="4">
        <f>IF(B4=A1,2.4,IF(B4=A2,2.8,3.6))</f>
        <v>2.4</v>
      </c>
      <c r="C5" s="4" t="s">
        <v>74</v>
      </c>
      <c r="D5" s="4"/>
      <c r="E5" s="4"/>
      <c r="F5" s="4"/>
      <c r="G5" s="4"/>
      <c r="H5" s="4"/>
      <c r="I5" s="4" t="s">
        <v>52</v>
      </c>
      <c r="J5" s="4">
        <f>J2*J3*J4*(10^-7)*B9</f>
        <v>1.7952000000000003E-3</v>
      </c>
      <c r="K5" s="4" t="s">
        <v>43</v>
      </c>
      <c r="L5" s="4"/>
      <c r="M5" s="4"/>
      <c r="N5" s="18"/>
      <c r="P5" s="9">
        <v>100</v>
      </c>
      <c r="Q5" s="11">
        <v>10.3</v>
      </c>
      <c r="R5" s="11">
        <v>8.1</v>
      </c>
      <c r="S5" s="9">
        <v>100</v>
      </c>
      <c r="T5" s="9">
        <v>55</v>
      </c>
      <c r="U5" s="11">
        <v>4.0999999999999996</v>
      </c>
      <c r="V5" s="9">
        <v>7</v>
      </c>
      <c r="W5" s="11">
        <v>5.7</v>
      </c>
      <c r="X5" s="11">
        <v>12.7</v>
      </c>
      <c r="Y5" s="9">
        <v>74</v>
      </c>
      <c r="Z5" s="9">
        <v>171</v>
      </c>
      <c r="AA5" s="11">
        <v>34.200000000000003</v>
      </c>
      <c r="AB5" s="10">
        <v>4.07</v>
      </c>
      <c r="AC5" s="11">
        <v>15.9</v>
      </c>
      <c r="AD5" s="10">
        <v>5.79</v>
      </c>
      <c r="AE5" s="10">
        <v>1.24</v>
      </c>
    </row>
    <row r="6" spans="1:31" ht="28.5" customHeight="1">
      <c r="A6" s="4" t="s">
        <v>75</v>
      </c>
      <c r="B6" s="4">
        <f>IF(B4=A1,3.7,IF(B4=A2,4.4,5.2))</f>
        <v>3.7</v>
      </c>
      <c r="C6" s="4" t="s">
        <v>74</v>
      </c>
      <c r="D6" s="4"/>
      <c r="E6" s="5" t="s">
        <v>32</v>
      </c>
      <c r="F6" s="6"/>
      <c r="G6" s="6"/>
      <c r="H6" s="4"/>
      <c r="I6" s="4"/>
      <c r="J6" s="4"/>
      <c r="K6" s="4"/>
      <c r="L6" s="4"/>
      <c r="M6" s="4"/>
      <c r="P6" s="9">
        <v>120</v>
      </c>
      <c r="Q6" s="11">
        <v>13.2</v>
      </c>
      <c r="R6" s="11">
        <v>10.4</v>
      </c>
      <c r="S6" s="9">
        <v>120</v>
      </c>
      <c r="T6" s="9">
        <v>64</v>
      </c>
      <c r="U6" s="11">
        <v>4.4000000000000004</v>
      </c>
      <c r="V6" s="9">
        <v>7</v>
      </c>
      <c r="W6" s="11">
        <v>6.3</v>
      </c>
      <c r="X6" s="11">
        <v>13.3</v>
      </c>
      <c r="Y6" s="9">
        <v>93</v>
      </c>
      <c r="Z6" s="9">
        <v>318</v>
      </c>
      <c r="AA6" s="9">
        <v>53</v>
      </c>
      <c r="AB6" s="11">
        <v>4.9000000000000004</v>
      </c>
      <c r="AC6" s="11">
        <v>27.7</v>
      </c>
      <c r="AD6" s="10">
        <v>8.65</v>
      </c>
      <c r="AE6" s="10">
        <v>1.45</v>
      </c>
    </row>
    <row r="7" spans="1:31" ht="21" customHeight="1">
      <c r="A7" s="4"/>
      <c r="B7" s="4"/>
      <c r="C7" s="4"/>
      <c r="D7" s="4"/>
      <c r="E7" s="4" t="s">
        <v>76</v>
      </c>
      <c r="F7" s="4">
        <f>1.3*((J5*(B10^2))/8)</f>
        <v>352.98120000000011</v>
      </c>
      <c r="G7" s="4" t="s">
        <v>22</v>
      </c>
      <c r="H7" s="4"/>
      <c r="I7" s="4"/>
      <c r="J7" s="4"/>
      <c r="K7" s="4"/>
      <c r="L7" s="4"/>
      <c r="M7" s="4"/>
      <c r="P7" s="9">
        <v>140</v>
      </c>
      <c r="Q7" s="11">
        <v>16.399999999999999</v>
      </c>
      <c r="R7" s="11">
        <v>12.9</v>
      </c>
      <c r="S7" s="9">
        <v>140</v>
      </c>
      <c r="T7" s="9">
        <v>73</v>
      </c>
      <c r="U7" s="11">
        <v>4.7</v>
      </c>
      <c r="V7" s="9">
        <v>7</v>
      </c>
      <c r="W7" s="11">
        <v>6.9</v>
      </c>
      <c r="X7" s="11">
        <v>13.9</v>
      </c>
      <c r="Y7" s="9">
        <v>112</v>
      </c>
      <c r="Z7" s="9">
        <v>541</v>
      </c>
      <c r="AA7" s="11">
        <v>77.3</v>
      </c>
      <c r="AB7" s="10">
        <v>5.74</v>
      </c>
      <c r="AC7" s="11">
        <v>44.9</v>
      </c>
      <c r="AD7" s="11">
        <v>12.3</v>
      </c>
      <c r="AE7" s="10">
        <v>1.65</v>
      </c>
    </row>
    <row r="8" spans="1:31">
      <c r="A8" s="19" t="s">
        <v>55</v>
      </c>
      <c r="B8" s="19"/>
      <c r="C8" s="19"/>
      <c r="D8" s="4"/>
      <c r="E8" s="4" t="s">
        <v>23</v>
      </c>
      <c r="F8" s="4">
        <f>1.2*(B19*(10^-5)*B10+B15*(10^-7)*(B10-B11)*B9+F4*(10^-5)*F2*F3)</f>
        <v>0.69528000000000001</v>
      </c>
      <c r="G8" s="4" t="s">
        <v>24</v>
      </c>
      <c r="H8" s="4"/>
      <c r="I8" s="4"/>
      <c r="J8" s="4"/>
      <c r="K8" s="4"/>
      <c r="L8" s="4"/>
      <c r="M8" s="4"/>
      <c r="P8" s="9">
        <v>160</v>
      </c>
      <c r="Q8" s="11">
        <v>20.100000000000001</v>
      </c>
      <c r="R8" s="11">
        <v>15.8</v>
      </c>
      <c r="S8" s="9">
        <v>160</v>
      </c>
      <c r="T8" s="9">
        <v>82</v>
      </c>
      <c r="U8" s="9">
        <v>5</v>
      </c>
      <c r="V8" s="9">
        <v>9</v>
      </c>
      <c r="W8" s="11">
        <v>7.4</v>
      </c>
      <c r="X8" s="11">
        <v>16.399999999999999</v>
      </c>
      <c r="Y8" s="9">
        <v>127</v>
      </c>
      <c r="Z8" s="9">
        <v>869</v>
      </c>
      <c r="AA8" s="9">
        <v>109</v>
      </c>
      <c r="AB8" s="10">
        <v>6.58</v>
      </c>
      <c r="AC8" s="11">
        <v>68.3</v>
      </c>
      <c r="AD8" s="11">
        <v>16.7</v>
      </c>
      <c r="AE8" s="10">
        <v>1.84</v>
      </c>
    </row>
    <row r="9" spans="1:31">
      <c r="A9" s="4" t="s">
        <v>37</v>
      </c>
      <c r="B9" s="8">
        <v>300</v>
      </c>
      <c r="C9" s="4" t="s">
        <v>8</v>
      </c>
      <c r="D9" s="4"/>
      <c r="E9" s="4"/>
      <c r="F9" s="4"/>
      <c r="G9" s="4"/>
      <c r="H9" s="4"/>
      <c r="I9" s="4"/>
      <c r="J9" s="4"/>
      <c r="K9" s="4"/>
      <c r="L9" s="4"/>
      <c r="M9" s="4"/>
      <c r="P9" s="9">
        <v>180</v>
      </c>
      <c r="Q9" s="11">
        <v>23.9</v>
      </c>
      <c r="R9" s="11">
        <v>18.8</v>
      </c>
      <c r="S9" s="9">
        <v>180</v>
      </c>
      <c r="T9" s="9">
        <v>91</v>
      </c>
      <c r="U9" s="11">
        <v>5.3</v>
      </c>
      <c r="V9" s="9">
        <v>9</v>
      </c>
      <c r="W9" s="9">
        <v>8</v>
      </c>
      <c r="X9" s="9">
        <v>17</v>
      </c>
      <c r="Y9" s="9">
        <v>146</v>
      </c>
      <c r="Z9" s="9">
        <v>1320</v>
      </c>
      <c r="AA9" s="9">
        <v>146</v>
      </c>
      <c r="AB9" s="10">
        <v>7.42</v>
      </c>
      <c r="AC9" s="9">
        <v>101</v>
      </c>
      <c r="AD9" s="11">
        <v>22.2</v>
      </c>
      <c r="AE9" s="10">
        <v>2.0499999999999998</v>
      </c>
    </row>
    <row r="10" spans="1:31">
      <c r="A10" s="4" t="s">
        <v>38</v>
      </c>
      <c r="B10" s="8">
        <v>1100</v>
      </c>
      <c r="C10" s="4" t="s">
        <v>8</v>
      </c>
      <c r="D10" s="4"/>
      <c r="E10" s="4"/>
      <c r="G10" s="6"/>
      <c r="H10" s="4"/>
      <c r="I10" s="4"/>
      <c r="J10" s="4"/>
      <c r="K10" s="4"/>
      <c r="L10" s="4"/>
      <c r="M10" s="4"/>
      <c r="P10" s="9">
        <v>200</v>
      </c>
      <c r="Q10" s="11">
        <v>28.5</v>
      </c>
      <c r="R10" s="11">
        <v>22.4</v>
      </c>
      <c r="S10" s="9">
        <v>200</v>
      </c>
      <c r="T10" s="9">
        <v>100</v>
      </c>
      <c r="U10" s="11">
        <v>5.6</v>
      </c>
      <c r="V10" s="9">
        <v>12</v>
      </c>
      <c r="W10" s="11">
        <v>8.5</v>
      </c>
      <c r="X10" s="11">
        <v>20.5</v>
      </c>
      <c r="Y10" s="9">
        <v>159</v>
      </c>
      <c r="Z10" s="9">
        <v>1940</v>
      </c>
      <c r="AA10" s="9">
        <v>194</v>
      </c>
      <c r="AB10" s="10">
        <v>8.26</v>
      </c>
      <c r="AC10" s="9">
        <v>142</v>
      </c>
      <c r="AD10" s="11">
        <v>28.5</v>
      </c>
      <c r="AE10" s="10">
        <v>2.2400000000000002</v>
      </c>
    </row>
    <row r="11" spans="1:31" ht="19.5" customHeight="1">
      <c r="A11" s="4" t="s">
        <v>77</v>
      </c>
      <c r="B11" s="8">
        <v>250</v>
      </c>
      <c r="C11" s="4" t="s">
        <v>8</v>
      </c>
      <c r="D11" s="4"/>
      <c r="E11" s="5" t="s">
        <v>25</v>
      </c>
      <c r="F11" s="4"/>
      <c r="G11" s="4"/>
      <c r="H11" s="4"/>
      <c r="I11" s="4"/>
      <c r="J11" s="4"/>
      <c r="K11" s="4"/>
      <c r="L11" s="4"/>
      <c r="M11" s="4"/>
      <c r="P11" s="9">
        <v>220</v>
      </c>
      <c r="Q11" s="11">
        <v>33.4</v>
      </c>
      <c r="R11" s="11">
        <v>26.2</v>
      </c>
      <c r="S11" s="9">
        <v>220</v>
      </c>
      <c r="T11" s="9">
        <v>110</v>
      </c>
      <c r="U11" s="11">
        <v>5.9</v>
      </c>
      <c r="V11" s="9">
        <v>12</v>
      </c>
      <c r="W11" s="11">
        <v>9.1999999999999993</v>
      </c>
      <c r="X11" s="11">
        <v>21.2</v>
      </c>
      <c r="Y11" s="9">
        <v>177</v>
      </c>
      <c r="Z11" s="9">
        <v>2770</v>
      </c>
      <c r="AA11" s="9">
        <v>252</v>
      </c>
      <c r="AB11" s="10">
        <v>9.11</v>
      </c>
      <c r="AC11" s="9">
        <v>205</v>
      </c>
      <c r="AD11" s="11">
        <v>37.299999999999997</v>
      </c>
      <c r="AE11" s="10">
        <v>2.48</v>
      </c>
    </row>
    <row r="12" spans="1:31" ht="20.25">
      <c r="A12" s="4" t="s">
        <v>78</v>
      </c>
      <c r="B12" s="8">
        <v>250</v>
      </c>
      <c r="C12" s="4" t="s">
        <v>8</v>
      </c>
      <c r="D12" s="4"/>
      <c r="E12" s="19" t="s">
        <v>26</v>
      </c>
      <c r="F12" s="19"/>
      <c r="G12" s="4"/>
      <c r="H12" s="4"/>
      <c r="I12" s="4"/>
      <c r="J12" s="4"/>
      <c r="K12" s="4"/>
      <c r="L12" s="4"/>
      <c r="M12" s="4"/>
      <c r="P12" s="9">
        <v>240</v>
      </c>
      <c r="Q12" s="11">
        <v>39.1</v>
      </c>
      <c r="R12" s="11">
        <v>30.7</v>
      </c>
      <c r="S12" s="9">
        <v>240</v>
      </c>
      <c r="T12" s="9">
        <v>120</v>
      </c>
      <c r="U12" s="11">
        <v>6.2</v>
      </c>
      <c r="V12" s="9">
        <v>15</v>
      </c>
      <c r="W12" s="11">
        <v>9.8000000000000007</v>
      </c>
      <c r="X12" s="11">
        <v>24.8</v>
      </c>
      <c r="Y12" s="9">
        <v>190</v>
      </c>
      <c r="Z12" s="9">
        <v>3890</v>
      </c>
      <c r="AA12" s="9">
        <v>324</v>
      </c>
      <c r="AB12" s="10">
        <v>9.9700000000000006</v>
      </c>
      <c r="AC12" s="9">
        <v>284</v>
      </c>
      <c r="AD12" s="11">
        <v>47.3</v>
      </c>
      <c r="AE12" s="10">
        <v>2.69</v>
      </c>
    </row>
    <row r="13" spans="1:31" ht="20.25">
      <c r="A13" s="4" t="s">
        <v>79</v>
      </c>
      <c r="B13" s="8">
        <v>1100</v>
      </c>
      <c r="C13" s="4" t="s">
        <v>8</v>
      </c>
      <c r="D13" s="4"/>
      <c r="E13" s="4" t="s">
        <v>57</v>
      </c>
      <c r="F13" s="4">
        <f>(1/(0.1*B20-2*0.1*B24))*((B20/20)+(F8/(2*0.1*B22*B5))-(0.1*B24))</f>
        <v>0.51413446526151441</v>
      </c>
      <c r="G13" s="6"/>
      <c r="H13" s="4"/>
      <c r="I13" s="4"/>
      <c r="J13" s="4"/>
      <c r="K13" s="4"/>
      <c r="L13" s="4"/>
      <c r="M13" s="4"/>
      <c r="P13" s="9">
        <v>270</v>
      </c>
      <c r="Q13" s="11">
        <v>45.9</v>
      </c>
      <c r="R13" s="11">
        <v>36.1</v>
      </c>
      <c r="S13" s="9">
        <v>270</v>
      </c>
      <c r="T13" s="9">
        <v>135</v>
      </c>
      <c r="U13" s="11">
        <v>6.6</v>
      </c>
      <c r="V13" s="9">
        <v>15</v>
      </c>
      <c r="W13" s="11">
        <v>10.199999999999999</v>
      </c>
      <c r="X13" s="11">
        <v>25.2</v>
      </c>
      <c r="Y13" s="9">
        <v>219</v>
      </c>
      <c r="Z13" s="9">
        <v>5790</v>
      </c>
      <c r="AA13" s="9">
        <v>429</v>
      </c>
      <c r="AB13" s="11">
        <v>11.2</v>
      </c>
      <c r="AC13" s="9">
        <v>420</v>
      </c>
      <c r="AD13" s="11">
        <v>62.2</v>
      </c>
      <c r="AE13" s="10">
        <v>3.02</v>
      </c>
    </row>
    <row r="14" spans="1:31" ht="20.25">
      <c r="A14" s="4" t="s">
        <v>80</v>
      </c>
      <c r="B14" s="8">
        <v>250</v>
      </c>
      <c r="C14" s="4" t="s">
        <v>8</v>
      </c>
      <c r="D14" s="4"/>
      <c r="E14" s="4" t="s">
        <v>81</v>
      </c>
      <c r="F14" s="4">
        <f>B26/B22</f>
        <v>28.392857142857146</v>
      </c>
      <c r="G14" s="21" t="str">
        <f>IF(AND(F13&gt;0.5,F14&lt;=((699/SQRT(B5))/(13*F13-1))),B1,IF(AND(F13&lt;=0.5,F14&lt;=((63.3/F13)/SQRT(B5))),B1,B2))</f>
        <v>Compact</v>
      </c>
      <c r="H14" s="21"/>
      <c r="I14" s="21" t="s">
        <v>27</v>
      </c>
      <c r="J14" s="21" t="str">
        <f>IF(AND(G14=B1,G15=B1),B1,B2)</f>
        <v>Compact</v>
      </c>
      <c r="K14" s="21" t="s">
        <v>58</v>
      </c>
      <c r="M14" s="22"/>
      <c r="P14" s="9">
        <v>300</v>
      </c>
      <c r="Q14" s="11">
        <v>53.8</v>
      </c>
      <c r="R14" s="11">
        <v>42.2</v>
      </c>
      <c r="S14" s="9">
        <v>300</v>
      </c>
      <c r="T14" s="9">
        <v>150</v>
      </c>
      <c r="U14" s="11">
        <v>7.1</v>
      </c>
      <c r="V14" s="9">
        <v>15</v>
      </c>
      <c r="W14" s="11">
        <v>10.7</v>
      </c>
      <c r="X14" s="11">
        <v>25.7</v>
      </c>
      <c r="Y14" s="9">
        <v>248</v>
      </c>
      <c r="Z14" s="9">
        <v>8360</v>
      </c>
      <c r="AA14" s="9">
        <v>557</v>
      </c>
      <c r="AB14" s="11">
        <v>12.5</v>
      </c>
      <c r="AC14" s="9">
        <v>604</v>
      </c>
      <c r="AD14" s="11">
        <v>80.5</v>
      </c>
      <c r="AE14" s="10">
        <v>3.35</v>
      </c>
    </row>
    <row r="15" spans="1:31" ht="21">
      <c r="A15" s="4" t="s">
        <v>82</v>
      </c>
      <c r="B15" s="8">
        <v>6</v>
      </c>
      <c r="C15" s="4" t="s">
        <v>83</v>
      </c>
      <c r="D15" s="4"/>
      <c r="E15" s="4" t="s">
        <v>84</v>
      </c>
      <c r="F15" s="4">
        <f>(B21-B22-2*B23)/(2*B24)</f>
        <v>4.1411764705882357</v>
      </c>
      <c r="G15" s="21" t="str">
        <f>IF(F15&lt;=16.9/SQRT(B5),B1,B2)</f>
        <v>Compact</v>
      </c>
      <c r="H15" s="21"/>
      <c r="I15" s="21"/>
      <c r="J15" s="21"/>
      <c r="K15" s="21"/>
      <c r="L15" s="22"/>
      <c r="M15" s="22"/>
      <c r="P15" s="9">
        <v>330</v>
      </c>
      <c r="Q15" s="11">
        <v>62.6</v>
      </c>
      <c r="R15" s="11">
        <v>49.1</v>
      </c>
      <c r="S15" s="9">
        <v>330</v>
      </c>
      <c r="T15" s="9">
        <v>160</v>
      </c>
      <c r="U15" s="11">
        <v>7.5</v>
      </c>
      <c r="V15" s="9">
        <v>18</v>
      </c>
      <c r="W15" s="11">
        <v>11.5</v>
      </c>
      <c r="X15" s="11">
        <v>29.5</v>
      </c>
      <c r="Y15" s="9">
        <v>271</v>
      </c>
      <c r="Z15" s="9">
        <v>11770</v>
      </c>
      <c r="AA15" s="9">
        <v>713</v>
      </c>
      <c r="AB15" s="11">
        <v>13.7</v>
      </c>
      <c r="AC15" s="9">
        <v>788</v>
      </c>
      <c r="AD15" s="11">
        <v>98.5</v>
      </c>
      <c r="AE15" s="10">
        <v>3.55</v>
      </c>
    </row>
    <row r="16" spans="1:31">
      <c r="A16" s="4"/>
      <c r="B16" s="8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P16" s="9">
        <v>360</v>
      </c>
      <c r="Q16" s="11">
        <v>72.7</v>
      </c>
      <c r="R16" s="11">
        <v>57.1</v>
      </c>
      <c r="S16" s="9">
        <v>360</v>
      </c>
      <c r="T16" s="9">
        <v>170</v>
      </c>
      <c r="U16" s="9">
        <v>8</v>
      </c>
      <c r="V16" s="9">
        <v>18</v>
      </c>
      <c r="W16" s="11">
        <v>12.7</v>
      </c>
      <c r="X16" s="11">
        <v>30.7</v>
      </c>
      <c r="Y16" s="9">
        <v>298</v>
      </c>
      <c r="Z16" s="9">
        <v>16270</v>
      </c>
      <c r="AA16" s="9">
        <v>904</v>
      </c>
      <c r="AB16" s="9">
        <v>15</v>
      </c>
      <c r="AC16" s="9">
        <v>1040</v>
      </c>
      <c r="AD16" s="9">
        <v>123</v>
      </c>
      <c r="AE16" s="10">
        <v>3.79</v>
      </c>
    </row>
    <row r="17" spans="1:31">
      <c r="A17" s="19" t="s">
        <v>53</v>
      </c>
      <c r="B17" s="19"/>
      <c r="C17" s="19"/>
      <c r="D17" s="4"/>
      <c r="E17" s="5" t="s">
        <v>71</v>
      </c>
      <c r="F17" s="4"/>
      <c r="G17" s="4"/>
      <c r="H17" s="4"/>
      <c r="I17" s="4"/>
      <c r="J17" s="4"/>
      <c r="K17" s="4"/>
      <c r="L17" s="4"/>
      <c r="M17" s="4"/>
      <c r="P17" s="9">
        <v>400</v>
      </c>
      <c r="Q17" s="11">
        <v>84.5</v>
      </c>
      <c r="R17" s="11">
        <v>66.3</v>
      </c>
      <c r="S17" s="9">
        <v>400</v>
      </c>
      <c r="T17" s="9">
        <v>180</v>
      </c>
      <c r="U17" s="11">
        <v>8.6</v>
      </c>
      <c r="V17" s="9">
        <v>21</v>
      </c>
      <c r="W17" s="11">
        <v>13.5</v>
      </c>
      <c r="X17" s="11">
        <v>34.5</v>
      </c>
      <c r="Y17" s="9">
        <v>331</v>
      </c>
      <c r="Z17" s="9">
        <v>23130</v>
      </c>
      <c r="AA17" s="9">
        <v>1160</v>
      </c>
      <c r="AB17" s="11">
        <v>16.5</v>
      </c>
      <c r="AC17" s="9">
        <v>1320</v>
      </c>
      <c r="AD17" s="9">
        <v>146</v>
      </c>
      <c r="AE17" s="10">
        <v>3.95</v>
      </c>
    </row>
    <row r="18" spans="1:31" ht="20.25">
      <c r="A18" s="4" t="s">
        <v>12</v>
      </c>
      <c r="B18" s="23">
        <v>200</v>
      </c>
      <c r="C18" s="23"/>
      <c r="D18" s="4"/>
      <c r="E18" s="4" t="s">
        <v>85</v>
      </c>
      <c r="F18" s="4">
        <f>B32*B5</f>
        <v>526.12799999999993</v>
      </c>
      <c r="G18" s="4" t="s">
        <v>22</v>
      </c>
      <c r="H18" s="4"/>
      <c r="I18" s="4"/>
      <c r="J18" s="4"/>
      <c r="K18" s="4"/>
      <c r="L18" s="4"/>
      <c r="M18" s="4"/>
      <c r="P18" s="9">
        <v>450</v>
      </c>
      <c r="Q18" s="11">
        <v>98.8</v>
      </c>
      <c r="R18" s="11">
        <v>77.599999999999994</v>
      </c>
      <c r="S18" s="9">
        <v>450</v>
      </c>
      <c r="T18" s="9">
        <v>190</v>
      </c>
      <c r="U18" s="11">
        <v>9.4</v>
      </c>
      <c r="V18" s="9">
        <v>21</v>
      </c>
      <c r="W18" s="11">
        <v>14.6</v>
      </c>
      <c r="X18" s="11">
        <v>35.6</v>
      </c>
      <c r="Y18" s="9">
        <v>378</v>
      </c>
      <c r="Z18" s="9">
        <v>33740</v>
      </c>
      <c r="AA18" s="9">
        <v>1500</v>
      </c>
      <c r="AB18" s="11">
        <v>18.5</v>
      </c>
      <c r="AC18" s="9">
        <v>1680</v>
      </c>
      <c r="AD18" s="9">
        <v>176</v>
      </c>
      <c r="AE18" s="10">
        <v>4.12</v>
      </c>
    </row>
    <row r="19" spans="1:31" ht="24" customHeight="1">
      <c r="A19" s="4" t="s">
        <v>59</v>
      </c>
      <c r="B19" s="4">
        <f>VLOOKUP(B18,table,3,FALSE)</f>
        <v>22.4</v>
      </c>
      <c r="C19" s="4" t="s">
        <v>36</v>
      </c>
      <c r="D19" s="4"/>
      <c r="E19" s="4" t="str">
        <f>IF(B14&lt;=B37,"Lb &lt;= Lp","")</f>
        <v/>
      </c>
      <c r="F19" s="4" t="str">
        <f>IF(B14&lt;=B37,"Mnx =","")</f>
        <v/>
      </c>
      <c r="G19" s="4" t="str">
        <f>IF(B14&lt;=B37,F18,"")</f>
        <v/>
      </c>
      <c r="H19" s="4" t="str">
        <f>IF(B14&lt;=B37,"Cm.t","")</f>
        <v/>
      </c>
      <c r="I19" s="22"/>
      <c r="P19" s="9">
        <v>500</v>
      </c>
      <c r="Q19" s="9">
        <v>116</v>
      </c>
      <c r="R19" s="11">
        <v>90.7</v>
      </c>
      <c r="S19" s="9">
        <v>500</v>
      </c>
      <c r="T19" s="9">
        <v>200</v>
      </c>
      <c r="U19" s="11">
        <v>10.199999999999999</v>
      </c>
      <c r="V19" s="9">
        <v>21</v>
      </c>
      <c r="W19" s="9">
        <v>16</v>
      </c>
      <c r="X19" s="9">
        <v>37</v>
      </c>
      <c r="Y19" s="9">
        <v>426</v>
      </c>
      <c r="Z19" s="9">
        <v>48200</v>
      </c>
      <c r="AA19" s="9">
        <v>1930</v>
      </c>
      <c r="AB19" s="11">
        <v>20.399999999999999</v>
      </c>
      <c r="AC19" s="9">
        <v>2140</v>
      </c>
      <c r="AD19" s="9">
        <v>214</v>
      </c>
      <c r="AE19" s="10">
        <v>4.3099999999999996</v>
      </c>
    </row>
    <row r="20" spans="1:31">
      <c r="A20" s="4" t="s">
        <v>60</v>
      </c>
      <c r="B20" s="4">
        <f>VLOOKUP(B18,table,4,FALSE)</f>
        <v>200</v>
      </c>
      <c r="C20" s="4" t="s">
        <v>9</v>
      </c>
      <c r="D20" s="4"/>
      <c r="E20" s="4" t="str">
        <f>IF(AND(B14&gt;B37,B14&lt;=B40),"Lp &lt; Lb &lt;= Lr","")</f>
        <v>Lp &lt; Lb &lt;= Lr</v>
      </c>
      <c r="F20" s="4" t="str">
        <f>IF(AND(B14&gt;B37,B14&lt;=B40),"Mnx =","")</f>
        <v>Mnx =</v>
      </c>
      <c r="G20" s="4">
        <f>IF(AND(B14&gt;B37,B14&lt;=B40),MIN(B42*(F18-(F18-(B31*0.75*B5))*((B14-B37)/(B40-B37))),F18),"")</f>
        <v>526.12799999999993</v>
      </c>
      <c r="H20" s="4" t="str">
        <f>IF(AND(B14&gt;B37,B14&lt;=B40),"Cm.t","")</f>
        <v>Cm.t</v>
      </c>
      <c r="I20" s="22"/>
      <c r="J20" s="4">
        <f>IF(AND(B14&gt;B37,B14&lt;=B40),B42*(F18-(F18-(B31*0.75*B5))*((B14-B37)/(B40-B37))),"")</f>
        <v>766.57633428729582</v>
      </c>
      <c r="K20" s="4"/>
      <c r="L20" s="4"/>
      <c r="P20" s="9">
        <v>550</v>
      </c>
      <c r="Q20" s="9">
        <v>134</v>
      </c>
      <c r="R20" s="9">
        <v>106</v>
      </c>
      <c r="S20" s="9">
        <v>550</v>
      </c>
      <c r="T20" s="9">
        <v>210</v>
      </c>
      <c r="U20" s="11">
        <v>11.1</v>
      </c>
      <c r="V20" s="9">
        <v>24</v>
      </c>
      <c r="W20" s="11">
        <v>17.2</v>
      </c>
      <c r="X20" s="11">
        <v>41.2</v>
      </c>
      <c r="Y20" s="9">
        <v>467</v>
      </c>
      <c r="Z20" s="9">
        <v>67120</v>
      </c>
      <c r="AA20" s="9">
        <v>2440</v>
      </c>
      <c r="AB20" s="11">
        <v>22.3</v>
      </c>
      <c r="AC20" s="9">
        <v>2670</v>
      </c>
      <c r="AD20" s="9">
        <v>254</v>
      </c>
      <c r="AE20" s="10">
        <v>4.45</v>
      </c>
    </row>
    <row r="21" spans="1:31" ht="24" customHeight="1">
      <c r="A21" s="4" t="s">
        <v>61</v>
      </c>
      <c r="B21" s="4">
        <f>VLOOKUP(B18,table,5,FALSE)</f>
        <v>100</v>
      </c>
      <c r="C21" s="4" t="s">
        <v>9</v>
      </c>
      <c r="D21" s="4"/>
      <c r="E21" s="4" t="str">
        <f>IF(B14&gt;B40,"Lb &gt; Lr","")</f>
        <v/>
      </c>
      <c r="F21" s="4" t="str">
        <f>IF(B14&gt;B40,"Mnx =","")</f>
        <v/>
      </c>
      <c r="G21" s="4" t="str">
        <f>IF(B14&gt;B40,MIN(F18,B31*SQRT(((1380*0.1*B21*0.1*B24)/(0.1*B20*B14))^2+(20700/(B14/B38)^2)^2)),"")</f>
        <v/>
      </c>
      <c r="H21" s="4" t="str">
        <f>IF(B14&gt;B40,"Cm.t","")</f>
        <v/>
      </c>
      <c r="I21" s="22"/>
      <c r="J21" s="4"/>
      <c r="K21" s="4"/>
      <c r="L21" s="4"/>
      <c r="P21" s="9">
        <v>600</v>
      </c>
      <c r="Q21" s="9">
        <v>156</v>
      </c>
      <c r="R21" s="9">
        <v>122</v>
      </c>
      <c r="S21" s="9">
        <v>600</v>
      </c>
      <c r="T21" s="9">
        <v>220</v>
      </c>
      <c r="U21" s="9">
        <v>12</v>
      </c>
      <c r="V21" s="9">
        <v>24</v>
      </c>
      <c r="W21" s="9">
        <v>19</v>
      </c>
      <c r="X21" s="9">
        <v>43</v>
      </c>
      <c r="Y21" s="9">
        <v>514</v>
      </c>
      <c r="Z21" s="9">
        <v>92080</v>
      </c>
      <c r="AA21" s="9">
        <v>3070</v>
      </c>
      <c r="AB21" s="11">
        <v>24.3</v>
      </c>
      <c r="AC21" s="9">
        <v>3390</v>
      </c>
      <c r="AD21" s="9">
        <v>308</v>
      </c>
      <c r="AE21" s="10">
        <v>4.66</v>
      </c>
    </row>
    <row r="22" spans="1:31">
      <c r="A22" s="4" t="s">
        <v>62</v>
      </c>
      <c r="B22" s="4">
        <f>VLOOKUP(B18,table,6,FALSE)</f>
        <v>5.6</v>
      </c>
      <c r="C22" s="4" t="s">
        <v>9</v>
      </c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31">
      <c r="A23" s="4" t="s">
        <v>63</v>
      </c>
      <c r="B23" s="4">
        <f>VLOOKUP(B18,table,7,FALSE)</f>
        <v>12</v>
      </c>
      <c r="C23" s="4" t="s">
        <v>9</v>
      </c>
      <c r="D23" s="4"/>
      <c r="E23" s="19" t="s">
        <v>72</v>
      </c>
      <c r="F23" s="19"/>
      <c r="G23" s="4"/>
      <c r="H23" s="4"/>
      <c r="I23" s="4"/>
      <c r="J23" s="4"/>
      <c r="K23" s="4"/>
      <c r="L23" s="4"/>
      <c r="M23" s="4"/>
    </row>
    <row r="24" spans="1:31">
      <c r="A24" s="4" t="s">
        <v>64</v>
      </c>
      <c r="B24" s="4">
        <f>VLOOKUP(B18,table,8,FALSE)</f>
        <v>8.5</v>
      </c>
      <c r="C24" s="4" t="s">
        <v>9</v>
      </c>
      <c r="D24" s="4"/>
      <c r="E24" s="19" t="s">
        <v>28</v>
      </c>
      <c r="F24" s="19"/>
      <c r="G24" s="21"/>
      <c r="H24" s="21"/>
      <c r="I24" s="19" t="s">
        <v>70</v>
      </c>
      <c r="J24" s="19"/>
      <c r="K24" s="4"/>
      <c r="L24" s="4"/>
      <c r="M24" s="4"/>
    </row>
    <row r="25" spans="1:31" ht="20.25">
      <c r="A25" s="4" t="s">
        <v>65</v>
      </c>
      <c r="B25" s="4">
        <f>VLOOKUP(B18,table,9,FALSE)</f>
        <v>20.5</v>
      </c>
      <c r="C25" s="4" t="s">
        <v>9</v>
      </c>
      <c r="D25" s="4"/>
      <c r="E25" s="4" t="s">
        <v>86</v>
      </c>
      <c r="F25" s="4">
        <f>B12/B36</f>
        <v>111.60714285714285</v>
      </c>
      <c r="G25" s="2" t="str">
        <f>IF(F25&lt;180,"Safe","Unsafe")</f>
        <v>Safe</v>
      </c>
      <c r="H25" s="4"/>
      <c r="I25" s="4" t="s">
        <v>87</v>
      </c>
      <c r="J25" s="4">
        <f>B13/B33</f>
        <v>133.17191283292979</v>
      </c>
      <c r="K25" s="2" t="str">
        <f>IF(J25&lt;=180,"Safe","Unsafe")</f>
        <v>Safe</v>
      </c>
      <c r="L25" s="4"/>
      <c r="M25" s="4"/>
    </row>
    <row r="26" spans="1:31" ht="20.25">
      <c r="A26" s="4" t="s">
        <v>66</v>
      </c>
      <c r="B26" s="4">
        <f>VLOOKUP(B18,table,10,FALSE)</f>
        <v>159</v>
      </c>
      <c r="C26" s="4" t="s">
        <v>9</v>
      </c>
      <c r="D26" s="4"/>
      <c r="E26" s="4" t="s">
        <v>88</v>
      </c>
      <c r="F26" s="4">
        <f>F25*SQRT((B5)/((22/7)^2*2100))</f>
        <v>1.2005032027393698</v>
      </c>
      <c r="G26" s="4" t="s">
        <v>10</v>
      </c>
      <c r="H26" s="4"/>
      <c r="I26" s="4" t="s">
        <v>88</v>
      </c>
      <c r="J26" s="4">
        <f>J25*SQRT((B5)/((22/7)^2*2100))</f>
        <v>1.4324648385229095</v>
      </c>
      <c r="K26" s="4" t="s">
        <v>10</v>
      </c>
      <c r="L26" s="4"/>
      <c r="M26" s="4"/>
    </row>
    <row r="27" spans="1:31" ht="21">
      <c r="A27" s="4"/>
      <c r="B27" s="4"/>
      <c r="C27" s="4"/>
      <c r="D27" s="4"/>
      <c r="E27" s="4" t="s">
        <v>89</v>
      </c>
      <c r="F27" s="4">
        <f>IF(F26&lt;1.1,B5*(1-0.384*(F26)^2),IF(F26&gt;1.1,(0.648*B5)/(F26)^2))</f>
        <v>1.0790948044800006</v>
      </c>
      <c r="G27" s="4" t="s">
        <v>74</v>
      </c>
      <c r="H27" s="4"/>
      <c r="I27" s="4" t="s">
        <v>89</v>
      </c>
      <c r="J27" s="4">
        <f>IF(J26&lt;1.1,B5*(1-0.384*(J26)^2),IF(J26&gt;1.1,(0.648*B5)/(J26)^2))</f>
        <v>0.75791116799999991</v>
      </c>
      <c r="K27" s="4" t="s">
        <v>74</v>
      </c>
      <c r="L27" s="4"/>
      <c r="M27" s="4"/>
    </row>
    <row r="28" spans="1:31" ht="20.25">
      <c r="A28" s="19" t="s">
        <v>54</v>
      </c>
      <c r="B28" s="19"/>
      <c r="C28" s="19"/>
      <c r="D28" s="4"/>
      <c r="E28" s="4" t="s">
        <v>90</v>
      </c>
      <c r="F28" s="4">
        <f>F27*B29</f>
        <v>30.754201927680018</v>
      </c>
      <c r="G28" s="4" t="s">
        <v>29</v>
      </c>
      <c r="H28" s="4"/>
      <c r="I28" s="4" t="s">
        <v>91</v>
      </c>
      <c r="J28" s="4">
        <f>J27*B29</f>
        <v>21.600468287999998</v>
      </c>
      <c r="K28" s="4" t="s">
        <v>29</v>
      </c>
      <c r="L28" s="4"/>
      <c r="M28" s="4"/>
    </row>
    <row r="29" spans="1:31" ht="21">
      <c r="A29" s="4" t="s">
        <v>67</v>
      </c>
      <c r="B29" s="4">
        <f>VLOOKUP(B18,table,2,FALSE)</f>
        <v>28.5</v>
      </c>
      <c r="C29" s="4" t="s">
        <v>92</v>
      </c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31" ht="21">
      <c r="A30" s="4" t="s">
        <v>93</v>
      </c>
      <c r="B30" s="4">
        <f>VLOOKUP(B18,table,11,FALSE)</f>
        <v>1940</v>
      </c>
      <c r="C30" s="4" t="s">
        <v>94</v>
      </c>
      <c r="D30" s="4"/>
      <c r="E30" s="19" t="s">
        <v>30</v>
      </c>
      <c r="F30" s="19"/>
      <c r="G30" s="4"/>
      <c r="H30" s="4"/>
      <c r="I30" s="4"/>
      <c r="J30" s="4"/>
      <c r="K30" s="4"/>
      <c r="L30" s="4"/>
      <c r="M30" s="4"/>
    </row>
    <row r="31" spans="1:31" ht="21">
      <c r="A31" s="4" t="s">
        <v>95</v>
      </c>
      <c r="B31" s="4">
        <f>VLOOKUP(B18,table,12,FALSE)</f>
        <v>194</v>
      </c>
      <c r="C31" s="4" t="s">
        <v>96</v>
      </c>
      <c r="D31" s="4"/>
      <c r="E31" s="19" t="s">
        <v>31</v>
      </c>
      <c r="F31" s="19"/>
      <c r="G31" s="4"/>
      <c r="H31" s="4"/>
      <c r="I31" s="4"/>
      <c r="J31" s="4"/>
      <c r="K31" s="4"/>
      <c r="L31" s="4"/>
      <c r="M31" s="4"/>
    </row>
    <row r="32" spans="1:31" ht="21">
      <c r="A32" s="4" t="s">
        <v>97</v>
      </c>
      <c r="B32" s="4">
        <f>1.13*B31</f>
        <v>219.21999999999997</v>
      </c>
      <c r="C32" s="4" t="s">
        <v>96</v>
      </c>
      <c r="D32" s="4"/>
      <c r="E32" s="22" t="str">
        <f>IF(F8/(0.8*F28)&lt;=0.2,"Pu / ᶲPnx &lt;= 0.2","")</f>
        <v>Pu / ᶲPnx &lt;= 0.2</v>
      </c>
      <c r="F32" s="4" t="str">
        <f>IF(F8/(0.8*F28)&lt;=0.2,"&gt;&gt;&gt;&gt;","")</f>
        <v>&gt;&gt;&gt;&gt;</v>
      </c>
      <c r="G32" s="4">
        <f>IF(F8/(0.8*F28)&lt;=0.2,F8/(2*0.8*F28)+F7/(0.85*(IF(B14&lt;=B37,G19,IF(AND(B14&gt;B37,B14&lt;=B40),G20,G21)))),"")</f>
        <v>0.80342819818745526</v>
      </c>
      <c r="H32" s="2" t="str">
        <f>IF((F8/(0.8*F28))&lt;=0.2,IF(G32&lt;=1,"Safe","Unsafe"),"")</f>
        <v>Safe</v>
      </c>
      <c r="J32" s="4"/>
      <c r="K32" s="4"/>
      <c r="L32" s="4"/>
      <c r="M32" s="4"/>
    </row>
    <row r="33" spans="1:13" ht="20.25">
      <c r="A33" s="4" t="s">
        <v>98</v>
      </c>
      <c r="B33" s="4">
        <f>VLOOKUP(B18,table,13,FALSE)</f>
        <v>8.26</v>
      </c>
      <c r="C33" s="4" t="s">
        <v>8</v>
      </c>
      <c r="D33" s="4"/>
      <c r="E33" s="22" t="str">
        <f>IF(F8/(0.8*F28)&gt;0.2,"Pu / ᶲPnx &gt; 0.2","")</f>
        <v/>
      </c>
      <c r="F33" s="4" t="str">
        <f>IF(F8/(0.8*F28)&gt;0.2,"&gt;&gt;&gt;&gt;","")</f>
        <v/>
      </c>
      <c r="G33" s="4" t="str">
        <f>IF(F8/(0.8*F28)&gt;0.2,F8/(0.8*F28)+(8/9)*(F7/(0.85*K20)),"")</f>
        <v/>
      </c>
      <c r="H33" s="2" t="str">
        <f>IF((F8/(0.8*F28))&gt;0.2,IF(G33&lt;=1,"Safe","Unsafe"),"")</f>
        <v/>
      </c>
      <c r="J33" s="4"/>
      <c r="K33" s="4"/>
      <c r="L33" s="4"/>
      <c r="M33" s="4"/>
    </row>
    <row r="34" spans="1:13" ht="21">
      <c r="A34" s="4" t="s">
        <v>99</v>
      </c>
      <c r="B34" s="4">
        <f>VLOOKUP(B18,table,14,FALSE)</f>
        <v>142</v>
      </c>
      <c r="C34" s="4" t="s">
        <v>94</v>
      </c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ht="21">
      <c r="A35" s="4" t="s">
        <v>100</v>
      </c>
      <c r="B35" s="4">
        <f>VLOOKUP(B18,table,15,FALSE)</f>
        <v>28.5</v>
      </c>
      <c r="C35" s="4" t="s">
        <v>96</v>
      </c>
      <c r="D35" s="4"/>
      <c r="E35" s="20" t="s">
        <v>69</v>
      </c>
      <c r="F35" s="20"/>
      <c r="G35" s="20"/>
      <c r="H35" s="4"/>
      <c r="I35" s="4"/>
      <c r="J35" s="4"/>
      <c r="K35" s="4"/>
      <c r="L35" s="4"/>
      <c r="M35" s="4"/>
    </row>
    <row r="36" spans="1:13" ht="20.25">
      <c r="A36" s="4" t="s">
        <v>101</v>
      </c>
      <c r="B36" s="4">
        <f>VLOOKUP(B18,table,16,FALSE)</f>
        <v>2.2400000000000002</v>
      </c>
      <c r="C36" s="4" t="s">
        <v>8</v>
      </c>
      <c r="D36" s="6"/>
      <c r="E36" s="22">
        <f>(F8/(0.8*J28))+(F7/(0.85*IF(B14&lt;=B37,G19,IF(AND(B14&gt;B37,B14&lt;=B40),G20,G21))))^2</f>
        <v>0.6632272372727076</v>
      </c>
      <c r="F36" s="2" t="str">
        <f>IF(E36&lt;=1,"Safe","Unsafe")</f>
        <v>Safe</v>
      </c>
      <c r="H36" s="4"/>
      <c r="I36" s="4"/>
      <c r="J36" s="4"/>
      <c r="K36" s="4"/>
      <c r="L36" s="4"/>
      <c r="M36" s="4"/>
    </row>
    <row r="37" spans="1:13" ht="20.25">
      <c r="A37" s="4" t="s">
        <v>102</v>
      </c>
      <c r="B37" s="4">
        <f>(80*B36)/SQRT(B5)</f>
        <v>115.67310260672819</v>
      </c>
      <c r="C37" s="4" t="s">
        <v>8</v>
      </c>
      <c r="D37" s="6"/>
      <c r="E37" s="4"/>
      <c r="F37" s="4"/>
      <c r="G37" s="6"/>
      <c r="H37" s="4"/>
      <c r="I37" s="4"/>
      <c r="J37" s="4"/>
      <c r="K37" s="4"/>
      <c r="L37" s="4"/>
      <c r="M37" s="4"/>
    </row>
    <row r="38" spans="1:13" ht="20.25">
      <c r="A38" s="4" t="s">
        <v>103</v>
      </c>
      <c r="B38" s="4">
        <f>SQRT(((B24/10)*((B21/10)^3/12))/(0.1*B21*0.1*B24+(1/6)*((B20/10)-2*(B24/10))*(B22/10)))</f>
        <v>2.6341985669011665</v>
      </c>
      <c r="C38" s="4" t="s">
        <v>8</v>
      </c>
      <c r="D38" s="6"/>
      <c r="E38" s="4"/>
      <c r="F38" s="4"/>
      <c r="G38" s="6"/>
      <c r="H38" s="4"/>
      <c r="I38" s="4"/>
      <c r="J38" s="4"/>
      <c r="K38" s="4"/>
      <c r="L38" s="4"/>
      <c r="M38" s="4"/>
    </row>
    <row r="39" spans="1:13">
      <c r="A39" s="4" t="s">
        <v>68</v>
      </c>
      <c r="B39" s="4">
        <f>((0.104*B38*(B20/10))/(0.1*B21*0.1*B24))^2</f>
        <v>0.41551416804966512</v>
      </c>
      <c r="C39" s="4" t="s">
        <v>10</v>
      </c>
      <c r="D39" s="6"/>
      <c r="E39" s="4"/>
      <c r="F39" s="4"/>
      <c r="G39" s="6"/>
      <c r="H39" s="4"/>
      <c r="I39" s="4"/>
      <c r="J39" s="4"/>
      <c r="K39" s="4"/>
      <c r="L39" s="4"/>
      <c r="M39" s="4"/>
    </row>
    <row r="40" spans="1:13" ht="20.25">
      <c r="A40" s="4" t="s">
        <v>104</v>
      </c>
      <c r="B40" s="4">
        <f>((1380*0.1*B21*0.1*B24)/(0.1*B20*0.75*B5))*SQRT(0.5*(1+SQRT(1+(2*B39*0.75*B5)^2)))</f>
        <v>385.48472178499179</v>
      </c>
      <c r="C40" s="4" t="s">
        <v>8</v>
      </c>
      <c r="D40" s="6"/>
      <c r="E40" s="4"/>
      <c r="F40" s="4"/>
      <c r="G40" s="6"/>
      <c r="H40" s="4"/>
      <c r="I40" s="4"/>
      <c r="J40" s="4"/>
      <c r="K40" s="4"/>
      <c r="L40" s="4"/>
      <c r="M40" s="4"/>
    </row>
    <row r="41" spans="1:13">
      <c r="A41" s="24" t="s">
        <v>105</v>
      </c>
      <c r="B41" s="8">
        <v>0</v>
      </c>
      <c r="C41" s="4" t="s">
        <v>10</v>
      </c>
      <c r="D41" s="6"/>
      <c r="E41" s="4"/>
      <c r="F41" s="4"/>
      <c r="G41" s="6"/>
      <c r="H41" s="4"/>
      <c r="I41" s="4"/>
      <c r="J41" s="4"/>
      <c r="K41" s="4"/>
      <c r="L41" s="4"/>
      <c r="M41" s="4"/>
    </row>
    <row r="42" spans="1:13" ht="20.25">
      <c r="A42" s="4" t="s">
        <v>106</v>
      </c>
      <c r="B42" s="4">
        <f>1.75+1.05*B41+0.3*(B41)^2</f>
        <v>1.75</v>
      </c>
      <c r="C42" s="4" t="s">
        <v>10</v>
      </c>
      <c r="D42" s="6"/>
    </row>
    <row r="43" spans="1:13">
      <c r="D43" s="18"/>
    </row>
    <row r="44" spans="1:13">
      <c r="D44" s="18"/>
    </row>
    <row r="45" spans="1:13">
      <c r="D45" s="18"/>
    </row>
    <row r="46" spans="1:13">
      <c r="D46" s="18"/>
    </row>
    <row r="47" spans="1:13">
      <c r="D47" s="18"/>
    </row>
    <row r="48" spans="1:13">
      <c r="D48" s="18"/>
    </row>
    <row r="49" spans="4:4">
      <c r="D49" s="18"/>
    </row>
    <row r="50" spans="4:4">
      <c r="D50" s="18"/>
    </row>
  </sheetData>
  <mergeCells count="21">
    <mergeCell ref="B4:C4"/>
    <mergeCell ref="B18:C18"/>
    <mergeCell ref="E30:F30"/>
    <mergeCell ref="E31:F31"/>
    <mergeCell ref="A17:C17"/>
    <mergeCell ref="A28:C28"/>
    <mergeCell ref="A8:C8"/>
    <mergeCell ref="I24:J24"/>
    <mergeCell ref="E23:F23"/>
    <mergeCell ref="E24:F24"/>
    <mergeCell ref="G24:H24"/>
    <mergeCell ref="G14:H14"/>
    <mergeCell ref="I14:I15"/>
    <mergeCell ref="J14:J15"/>
    <mergeCell ref="Z2:AB2"/>
    <mergeCell ref="AC2:AE2"/>
    <mergeCell ref="G15:H15"/>
    <mergeCell ref="E12:F12"/>
    <mergeCell ref="U1:V1"/>
    <mergeCell ref="S2:Y2"/>
    <mergeCell ref="K14:K15"/>
  </mergeCells>
  <conditionalFormatting sqref="K25 G25 F36 H32:H33">
    <cfRule type="cellIs" dxfId="1" priority="2" operator="equal">
      <formula>"Safe"</formula>
    </cfRule>
  </conditionalFormatting>
  <conditionalFormatting sqref="K25 G25 F36 H32:H33">
    <cfRule type="cellIs" dxfId="0" priority="1" operator="equal">
      <formula>"Unsafe"</formula>
    </cfRule>
  </conditionalFormatting>
  <dataValidations count="2">
    <dataValidation type="list" allowBlank="1" showInputMessage="1" showErrorMessage="1" sqref="B18" xr:uid="{CAB046E5-D142-4035-B5FC-6ED66475F014}">
      <formula1>$P$4:$P$21</formula1>
    </dataValidation>
    <dataValidation type="list" allowBlank="1" showInputMessage="1" showErrorMessage="1" sqref="B4" xr:uid="{E8B877EB-67B4-4340-80A1-F89ACE16A60B}">
      <formula1>$A$1:$A$3</formula1>
    </dataValidation>
  </dataValidations>
  <pageMargins left="0.7" right="0.7" top="0.75" bottom="0.75" header="0.3" footer="0.3"/>
  <pageSetup paperSize="9"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IPE</vt:lpstr>
      <vt:lpstr>IPE!Print_Area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Windows User</cp:lastModifiedBy>
  <cp:lastPrinted>2022-05-28T09:36:51Z</cp:lastPrinted>
  <dcterms:created xsi:type="dcterms:W3CDTF">2019-12-20T17:49:33Z</dcterms:created>
  <dcterms:modified xsi:type="dcterms:W3CDTF">2022-05-28T15:06:15Z</dcterms:modified>
</cp:coreProperties>
</file>