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INEERING\all about steel structure\Excel Sheets\my sheets\"/>
    </mc:Choice>
  </mc:AlternateContent>
  <xr:revisionPtr revIDLastSave="0" documentId="13_ncr:20001_{46961CB6-98D2-428D-BD20-0DEC95ABCADB}" xr6:coauthVersionLast="45" xr6:coauthVersionMax="45" xr10:uidLastSave="{00000000-0000-0000-0000-000000000000}"/>
  <bookViews>
    <workbookView xWindow="-120" yWindow="-120" windowWidth="19800" windowHeight="11760" activeTab="1" xr2:uid="{C5007759-8EDF-4D86-A6F3-87F471FD536A}"/>
  </bookViews>
  <sheets>
    <sheet name="Stiffened C " sheetId="1" r:id="rId1"/>
    <sheet name="B.U.S" sheetId="2" r:id="rId2"/>
  </sheets>
  <definedNames>
    <definedName name="table3">'Stiffened C '!$S$2:$AG$24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2" l="1"/>
  <c r="G14" i="2" s="1"/>
  <c r="O11" i="2"/>
  <c r="G12" i="2" s="1"/>
  <c r="O10" i="2"/>
  <c r="G9" i="2"/>
  <c r="G8" i="2"/>
  <c r="G7" i="2"/>
  <c r="B9" i="2"/>
  <c r="B8" i="2"/>
  <c r="M29" i="2" s="1"/>
  <c r="K7" i="2" l="1"/>
  <c r="G13" i="2" s="1"/>
  <c r="B23" i="2"/>
  <c r="B24" i="2" s="1"/>
  <c r="B22" i="2"/>
  <c r="M33" i="2" s="1"/>
  <c r="B21" i="2"/>
  <c r="B20" i="2"/>
  <c r="G21" i="2" s="1"/>
  <c r="G23" i="2" l="1"/>
  <c r="G30" i="2"/>
  <c r="G31" i="2" s="1"/>
  <c r="G32" i="2" s="1"/>
  <c r="G33" i="2" s="1"/>
  <c r="M31" i="2"/>
  <c r="G22" i="2"/>
  <c r="M30" i="2"/>
  <c r="B25" i="2"/>
  <c r="B29" i="2" s="1"/>
  <c r="B30" i="2" s="1"/>
  <c r="B26" i="2"/>
  <c r="M32" i="2" l="1"/>
  <c r="M34" i="2" s="1"/>
  <c r="M35" i="2" s="1"/>
  <c r="M36" i="2" s="1"/>
  <c r="M37" i="2" s="1"/>
  <c r="M38" i="2" s="1"/>
  <c r="J41" i="2" s="1"/>
  <c r="B32" i="2"/>
  <c r="B31" i="2"/>
  <c r="B28" i="2"/>
  <c r="B27" i="2"/>
  <c r="N46" i="2" l="1"/>
  <c r="P46" i="2" s="1"/>
  <c r="J42" i="2"/>
  <c r="F46" i="2" s="1"/>
  <c r="I36" i="2"/>
  <c r="H21" i="2"/>
  <c r="K8" i="2"/>
  <c r="J46" i="2" s="1"/>
  <c r="K46" i="2" s="1"/>
  <c r="G46" i="2" l="1"/>
  <c r="G37" i="2"/>
  <c r="H22" i="2"/>
  <c r="H23" i="2"/>
  <c r="J22" i="1"/>
  <c r="G12" i="1"/>
  <c r="O11" i="1"/>
  <c r="O10" i="1"/>
  <c r="K8" i="1"/>
  <c r="K7" i="1"/>
  <c r="I36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G7" i="1" s="1"/>
  <c r="G8" i="1" s="1"/>
  <c r="G13" i="1" s="1"/>
  <c r="B9" i="1"/>
  <c r="B8" i="1"/>
  <c r="M29" i="1" s="1"/>
  <c r="J22" i="2" l="1"/>
  <c r="O36" i="2"/>
  <c r="I31" i="2"/>
  <c r="G9" i="1"/>
  <c r="G14" i="1" s="1"/>
  <c r="J46" i="1"/>
  <c r="K46" i="1" s="1"/>
  <c r="G37" i="1"/>
  <c r="M33" i="1"/>
  <c r="G23" i="1"/>
  <c r="H23" i="1" s="1"/>
  <c r="G21" i="1"/>
  <c r="H21" i="1" s="1"/>
  <c r="G22" i="1"/>
  <c r="H22" i="1" s="1"/>
  <c r="G30" i="1"/>
  <c r="G31" i="1" s="1"/>
  <c r="M31" i="1"/>
  <c r="M30" i="1"/>
  <c r="G32" i="1" l="1"/>
  <c r="G33" i="1" s="1"/>
  <c r="I31" i="1"/>
  <c r="M32" i="1"/>
  <c r="M34" i="1" s="1"/>
  <c r="M35" i="1" s="1"/>
  <c r="M36" i="1" s="1"/>
  <c r="O36" i="1" l="1"/>
  <c r="M37" i="1"/>
  <c r="M38" i="1" s="1"/>
  <c r="J47" i="1"/>
  <c r="K47" i="1" s="1"/>
  <c r="J42" i="1" l="1"/>
  <c r="J41" i="1"/>
  <c r="P46" i="1" s="1"/>
  <c r="F46" i="1" l="1"/>
  <c r="G46" i="1" s="1"/>
</calcChain>
</file>

<file path=xl/sharedStrings.xml><?xml version="1.0" encoding="utf-8"?>
<sst xmlns="http://schemas.openxmlformats.org/spreadsheetml/2006/main" count="325" uniqueCount="131">
  <si>
    <t>Value</t>
  </si>
  <si>
    <t>Unit</t>
  </si>
  <si>
    <r>
      <t>t/cm</t>
    </r>
    <r>
      <rPr>
        <vertAlign val="superscript"/>
        <sz val="14"/>
        <color theme="1"/>
        <rFont val="Agency FB"/>
        <family val="2"/>
      </rPr>
      <t>2</t>
    </r>
  </si>
  <si>
    <r>
      <t>F</t>
    </r>
    <r>
      <rPr>
        <vertAlign val="subscript"/>
        <sz val="14"/>
        <color theme="1"/>
        <rFont val="Agency FB"/>
        <family val="2"/>
      </rPr>
      <t>y</t>
    </r>
  </si>
  <si>
    <r>
      <t>F</t>
    </r>
    <r>
      <rPr>
        <vertAlign val="subscript"/>
        <sz val="14"/>
        <color theme="1"/>
        <rFont val="Agency FB"/>
        <family val="2"/>
      </rPr>
      <t>u</t>
    </r>
  </si>
  <si>
    <t>steel type</t>
  </si>
  <si>
    <t>Tie rod</t>
  </si>
  <si>
    <r>
      <t>span = L</t>
    </r>
    <r>
      <rPr>
        <vertAlign val="subscript"/>
        <sz val="14"/>
        <color theme="1"/>
        <rFont val="Agency FB"/>
        <family val="2"/>
      </rPr>
      <t>b</t>
    </r>
  </si>
  <si>
    <t>a</t>
  </si>
  <si>
    <t>Weight of sheet</t>
  </si>
  <si>
    <t>section</t>
  </si>
  <si>
    <t>Weight</t>
  </si>
  <si>
    <t>Area</t>
  </si>
  <si>
    <t>H</t>
  </si>
  <si>
    <t>B</t>
  </si>
  <si>
    <t>D</t>
  </si>
  <si>
    <t>t</t>
  </si>
  <si>
    <t>r</t>
  </si>
  <si>
    <r>
      <t>I</t>
    </r>
    <r>
      <rPr>
        <vertAlign val="subscript"/>
        <sz val="14"/>
        <color theme="1"/>
        <rFont val="Agency FB"/>
        <family val="2"/>
      </rPr>
      <t>x</t>
    </r>
  </si>
  <si>
    <r>
      <t>S</t>
    </r>
    <r>
      <rPr>
        <vertAlign val="subscript"/>
        <sz val="14"/>
        <color theme="1"/>
        <rFont val="Agency FB"/>
        <family val="2"/>
      </rPr>
      <t>x</t>
    </r>
  </si>
  <si>
    <r>
      <t>r</t>
    </r>
    <r>
      <rPr>
        <vertAlign val="subscript"/>
        <sz val="14"/>
        <color theme="1"/>
        <rFont val="Agency FB"/>
        <family val="2"/>
      </rPr>
      <t>x</t>
    </r>
  </si>
  <si>
    <r>
      <t>I</t>
    </r>
    <r>
      <rPr>
        <vertAlign val="subscript"/>
        <sz val="14"/>
        <color theme="1"/>
        <rFont val="Agency FB"/>
        <family val="2"/>
      </rPr>
      <t>y</t>
    </r>
  </si>
  <si>
    <r>
      <t>S</t>
    </r>
    <r>
      <rPr>
        <vertAlign val="subscript"/>
        <sz val="14"/>
        <color theme="1"/>
        <rFont val="Agency FB"/>
        <family val="2"/>
      </rPr>
      <t>y</t>
    </r>
  </si>
  <si>
    <r>
      <t>r</t>
    </r>
    <r>
      <rPr>
        <vertAlign val="subscript"/>
        <sz val="14"/>
        <color theme="1"/>
        <rFont val="Agency FB"/>
        <family val="2"/>
      </rPr>
      <t>y</t>
    </r>
  </si>
  <si>
    <t>e</t>
  </si>
  <si>
    <t>cm</t>
  </si>
  <si>
    <r>
      <t>kg/m</t>
    </r>
    <r>
      <rPr>
        <vertAlign val="superscript"/>
        <sz val="14"/>
        <color theme="1"/>
        <rFont val="Agency FB"/>
        <family val="2"/>
      </rPr>
      <t>2</t>
    </r>
  </si>
  <si>
    <t>kg/m'</t>
  </si>
  <si>
    <r>
      <t>cm</t>
    </r>
    <r>
      <rPr>
        <vertAlign val="superscript"/>
        <sz val="14"/>
        <color theme="1"/>
        <rFont val="Agency FB"/>
        <family val="2"/>
      </rPr>
      <t>2</t>
    </r>
  </si>
  <si>
    <t>mm</t>
  </si>
  <si>
    <r>
      <t>cm</t>
    </r>
    <r>
      <rPr>
        <vertAlign val="superscript"/>
        <sz val="14"/>
        <color theme="1"/>
        <rFont val="Agency FB"/>
        <family val="2"/>
      </rPr>
      <t>4</t>
    </r>
  </si>
  <si>
    <r>
      <t>cm</t>
    </r>
    <r>
      <rPr>
        <vertAlign val="superscript"/>
        <sz val="14"/>
        <color theme="1"/>
        <rFont val="Agency FB"/>
        <family val="2"/>
      </rPr>
      <t>3</t>
    </r>
  </si>
  <si>
    <t>Ok</t>
  </si>
  <si>
    <t>stiffened C</t>
  </si>
  <si>
    <t>Dimensions (mm)</t>
  </si>
  <si>
    <t>x-x</t>
  </si>
  <si>
    <t>y-y</t>
  </si>
  <si>
    <t>h</t>
  </si>
  <si>
    <t>b</t>
  </si>
  <si>
    <t>d</t>
  </si>
  <si>
    <r>
      <t>(cm</t>
    </r>
    <r>
      <rPr>
        <b/>
        <vertAlign val="superscript"/>
        <sz val="14"/>
        <rFont val="Agency FB"/>
        <family val="2"/>
      </rPr>
      <t>2</t>
    </r>
    <r>
      <rPr>
        <b/>
        <sz val="14"/>
        <rFont val="Agency FB"/>
        <family val="2"/>
      </rPr>
      <t>)</t>
    </r>
  </si>
  <si>
    <t>(kg/m`)</t>
  </si>
  <si>
    <r>
      <t>I</t>
    </r>
    <r>
      <rPr>
        <b/>
        <vertAlign val="subscript"/>
        <sz val="14"/>
        <rFont val="Agency FB"/>
        <family val="2"/>
      </rPr>
      <t>x</t>
    </r>
    <r>
      <rPr>
        <b/>
        <sz val="14"/>
        <rFont val="Agency FB"/>
        <family val="2"/>
      </rPr>
      <t xml:space="preserve"> (cm</t>
    </r>
    <r>
      <rPr>
        <b/>
        <vertAlign val="superscript"/>
        <sz val="14"/>
        <rFont val="Agency FB"/>
        <family val="2"/>
      </rPr>
      <t>4</t>
    </r>
    <r>
      <rPr>
        <b/>
        <sz val="14"/>
        <rFont val="Agency FB"/>
        <family val="2"/>
      </rPr>
      <t>)</t>
    </r>
  </si>
  <si>
    <r>
      <t>S</t>
    </r>
    <r>
      <rPr>
        <b/>
        <vertAlign val="subscript"/>
        <sz val="14"/>
        <rFont val="Agency FB"/>
        <family val="2"/>
      </rPr>
      <t>x</t>
    </r>
    <r>
      <rPr>
        <b/>
        <sz val="14"/>
        <rFont val="Agency FB"/>
        <family val="2"/>
      </rPr>
      <t xml:space="preserve"> (cm</t>
    </r>
    <r>
      <rPr>
        <b/>
        <vertAlign val="superscript"/>
        <sz val="14"/>
        <rFont val="Agency FB"/>
        <family val="2"/>
      </rPr>
      <t>3</t>
    </r>
    <r>
      <rPr>
        <b/>
        <sz val="14"/>
        <rFont val="Agency FB"/>
        <family val="2"/>
      </rPr>
      <t>)</t>
    </r>
  </si>
  <si>
    <r>
      <t>r</t>
    </r>
    <r>
      <rPr>
        <b/>
        <vertAlign val="subscript"/>
        <sz val="14"/>
        <rFont val="Agency FB"/>
        <family val="2"/>
      </rPr>
      <t>x</t>
    </r>
    <r>
      <rPr>
        <b/>
        <sz val="14"/>
        <rFont val="Agency FB"/>
        <family val="2"/>
      </rPr>
      <t xml:space="preserve"> (cm)</t>
    </r>
  </si>
  <si>
    <r>
      <t>I</t>
    </r>
    <r>
      <rPr>
        <b/>
        <vertAlign val="subscript"/>
        <sz val="14"/>
        <rFont val="Agency FB"/>
        <family val="2"/>
      </rPr>
      <t>y</t>
    </r>
    <r>
      <rPr>
        <b/>
        <sz val="14"/>
        <rFont val="Agency FB"/>
        <family val="2"/>
      </rPr>
      <t xml:space="preserve"> (cm</t>
    </r>
    <r>
      <rPr>
        <b/>
        <vertAlign val="superscript"/>
        <sz val="14"/>
        <rFont val="Agency FB"/>
        <family val="2"/>
      </rPr>
      <t>4</t>
    </r>
    <r>
      <rPr>
        <b/>
        <sz val="14"/>
        <rFont val="Agency FB"/>
        <family val="2"/>
      </rPr>
      <t>)</t>
    </r>
  </si>
  <si>
    <r>
      <t>S</t>
    </r>
    <r>
      <rPr>
        <b/>
        <vertAlign val="subscript"/>
        <sz val="14"/>
        <rFont val="Agency FB"/>
        <family val="2"/>
      </rPr>
      <t>y</t>
    </r>
    <r>
      <rPr>
        <b/>
        <sz val="14"/>
        <rFont val="Agency FB"/>
        <family val="2"/>
      </rPr>
      <t xml:space="preserve"> (cm</t>
    </r>
    <r>
      <rPr>
        <b/>
        <vertAlign val="superscript"/>
        <sz val="14"/>
        <rFont val="Agency FB"/>
        <family val="2"/>
      </rPr>
      <t>3</t>
    </r>
    <r>
      <rPr>
        <b/>
        <sz val="14"/>
        <rFont val="Agency FB"/>
        <family val="2"/>
      </rPr>
      <t>)</t>
    </r>
  </si>
  <si>
    <r>
      <t>r</t>
    </r>
    <r>
      <rPr>
        <b/>
        <vertAlign val="subscript"/>
        <sz val="14"/>
        <rFont val="Agency FB"/>
        <family val="2"/>
      </rPr>
      <t>y</t>
    </r>
    <r>
      <rPr>
        <b/>
        <sz val="14"/>
        <rFont val="Agency FB"/>
        <family val="2"/>
      </rPr>
      <t xml:space="preserve"> (cm)</t>
    </r>
  </si>
  <si>
    <t>(cm)</t>
  </si>
  <si>
    <t>100x40x15x3</t>
  </si>
  <si>
    <t>140x70x30x3</t>
  </si>
  <si>
    <t>i- Dead Load</t>
  </si>
  <si>
    <t>ii- Live Load</t>
  </si>
  <si>
    <t>160x70x30x3</t>
  </si>
  <si>
    <r>
      <t>W</t>
    </r>
    <r>
      <rPr>
        <vertAlign val="subscript"/>
        <sz val="14"/>
        <color theme="1"/>
        <rFont val="Agency FB"/>
        <family val="2"/>
      </rPr>
      <t>D.L</t>
    </r>
    <r>
      <rPr>
        <sz val="14"/>
        <color theme="1"/>
        <rFont val="Agency FB"/>
        <family val="2"/>
      </rPr>
      <t xml:space="preserve"> =</t>
    </r>
  </si>
  <si>
    <t>t/cm'</t>
  </si>
  <si>
    <t>160x80x34x3</t>
  </si>
  <si>
    <t>cm.t</t>
  </si>
  <si>
    <t>160x80x34x3.65</t>
  </si>
  <si>
    <t>160x80x30x4</t>
  </si>
  <si>
    <t>ton</t>
  </si>
  <si>
    <t>160x80x35x4</t>
  </si>
  <si>
    <t>180x80x25x3.6</t>
  </si>
  <si>
    <t>180x80x25x4</t>
  </si>
  <si>
    <t>100x50x20x2</t>
  </si>
  <si>
    <t>200x60x20x2</t>
  </si>
  <si>
    <t>250x70x20x2</t>
  </si>
  <si>
    <t>185x60x25x1.5</t>
  </si>
  <si>
    <t>Straining actions</t>
  </si>
  <si>
    <t>185x60x26.4x2</t>
  </si>
  <si>
    <r>
      <t>M</t>
    </r>
    <r>
      <rPr>
        <vertAlign val="subscript"/>
        <sz val="14"/>
        <color theme="1"/>
        <rFont val="Agency FB"/>
        <family val="2"/>
      </rPr>
      <t>x</t>
    </r>
  </si>
  <si>
    <t>185x60x27.7x2.5</t>
  </si>
  <si>
    <r>
      <t>M</t>
    </r>
    <r>
      <rPr>
        <vertAlign val="subscript"/>
        <sz val="14"/>
        <color theme="1"/>
        <rFont val="Agency FB"/>
        <family val="2"/>
      </rPr>
      <t>y</t>
    </r>
  </si>
  <si>
    <t>185x60x29.1x3</t>
  </si>
  <si>
    <r>
      <t>Q</t>
    </r>
    <r>
      <rPr>
        <vertAlign val="subscript"/>
        <sz val="14"/>
        <color theme="1"/>
        <rFont val="Agency FB"/>
        <family val="2"/>
      </rPr>
      <t>x</t>
    </r>
  </si>
  <si>
    <t>215x60x25x1.5</t>
  </si>
  <si>
    <t>215x60x26.4x2</t>
  </si>
  <si>
    <t>215x60x27.7x2.5</t>
  </si>
  <si>
    <t>Checks :</t>
  </si>
  <si>
    <t>215x60x29.1x3</t>
  </si>
  <si>
    <t>i- compactness</t>
  </si>
  <si>
    <t>h / t =</t>
  </si>
  <si>
    <t>&gt;&gt;&gt;&gt;</t>
  </si>
  <si>
    <t>b / t =</t>
  </si>
  <si>
    <t>d / t =</t>
  </si>
  <si>
    <t>ii- Effective Section</t>
  </si>
  <si>
    <t>1- web</t>
  </si>
  <si>
    <t>2- Flange</t>
  </si>
  <si>
    <t>Ψ =</t>
  </si>
  <si>
    <t>unitless</t>
  </si>
  <si>
    <t>Kσ =</t>
  </si>
  <si>
    <t>S =</t>
  </si>
  <si>
    <r>
      <rPr>
        <b/>
        <sz val="14"/>
        <color theme="1"/>
        <rFont val="Agency FB"/>
        <family val="2"/>
      </rPr>
      <t>λ</t>
    </r>
    <r>
      <rPr>
        <b/>
        <vertAlign val="subscript"/>
        <sz val="14"/>
        <color theme="1"/>
        <rFont val="Agency FB"/>
        <family val="2"/>
      </rPr>
      <t>p</t>
    </r>
    <r>
      <rPr>
        <sz val="14"/>
        <color theme="1"/>
        <rFont val="Agency FB"/>
        <family val="2"/>
      </rPr>
      <t xml:space="preserve"> =</t>
    </r>
  </si>
  <si>
    <t>b/t</t>
  </si>
  <si>
    <t>ρ =</t>
  </si>
  <si>
    <t>D/b</t>
  </si>
  <si>
    <r>
      <t>h</t>
    </r>
    <r>
      <rPr>
        <vertAlign val="subscript"/>
        <sz val="14"/>
        <color theme="1"/>
        <rFont val="Agency FB"/>
        <family val="2"/>
      </rPr>
      <t>eff</t>
    </r>
    <r>
      <rPr>
        <sz val="14"/>
        <color theme="1"/>
        <rFont val="Agency FB"/>
        <family val="2"/>
      </rPr>
      <t xml:space="preserve"> =</t>
    </r>
  </si>
  <si>
    <t>Ia</t>
  </si>
  <si>
    <r>
      <t>mm</t>
    </r>
    <r>
      <rPr>
        <vertAlign val="superscript"/>
        <sz val="14"/>
        <color theme="1"/>
        <rFont val="Agency FB"/>
        <family val="2"/>
      </rPr>
      <t>4</t>
    </r>
  </si>
  <si>
    <t>reduced</t>
  </si>
  <si>
    <t>Is</t>
  </si>
  <si>
    <t>3- Lip</t>
  </si>
  <si>
    <r>
      <t>d</t>
    </r>
    <r>
      <rPr>
        <vertAlign val="subscript"/>
        <sz val="14"/>
        <color theme="1"/>
        <rFont val="Agency FB"/>
        <family val="2"/>
      </rPr>
      <t>eff</t>
    </r>
    <r>
      <rPr>
        <sz val="14"/>
        <color theme="1"/>
        <rFont val="Agency FB"/>
        <family val="2"/>
      </rPr>
      <t xml:space="preserve"> =</t>
    </r>
  </si>
  <si>
    <r>
      <t>b</t>
    </r>
    <r>
      <rPr>
        <vertAlign val="subscript"/>
        <sz val="14"/>
        <color theme="1"/>
        <rFont val="Agency FB"/>
        <family val="2"/>
      </rPr>
      <t>eff</t>
    </r>
    <r>
      <rPr>
        <sz val="14"/>
        <color theme="1"/>
        <rFont val="Agency FB"/>
        <family val="2"/>
      </rPr>
      <t xml:space="preserve"> =</t>
    </r>
  </si>
  <si>
    <t xml:space="preserve"> Effective Section Prop.</t>
  </si>
  <si>
    <r>
      <t>I</t>
    </r>
    <r>
      <rPr>
        <vertAlign val="subscript"/>
        <sz val="14"/>
        <color theme="1"/>
        <rFont val="Agency FB"/>
        <family val="2"/>
      </rPr>
      <t>xeff</t>
    </r>
  </si>
  <si>
    <r>
      <t>I</t>
    </r>
    <r>
      <rPr>
        <vertAlign val="subscript"/>
        <sz val="14"/>
        <color theme="1"/>
        <rFont val="Agency FB"/>
        <family val="2"/>
      </rPr>
      <t>yeff</t>
    </r>
  </si>
  <si>
    <t>iii- Bending</t>
  </si>
  <si>
    <t>iv- Shear</t>
  </si>
  <si>
    <t>v- Deflection</t>
  </si>
  <si>
    <r>
      <t>f</t>
    </r>
    <r>
      <rPr>
        <vertAlign val="subscript"/>
        <sz val="14"/>
        <color theme="1"/>
        <rFont val="Agency FB"/>
        <family val="2"/>
      </rPr>
      <t>b</t>
    </r>
    <r>
      <rPr>
        <sz val="14"/>
        <color theme="1"/>
        <rFont val="Agency FB"/>
        <family val="2"/>
      </rPr>
      <t xml:space="preserve"> / ΦF</t>
    </r>
    <r>
      <rPr>
        <vertAlign val="subscript"/>
        <sz val="14"/>
        <color theme="1"/>
        <rFont val="Agency FB"/>
        <family val="2"/>
      </rPr>
      <t>y</t>
    </r>
  </si>
  <si>
    <t xml:space="preserve">h/t = </t>
  </si>
  <si>
    <t>δ =</t>
  </si>
  <si>
    <r>
      <t>Q</t>
    </r>
    <r>
      <rPr>
        <vertAlign val="subscript"/>
        <sz val="14"/>
        <color theme="1"/>
        <rFont val="Agency FB"/>
        <family val="2"/>
      </rPr>
      <t>x</t>
    </r>
    <r>
      <rPr>
        <sz val="14"/>
        <color theme="1"/>
        <rFont val="Agency FB"/>
        <family val="2"/>
      </rPr>
      <t xml:space="preserve"> / V</t>
    </r>
    <r>
      <rPr>
        <vertAlign val="subscript"/>
        <sz val="14"/>
        <color theme="1"/>
        <rFont val="Agency FB"/>
        <family val="2"/>
      </rPr>
      <t>r</t>
    </r>
  </si>
  <si>
    <t xml:space="preserve">Input Data </t>
  </si>
  <si>
    <t>iii- Wind Load</t>
  </si>
  <si>
    <r>
      <t>M</t>
    </r>
    <r>
      <rPr>
        <vertAlign val="subscript"/>
        <sz val="14"/>
        <color theme="1"/>
        <rFont val="Agency FB"/>
        <family val="2"/>
      </rPr>
      <t>D.L</t>
    </r>
    <r>
      <rPr>
        <sz val="14"/>
        <color theme="1"/>
        <rFont val="Agency FB"/>
        <family val="2"/>
      </rPr>
      <t xml:space="preserve"> =</t>
    </r>
  </si>
  <si>
    <r>
      <t>Q</t>
    </r>
    <r>
      <rPr>
        <vertAlign val="subscript"/>
        <sz val="14"/>
        <color theme="1"/>
        <rFont val="Agency FB"/>
        <family val="2"/>
      </rPr>
      <t>D.L</t>
    </r>
    <r>
      <rPr>
        <sz val="14"/>
        <color theme="1"/>
        <rFont val="Agency FB"/>
        <family val="2"/>
      </rPr>
      <t xml:space="preserve"> =</t>
    </r>
  </si>
  <si>
    <r>
      <t>M</t>
    </r>
    <r>
      <rPr>
        <vertAlign val="subscript"/>
        <sz val="14"/>
        <color theme="1"/>
        <rFont val="Agency FB"/>
        <family val="2"/>
      </rPr>
      <t>L.L</t>
    </r>
    <r>
      <rPr>
        <sz val="14"/>
        <color theme="1"/>
        <rFont val="Agency FB"/>
        <family val="2"/>
      </rPr>
      <t xml:space="preserve"> =</t>
    </r>
  </si>
  <si>
    <r>
      <t>Q</t>
    </r>
    <r>
      <rPr>
        <vertAlign val="subscript"/>
        <sz val="14"/>
        <color theme="1"/>
        <rFont val="Agency FB"/>
        <family val="2"/>
      </rPr>
      <t>L.L</t>
    </r>
    <r>
      <rPr>
        <sz val="14"/>
        <color theme="1"/>
        <rFont val="Agency FB"/>
        <family val="2"/>
      </rPr>
      <t xml:space="preserve"> =</t>
    </r>
  </si>
  <si>
    <t>Ce</t>
  </si>
  <si>
    <t>K</t>
  </si>
  <si>
    <t>q</t>
  </si>
  <si>
    <r>
      <t>W</t>
    </r>
    <r>
      <rPr>
        <vertAlign val="subscript"/>
        <sz val="14"/>
        <color theme="1"/>
        <rFont val="Agency FB"/>
        <family val="2"/>
      </rPr>
      <t>W.L</t>
    </r>
  </si>
  <si>
    <r>
      <t>M</t>
    </r>
    <r>
      <rPr>
        <vertAlign val="subscript"/>
        <sz val="14"/>
        <color theme="1"/>
        <rFont val="Agency FB"/>
        <family val="2"/>
      </rPr>
      <t>W.L</t>
    </r>
  </si>
  <si>
    <r>
      <t>Kg/m</t>
    </r>
    <r>
      <rPr>
        <vertAlign val="superscript"/>
        <sz val="14"/>
        <color theme="1"/>
        <rFont val="Agency FB"/>
        <family val="2"/>
      </rPr>
      <t>2</t>
    </r>
  </si>
  <si>
    <t>Input Data</t>
  </si>
  <si>
    <t>Wc.s</t>
  </si>
  <si>
    <t>R'</t>
  </si>
  <si>
    <t>C</t>
  </si>
  <si>
    <r>
      <t>Q</t>
    </r>
    <r>
      <rPr>
        <vertAlign val="subscript"/>
        <sz val="14"/>
        <color theme="1"/>
        <rFont val="Agency FB"/>
        <family val="2"/>
      </rPr>
      <t>W.L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</si>
</sst>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sz val="14"/>
      <color theme="1"/>
      <name val="Agency FB"/>
      <family val="2"/>
    </font>
    <font>
      <vertAlign val="superscript"/>
      <sz val="14"/>
      <color theme="1"/>
      <name val="Agency FB"/>
      <family val="2"/>
    </font>
    <font>
      <sz val="14"/>
      <color rgb="FFFF0000"/>
      <name val="Agency FB"/>
      <family val="2"/>
    </font>
    <font>
      <vertAlign val="subscript"/>
      <sz val="14"/>
      <color theme="1"/>
      <name val="Agency FB"/>
      <family val="2"/>
    </font>
    <font>
      <b/>
      <sz val="14"/>
      <color theme="1"/>
      <name val="Agency FB"/>
      <family val="2"/>
    </font>
    <font>
      <sz val="16"/>
      <color theme="1"/>
      <name val="Agency FB"/>
      <family val="2"/>
    </font>
    <font>
      <b/>
      <sz val="14"/>
      <name val="Agency FB"/>
      <family val="2"/>
    </font>
    <font>
      <b/>
      <vertAlign val="superscript"/>
      <sz val="14"/>
      <name val="Agency FB"/>
      <family val="2"/>
    </font>
    <font>
      <b/>
      <vertAlign val="subscript"/>
      <sz val="14"/>
      <name val="Agency FB"/>
      <family val="2"/>
    </font>
    <font>
      <sz val="14"/>
      <color rgb="FF000000"/>
      <name val="Agency FB"/>
      <family val="2"/>
    </font>
    <font>
      <sz val="20"/>
      <color theme="1"/>
      <name val="Agency FB"/>
      <family val="2"/>
    </font>
    <font>
      <b/>
      <vertAlign val="subscript"/>
      <sz val="14"/>
      <color theme="1"/>
      <name val="Agency FB"/>
      <family val="2"/>
    </font>
    <font>
      <u/>
      <sz val="16"/>
      <color theme="1"/>
      <name val="Agency FB"/>
      <family val="2"/>
    </font>
    <font>
      <u/>
      <sz val="22"/>
      <color theme="1"/>
      <name val="Agency FB"/>
      <family val="2"/>
    </font>
    <font>
      <sz val="18"/>
      <color theme="1"/>
      <name val="Agency FB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center" vertical="top" shrinkToFit="1"/>
    </xf>
    <xf numFmtId="2" fontId="11" fillId="0" borderId="1" xfId="0" applyNumberFormat="1" applyFont="1" applyBorder="1" applyAlignment="1">
      <alignment horizontal="center" vertical="center" shrinkToFit="1"/>
    </xf>
    <xf numFmtId="2" fontId="11" fillId="0" borderId="1" xfId="0" applyNumberFormat="1" applyFont="1" applyBorder="1" applyAlignment="1">
      <alignment horizontal="center" vertical="top" shrinkToFit="1"/>
    </xf>
    <xf numFmtId="164" fontId="11" fillId="0" borderId="1" xfId="0" applyNumberFormat="1" applyFont="1" applyBorder="1" applyAlignment="1">
      <alignment horizontal="center" vertical="top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top" wrapText="1" indent="6"/>
    </xf>
    <xf numFmtId="0" fontId="8" fillId="0" borderId="6" xfId="0" applyFont="1" applyBorder="1" applyAlignment="1">
      <alignment horizontal="left" vertical="top" wrapText="1" indent="6"/>
    </xf>
    <xf numFmtId="0" fontId="8" fillId="0" borderId="7" xfId="0" applyFont="1" applyBorder="1" applyAlignment="1">
      <alignment horizontal="left" vertical="top" wrapText="1" indent="6"/>
    </xf>
    <xf numFmtId="0" fontId="1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390385</xdr:colOff>
      <xdr:row>21</xdr:row>
      <xdr:rowOff>90234</xdr:rowOff>
    </xdr:from>
    <xdr:to>
      <xdr:col>25</xdr:col>
      <xdr:colOff>478015</xdr:colOff>
      <xdr:row>21</xdr:row>
      <xdr:rowOff>177864</xdr:rowOff>
    </xdr:to>
    <xdr:sp macro="" textlink="">
      <xdr:nvSpPr>
        <xdr:cNvPr id="2" name="Shape 1883">
          <a:extLst>
            <a:ext uri="{FF2B5EF4-FFF2-40B4-BE49-F238E27FC236}">
              <a16:creationId xmlns:a16="http://schemas.microsoft.com/office/drawing/2014/main" id="{2C332B17-B6E2-4D17-ABA8-11A3F5B73141}"/>
            </a:ext>
          </a:extLst>
        </xdr:cNvPr>
        <xdr:cNvSpPr/>
      </xdr:nvSpPr>
      <xdr:spPr>
        <a:xfrm>
          <a:off x="18678385" y="5624259"/>
          <a:ext cx="87630" cy="87630"/>
        </a:xfrm>
        <a:custGeom>
          <a:avLst/>
          <a:gdLst/>
          <a:ahLst/>
          <a:cxnLst/>
          <a:rect l="0" t="0" r="0" b="0"/>
          <a:pathLst>
            <a:path w="87630" h="87630">
              <a:moveTo>
                <a:pt x="5107877" y="-5888012"/>
              </a:moveTo>
              <a:lnTo>
                <a:pt x="5156013" y="-5936044"/>
              </a:lnTo>
              <a:lnTo>
                <a:pt x="5156153" y="-5936044"/>
              </a:lnTo>
            </a:path>
            <a:path w="87630" h="87630">
              <a:moveTo>
                <a:pt x="5107877" y="-5936044"/>
              </a:moveTo>
              <a:lnTo>
                <a:pt x="5156013" y="-5888012"/>
              </a:lnTo>
              <a:lnTo>
                <a:pt x="5156153" y="-5888012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23</xdr:col>
      <xdr:colOff>179692</xdr:colOff>
      <xdr:row>15</xdr:row>
      <xdr:rowOff>78798</xdr:rowOff>
    </xdr:from>
    <xdr:to>
      <xdr:col>23</xdr:col>
      <xdr:colOff>267322</xdr:colOff>
      <xdr:row>15</xdr:row>
      <xdr:rowOff>210243</xdr:rowOff>
    </xdr:to>
    <xdr:sp macro="" textlink="">
      <xdr:nvSpPr>
        <xdr:cNvPr id="3" name="Shape 1884">
          <a:extLst>
            <a:ext uri="{FF2B5EF4-FFF2-40B4-BE49-F238E27FC236}">
              <a16:creationId xmlns:a16="http://schemas.microsoft.com/office/drawing/2014/main" id="{DCEFEC0E-4A52-4860-94B0-57704D7DDB36}"/>
            </a:ext>
          </a:extLst>
        </xdr:cNvPr>
        <xdr:cNvSpPr/>
      </xdr:nvSpPr>
      <xdr:spPr>
        <a:xfrm>
          <a:off x="17096092" y="4031673"/>
          <a:ext cx="87630" cy="131445"/>
        </a:xfrm>
        <a:custGeom>
          <a:avLst/>
          <a:gdLst/>
          <a:ahLst/>
          <a:cxnLst/>
          <a:rect l="0" t="0" r="0" b="0"/>
          <a:pathLst>
            <a:path w="87630" h="131445">
              <a:moveTo>
                <a:pt x="5747745" y="-5326831"/>
              </a:moveTo>
              <a:lnTo>
                <a:pt x="5771744" y="-5278799"/>
              </a:lnTo>
              <a:lnTo>
                <a:pt x="5771814" y="-5278799"/>
              </a:lnTo>
            </a:path>
            <a:path w="87630" h="131445">
              <a:moveTo>
                <a:pt x="5795812" y="-5326831"/>
              </a:moveTo>
              <a:lnTo>
                <a:pt x="5759779" y="-5254784"/>
              </a:lnTo>
              <a:lnTo>
                <a:pt x="5747745" y="-5254784"/>
              </a:lnTo>
              <a:lnTo>
                <a:pt x="5747885" y="-525478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390385</xdr:colOff>
      <xdr:row>21</xdr:row>
      <xdr:rowOff>90234</xdr:rowOff>
    </xdr:from>
    <xdr:to>
      <xdr:col>25</xdr:col>
      <xdr:colOff>478015</xdr:colOff>
      <xdr:row>21</xdr:row>
      <xdr:rowOff>177864</xdr:rowOff>
    </xdr:to>
    <xdr:sp macro="" textlink="">
      <xdr:nvSpPr>
        <xdr:cNvPr id="2" name="Shape 1883">
          <a:extLst>
            <a:ext uri="{FF2B5EF4-FFF2-40B4-BE49-F238E27FC236}">
              <a16:creationId xmlns:a16="http://schemas.microsoft.com/office/drawing/2014/main" id="{8AD97ED7-C20A-49BC-9EAE-F96C7C89D540}"/>
            </a:ext>
          </a:extLst>
        </xdr:cNvPr>
        <xdr:cNvSpPr/>
      </xdr:nvSpPr>
      <xdr:spPr>
        <a:xfrm>
          <a:off x="18783160" y="5643309"/>
          <a:ext cx="87630" cy="87630"/>
        </a:xfrm>
        <a:custGeom>
          <a:avLst/>
          <a:gdLst/>
          <a:ahLst/>
          <a:cxnLst/>
          <a:rect l="0" t="0" r="0" b="0"/>
          <a:pathLst>
            <a:path w="87630" h="87630">
              <a:moveTo>
                <a:pt x="5107877" y="-5888012"/>
              </a:moveTo>
              <a:lnTo>
                <a:pt x="5156013" y="-5936044"/>
              </a:lnTo>
              <a:lnTo>
                <a:pt x="5156153" y="-5936044"/>
              </a:lnTo>
            </a:path>
            <a:path w="87630" h="87630">
              <a:moveTo>
                <a:pt x="5107877" y="-5936044"/>
              </a:moveTo>
              <a:lnTo>
                <a:pt x="5156013" y="-5888012"/>
              </a:lnTo>
              <a:lnTo>
                <a:pt x="5156153" y="-5888012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23</xdr:col>
      <xdr:colOff>179692</xdr:colOff>
      <xdr:row>15</xdr:row>
      <xdr:rowOff>78798</xdr:rowOff>
    </xdr:from>
    <xdr:to>
      <xdr:col>23</xdr:col>
      <xdr:colOff>267322</xdr:colOff>
      <xdr:row>15</xdr:row>
      <xdr:rowOff>210243</xdr:rowOff>
    </xdr:to>
    <xdr:sp macro="" textlink="">
      <xdr:nvSpPr>
        <xdr:cNvPr id="3" name="Shape 1884">
          <a:extLst>
            <a:ext uri="{FF2B5EF4-FFF2-40B4-BE49-F238E27FC236}">
              <a16:creationId xmlns:a16="http://schemas.microsoft.com/office/drawing/2014/main" id="{DED4585E-A45C-4F4A-9CD2-006A08E9EA74}"/>
            </a:ext>
          </a:extLst>
        </xdr:cNvPr>
        <xdr:cNvSpPr/>
      </xdr:nvSpPr>
      <xdr:spPr>
        <a:xfrm>
          <a:off x="17200867" y="4117398"/>
          <a:ext cx="87630" cy="131445"/>
        </a:xfrm>
        <a:custGeom>
          <a:avLst/>
          <a:gdLst/>
          <a:ahLst/>
          <a:cxnLst/>
          <a:rect l="0" t="0" r="0" b="0"/>
          <a:pathLst>
            <a:path w="87630" h="131445">
              <a:moveTo>
                <a:pt x="5747745" y="-5326831"/>
              </a:moveTo>
              <a:lnTo>
                <a:pt x="5771744" y="-5278799"/>
              </a:lnTo>
              <a:lnTo>
                <a:pt x="5771814" y="-5278799"/>
              </a:lnTo>
            </a:path>
            <a:path w="87630" h="131445">
              <a:moveTo>
                <a:pt x="5795812" y="-5326831"/>
              </a:moveTo>
              <a:lnTo>
                <a:pt x="5759779" y="-5254784"/>
              </a:lnTo>
              <a:lnTo>
                <a:pt x="5747745" y="-5254784"/>
              </a:lnTo>
              <a:lnTo>
                <a:pt x="5747885" y="-5254784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EAE0-7101-4085-8385-F0C7AAFC7CBF}">
  <dimension ref="A1:AG47"/>
  <sheetViews>
    <sheetView workbookViewId="0">
      <selection sqref="A1:XFD1048576"/>
    </sheetView>
  </sheetViews>
  <sheetFormatPr defaultRowHeight="19.5" x14ac:dyDescent="0.2"/>
  <cols>
    <col min="1" max="1" width="13" style="2" customWidth="1"/>
    <col min="2" max="2" width="9" style="2"/>
    <col min="3" max="3" width="9.75" style="2" customWidth="1"/>
    <col min="4" max="6" width="9" style="2"/>
    <col min="7" max="7" width="9.5" style="2" customWidth="1"/>
    <col min="8" max="10" width="9" style="2"/>
    <col min="11" max="11" width="8.5" style="2" customWidth="1"/>
    <col min="12" max="12" width="9" style="2"/>
    <col min="13" max="13" width="10" style="2" customWidth="1"/>
    <col min="14" max="15" width="9" style="2"/>
    <col min="16" max="16" width="9.125" style="2" customWidth="1"/>
    <col min="17" max="18" width="9" style="2"/>
    <col min="19" max="19" width="19.5" style="2" customWidth="1"/>
    <col min="20" max="16384" width="9" style="2"/>
  </cols>
  <sheetData>
    <row r="1" spans="1:33" x14ac:dyDescent="0.2">
      <c r="A1" s="2">
        <v>37</v>
      </c>
      <c r="B1" s="2">
        <v>0</v>
      </c>
      <c r="C1" s="2" t="s">
        <v>32</v>
      </c>
      <c r="G1" s="6"/>
      <c r="Y1" s="50" t="s">
        <v>33</v>
      </c>
      <c r="Z1" s="50"/>
    </row>
    <row r="2" spans="1:33" ht="18" customHeight="1" x14ac:dyDescent="0.2">
      <c r="A2" s="2">
        <v>44</v>
      </c>
      <c r="B2" s="2">
        <v>1</v>
      </c>
      <c r="G2" s="6"/>
      <c r="S2" s="51" t="s">
        <v>10</v>
      </c>
      <c r="T2" s="53" t="s">
        <v>34</v>
      </c>
      <c r="U2" s="54"/>
      <c r="V2" s="54"/>
      <c r="W2" s="54"/>
      <c r="X2" s="55"/>
      <c r="Y2" s="7" t="s">
        <v>12</v>
      </c>
      <c r="Z2" s="7" t="s">
        <v>11</v>
      </c>
      <c r="AA2" s="47" t="s">
        <v>35</v>
      </c>
      <c r="AB2" s="48"/>
      <c r="AC2" s="49"/>
      <c r="AD2" s="47" t="s">
        <v>36</v>
      </c>
      <c r="AE2" s="48"/>
      <c r="AF2" s="49"/>
      <c r="AG2" s="8" t="s">
        <v>24</v>
      </c>
    </row>
    <row r="3" spans="1:33" ht="22.5" x14ac:dyDescent="0.2">
      <c r="A3" s="2">
        <v>52</v>
      </c>
      <c r="B3" s="2">
        <v>2</v>
      </c>
      <c r="S3" s="52"/>
      <c r="T3" s="8" t="s">
        <v>37</v>
      </c>
      <c r="U3" s="8" t="s">
        <v>38</v>
      </c>
      <c r="V3" s="8" t="s">
        <v>39</v>
      </c>
      <c r="W3" s="8" t="s">
        <v>16</v>
      </c>
      <c r="X3" s="8" t="s">
        <v>17</v>
      </c>
      <c r="Y3" s="9" t="s">
        <v>40</v>
      </c>
      <c r="Z3" s="9" t="s">
        <v>41</v>
      </c>
      <c r="AA3" s="8" t="s">
        <v>42</v>
      </c>
      <c r="AB3" s="8" t="s">
        <v>43</v>
      </c>
      <c r="AC3" s="8" t="s">
        <v>44</v>
      </c>
      <c r="AD3" s="8" t="s">
        <v>45</v>
      </c>
      <c r="AE3" s="8" t="s">
        <v>46</v>
      </c>
      <c r="AF3" s="8" t="s">
        <v>47</v>
      </c>
      <c r="AG3" s="10" t="s">
        <v>48</v>
      </c>
    </row>
    <row r="4" spans="1:33" x14ac:dyDescent="0.2">
      <c r="S4" s="1" t="s">
        <v>49</v>
      </c>
      <c r="T4" s="11">
        <v>100</v>
      </c>
      <c r="U4" s="11">
        <v>40</v>
      </c>
      <c r="V4" s="11">
        <v>15</v>
      </c>
      <c r="W4" s="11">
        <v>3</v>
      </c>
      <c r="X4" s="11">
        <v>6</v>
      </c>
      <c r="Y4" s="12">
        <v>5.45</v>
      </c>
      <c r="Z4" s="13">
        <v>4.28</v>
      </c>
      <c r="AA4" s="13">
        <v>76.88</v>
      </c>
      <c r="AB4" s="13">
        <v>15.38</v>
      </c>
      <c r="AC4" s="13">
        <v>3.76</v>
      </c>
      <c r="AD4" s="13">
        <v>10.41</v>
      </c>
      <c r="AE4" s="13">
        <v>3.84</v>
      </c>
      <c r="AF4" s="13">
        <v>1.38</v>
      </c>
      <c r="AG4" s="13">
        <v>1.29</v>
      </c>
    </row>
    <row r="5" spans="1:33" x14ac:dyDescent="0.2">
      <c r="S5" s="1" t="s">
        <v>50</v>
      </c>
      <c r="T5" s="11">
        <v>140</v>
      </c>
      <c r="U5" s="11">
        <v>70</v>
      </c>
      <c r="V5" s="11">
        <v>30</v>
      </c>
      <c r="W5" s="11">
        <v>3</v>
      </c>
      <c r="X5" s="11">
        <v>6</v>
      </c>
      <c r="Y5" s="12">
        <v>9.35</v>
      </c>
      <c r="Z5" s="13">
        <v>7.34</v>
      </c>
      <c r="AA5" s="13">
        <v>280.23</v>
      </c>
      <c r="AB5" s="13">
        <v>40.03</v>
      </c>
      <c r="AC5" s="13">
        <v>5.47</v>
      </c>
      <c r="AD5" s="14">
        <v>67.3</v>
      </c>
      <c r="AE5" s="13">
        <v>15.44</v>
      </c>
      <c r="AF5" s="13">
        <v>2.68</v>
      </c>
      <c r="AG5" s="13">
        <v>2.64</v>
      </c>
    </row>
    <row r="6" spans="1:33" ht="29.25" customHeight="1" x14ac:dyDescent="0.2">
      <c r="A6" s="27" t="s">
        <v>114</v>
      </c>
      <c r="B6" s="27" t="s">
        <v>0</v>
      </c>
      <c r="C6" s="27" t="s">
        <v>1</v>
      </c>
      <c r="F6" s="46" t="s">
        <v>51</v>
      </c>
      <c r="G6" s="46"/>
      <c r="J6" s="38" t="s">
        <v>52</v>
      </c>
      <c r="K6" s="38"/>
      <c r="L6" s="28"/>
      <c r="N6" s="38" t="s">
        <v>115</v>
      </c>
      <c r="O6" s="38"/>
      <c r="S6" s="1" t="s">
        <v>53</v>
      </c>
      <c r="T6" s="11">
        <v>160</v>
      </c>
      <c r="U6" s="11">
        <v>70</v>
      </c>
      <c r="V6" s="11">
        <v>30</v>
      </c>
      <c r="W6" s="11">
        <v>3</v>
      </c>
      <c r="X6" s="11">
        <v>6</v>
      </c>
      <c r="Y6" s="12">
        <v>9.9499999999999993</v>
      </c>
      <c r="Z6" s="13">
        <v>7.81</v>
      </c>
      <c r="AA6" s="13">
        <v>384.69</v>
      </c>
      <c r="AB6" s="13">
        <v>48.09</v>
      </c>
      <c r="AC6" s="13">
        <v>6.22</v>
      </c>
      <c r="AD6" s="14">
        <v>70.8</v>
      </c>
      <c r="AE6" s="14">
        <v>15.7</v>
      </c>
      <c r="AF6" s="13">
        <v>2.67</v>
      </c>
      <c r="AG6" s="13">
        <v>2.4900000000000002</v>
      </c>
    </row>
    <row r="7" spans="1:33" ht="21" customHeight="1" x14ac:dyDescent="0.2">
      <c r="A7" s="4" t="s">
        <v>5</v>
      </c>
      <c r="B7" s="36">
        <v>37</v>
      </c>
      <c r="C7" s="37"/>
      <c r="F7" s="1" t="s">
        <v>54</v>
      </c>
      <c r="G7" s="1">
        <f>(B15+B13*((0.01*B12)))*10^-5</f>
        <v>2.0130000000000004E-4</v>
      </c>
      <c r="H7" s="1" t="s">
        <v>55</v>
      </c>
      <c r="J7" s="1" t="s">
        <v>118</v>
      </c>
      <c r="K7" s="1">
        <f>0.1*(B11/4)</f>
        <v>25</v>
      </c>
      <c r="L7" s="1" t="s">
        <v>57</v>
      </c>
      <c r="N7" s="1" t="s">
        <v>120</v>
      </c>
      <c r="O7" s="5">
        <v>0.8</v>
      </c>
      <c r="P7" s="1" t="s">
        <v>89</v>
      </c>
      <c r="S7" s="1" t="s">
        <v>56</v>
      </c>
      <c r="T7" s="11">
        <v>160</v>
      </c>
      <c r="U7" s="11">
        <v>80</v>
      </c>
      <c r="V7" s="11">
        <v>34</v>
      </c>
      <c r="W7" s="11">
        <v>3</v>
      </c>
      <c r="X7" s="11">
        <v>6</v>
      </c>
      <c r="Y7" s="12">
        <v>10.79</v>
      </c>
      <c r="Z7" s="13">
        <v>8.4700000000000006</v>
      </c>
      <c r="AA7" s="14">
        <v>427.2</v>
      </c>
      <c r="AB7" s="14">
        <v>53.4</v>
      </c>
      <c r="AC7" s="13">
        <v>6.29</v>
      </c>
      <c r="AD7" s="14">
        <v>103.1</v>
      </c>
      <c r="AE7" s="13">
        <v>20.68</v>
      </c>
      <c r="AF7" s="13">
        <v>3.09</v>
      </c>
      <c r="AG7" s="13">
        <v>3.01</v>
      </c>
    </row>
    <row r="8" spans="1:33" ht="21.75" x14ac:dyDescent="0.2">
      <c r="A8" s="4" t="s">
        <v>3</v>
      </c>
      <c r="B8" s="1">
        <f>IF(B7=A1,2.4,IF(B7=A2,2.8,3.6))</f>
        <v>2.4</v>
      </c>
      <c r="C8" s="1" t="s">
        <v>2</v>
      </c>
      <c r="F8" s="1" t="s">
        <v>116</v>
      </c>
      <c r="G8" s="1">
        <f>G7*((B11)^2/8)</f>
        <v>25.162500000000005</v>
      </c>
      <c r="H8" s="1" t="s">
        <v>57</v>
      </c>
      <c r="J8" s="1" t="s">
        <v>119</v>
      </c>
      <c r="K8" s="1">
        <f>(0.1/2)</f>
        <v>0.05</v>
      </c>
      <c r="L8" s="1" t="s">
        <v>60</v>
      </c>
      <c r="N8" s="1" t="s">
        <v>121</v>
      </c>
      <c r="O8" s="5">
        <v>1</v>
      </c>
      <c r="P8" s="1" t="s">
        <v>89</v>
      </c>
      <c r="S8" s="1" t="s">
        <v>58</v>
      </c>
      <c r="T8" s="11">
        <v>160</v>
      </c>
      <c r="U8" s="11">
        <v>80</v>
      </c>
      <c r="V8" s="11">
        <v>34</v>
      </c>
      <c r="W8" s="13">
        <v>3.65</v>
      </c>
      <c r="X8" s="11">
        <v>6</v>
      </c>
      <c r="Y8" s="12">
        <v>13.01</v>
      </c>
      <c r="Z8" s="13">
        <v>10.210000000000001</v>
      </c>
      <c r="AA8" s="13">
        <v>510.03</v>
      </c>
      <c r="AB8" s="13">
        <v>63.75</v>
      </c>
      <c r="AC8" s="13">
        <v>6.26</v>
      </c>
      <c r="AD8" s="13">
        <v>121.93</v>
      </c>
      <c r="AE8" s="13">
        <v>24.46</v>
      </c>
      <c r="AF8" s="13">
        <v>3.06</v>
      </c>
      <c r="AG8" s="13">
        <v>3.01</v>
      </c>
    </row>
    <row r="9" spans="1:33" ht="21.75" x14ac:dyDescent="0.2">
      <c r="A9" s="4" t="s">
        <v>4</v>
      </c>
      <c r="B9" s="1">
        <f>IF(B7=A1,3.7,IF(B7=A2,4.4,5.2))</f>
        <v>3.7</v>
      </c>
      <c r="C9" s="1" t="s">
        <v>2</v>
      </c>
      <c r="F9" s="1" t="s">
        <v>117</v>
      </c>
      <c r="G9" s="1">
        <f>G7*(B11/2)</f>
        <v>0.10065000000000002</v>
      </c>
      <c r="H9" s="1" t="s">
        <v>60</v>
      </c>
      <c r="N9" s="1" t="s">
        <v>122</v>
      </c>
      <c r="O9" s="5">
        <v>68</v>
      </c>
      <c r="P9" s="1" t="s">
        <v>125</v>
      </c>
      <c r="S9" s="1" t="s">
        <v>59</v>
      </c>
      <c r="T9" s="11">
        <v>160</v>
      </c>
      <c r="U9" s="11">
        <v>80</v>
      </c>
      <c r="V9" s="11">
        <v>30</v>
      </c>
      <c r="W9" s="11">
        <v>4</v>
      </c>
      <c r="X9" s="11">
        <v>6</v>
      </c>
      <c r="Y9" s="12">
        <v>13.87</v>
      </c>
      <c r="Z9" s="13">
        <v>10.89</v>
      </c>
      <c r="AA9" s="13">
        <v>545.86</v>
      </c>
      <c r="AB9" s="13">
        <v>68.23</v>
      </c>
      <c r="AC9" s="13">
        <v>6.27</v>
      </c>
      <c r="AD9" s="13">
        <v>124.07</v>
      </c>
      <c r="AE9" s="13">
        <v>24.35</v>
      </c>
      <c r="AF9" s="13">
        <v>2.99</v>
      </c>
      <c r="AG9" s="14">
        <v>2.9</v>
      </c>
    </row>
    <row r="10" spans="1:33" ht="21" x14ac:dyDescent="0.2">
      <c r="A10" s="4" t="s">
        <v>6</v>
      </c>
      <c r="B10" s="36">
        <v>1</v>
      </c>
      <c r="C10" s="37"/>
      <c r="N10" s="1" t="s">
        <v>123</v>
      </c>
      <c r="O10" s="1">
        <f>O7*O8*O9*(10^-7)*B12</f>
        <v>1.088E-3</v>
      </c>
      <c r="P10" s="1" t="s">
        <v>55</v>
      </c>
      <c r="S10" s="1" t="s">
        <v>61</v>
      </c>
      <c r="T10" s="11">
        <v>160</v>
      </c>
      <c r="U10" s="11">
        <v>80</v>
      </c>
      <c r="V10" s="11">
        <v>35</v>
      </c>
      <c r="W10" s="11">
        <v>4</v>
      </c>
      <c r="X10" s="11">
        <v>6</v>
      </c>
      <c r="Y10" s="12">
        <v>14.27</v>
      </c>
      <c r="Z10" s="14">
        <v>11.2</v>
      </c>
      <c r="AA10" s="14">
        <v>554.9</v>
      </c>
      <c r="AB10" s="13">
        <v>69.36</v>
      </c>
      <c r="AC10" s="13">
        <v>6.24</v>
      </c>
      <c r="AD10" s="13">
        <v>133.38999999999999</v>
      </c>
      <c r="AE10" s="14">
        <v>26.9</v>
      </c>
      <c r="AF10" s="13">
        <v>3.06</v>
      </c>
      <c r="AG10" s="13">
        <v>3.04</v>
      </c>
    </row>
    <row r="11" spans="1:33" ht="21" x14ac:dyDescent="0.2">
      <c r="A11" s="4" t="s">
        <v>7</v>
      </c>
      <c r="B11" s="5">
        <v>1000</v>
      </c>
      <c r="C11" s="1" t="s">
        <v>25</v>
      </c>
      <c r="F11" s="46" t="s">
        <v>68</v>
      </c>
      <c r="G11" s="46"/>
      <c r="N11" s="1" t="s">
        <v>124</v>
      </c>
      <c r="O11" s="1">
        <f>(O10*(B11)^2)/8</f>
        <v>136</v>
      </c>
      <c r="P11" s="1" t="s">
        <v>57</v>
      </c>
      <c r="S11" s="1" t="s">
        <v>62</v>
      </c>
      <c r="T11" s="11">
        <v>180</v>
      </c>
      <c r="U11" s="11">
        <v>80</v>
      </c>
      <c r="V11" s="11">
        <v>25</v>
      </c>
      <c r="W11" s="14">
        <v>3.6</v>
      </c>
      <c r="X11" s="11">
        <v>6</v>
      </c>
      <c r="Y11" s="12">
        <v>12.91</v>
      </c>
      <c r="Z11" s="13">
        <v>11.14</v>
      </c>
      <c r="AA11" s="13">
        <v>642.27</v>
      </c>
      <c r="AB11" s="13">
        <v>71.36</v>
      </c>
      <c r="AC11" s="13">
        <v>7.05</v>
      </c>
      <c r="AD11" s="13">
        <v>109.29</v>
      </c>
      <c r="AE11" s="14">
        <v>20.3</v>
      </c>
      <c r="AF11" s="13">
        <v>2.91</v>
      </c>
      <c r="AG11" s="13">
        <v>2.62</v>
      </c>
    </row>
    <row r="12" spans="1:33" ht="21" x14ac:dyDescent="0.2">
      <c r="A12" s="3" t="s">
        <v>8</v>
      </c>
      <c r="B12" s="5">
        <v>200</v>
      </c>
      <c r="C12" s="1" t="s">
        <v>25</v>
      </c>
      <c r="F12" s="1" t="s">
        <v>70</v>
      </c>
      <c r="G12" s="22">
        <f>O11</f>
        <v>136</v>
      </c>
      <c r="H12" s="1" t="s">
        <v>57</v>
      </c>
      <c r="S12" s="1" t="s">
        <v>63</v>
      </c>
      <c r="T12" s="11">
        <v>180</v>
      </c>
      <c r="U12" s="11">
        <v>80</v>
      </c>
      <c r="V12" s="11">
        <v>25</v>
      </c>
      <c r="W12" s="11">
        <v>4</v>
      </c>
      <c r="X12" s="11">
        <v>6</v>
      </c>
      <c r="Y12" s="12">
        <v>14.27</v>
      </c>
      <c r="Z12" s="14">
        <v>11.2</v>
      </c>
      <c r="AA12" s="14">
        <v>705.6</v>
      </c>
      <c r="AB12" s="14">
        <v>78.400000000000006</v>
      </c>
      <c r="AC12" s="13">
        <v>7.03</v>
      </c>
      <c r="AD12" s="13">
        <v>119.15</v>
      </c>
      <c r="AE12" s="13">
        <v>22.13</v>
      </c>
      <c r="AF12" s="13">
        <v>2.89</v>
      </c>
      <c r="AG12" s="13">
        <v>2.62</v>
      </c>
    </row>
    <row r="13" spans="1:33" ht="21.75" x14ac:dyDescent="0.2">
      <c r="A13" s="3" t="s">
        <v>9</v>
      </c>
      <c r="B13" s="5">
        <v>6</v>
      </c>
      <c r="C13" s="1" t="s">
        <v>26</v>
      </c>
      <c r="F13" s="1" t="s">
        <v>72</v>
      </c>
      <c r="G13" s="22">
        <f>IF(B10=B1,1.2*G8+1.6*K7,IF(B10=B2,0.25*(1.2*G8+1.6*K7),(1/9)*(1.2*G8+1.6*K7)))</f>
        <v>17.548750000000002</v>
      </c>
      <c r="H13" s="1" t="s">
        <v>57</v>
      </c>
      <c r="S13" s="1" t="s">
        <v>64</v>
      </c>
      <c r="T13" s="11">
        <v>100</v>
      </c>
      <c r="U13" s="11">
        <v>50</v>
      </c>
      <c r="V13" s="11">
        <v>20</v>
      </c>
      <c r="W13" s="11">
        <v>2</v>
      </c>
      <c r="X13" s="11">
        <v>6</v>
      </c>
      <c r="Y13" s="12">
        <v>4.33</v>
      </c>
      <c r="Z13" s="14">
        <v>3.4</v>
      </c>
      <c r="AA13" s="13">
        <v>65.92</v>
      </c>
      <c r="AB13" s="13">
        <v>13.18</v>
      </c>
      <c r="AC13" s="14">
        <v>3.9</v>
      </c>
      <c r="AD13" s="13">
        <v>15.36</v>
      </c>
      <c r="AE13" s="13">
        <v>4.8499999999999996</v>
      </c>
      <c r="AF13" s="13">
        <v>1.88</v>
      </c>
      <c r="AG13" s="13">
        <v>1.84</v>
      </c>
    </row>
    <row r="14" spans="1:33" ht="21" x14ac:dyDescent="0.2">
      <c r="A14" s="4" t="s">
        <v>10</v>
      </c>
      <c r="B14" s="36" t="s">
        <v>66</v>
      </c>
      <c r="C14" s="37"/>
      <c r="F14" s="1" t="s">
        <v>74</v>
      </c>
      <c r="G14" s="22">
        <f>1.2*G9+1.6*K8</f>
        <v>0.20078000000000001</v>
      </c>
      <c r="H14" s="1" t="s">
        <v>60</v>
      </c>
      <c r="S14" s="1" t="s">
        <v>65</v>
      </c>
      <c r="T14" s="11">
        <v>200</v>
      </c>
      <c r="U14" s="11">
        <v>60</v>
      </c>
      <c r="V14" s="11">
        <v>20</v>
      </c>
      <c r="W14" s="11">
        <v>2</v>
      </c>
      <c r="X14" s="11">
        <v>6</v>
      </c>
      <c r="Y14" s="12">
        <v>6.73</v>
      </c>
      <c r="Z14" s="13">
        <v>5.28</v>
      </c>
      <c r="AA14" s="13">
        <v>386.55</v>
      </c>
      <c r="AB14" s="13">
        <v>38.659999999999997</v>
      </c>
      <c r="AC14" s="13">
        <v>7.58</v>
      </c>
      <c r="AD14" s="13">
        <v>30.47</v>
      </c>
      <c r="AE14" s="13">
        <v>6.96</v>
      </c>
      <c r="AF14" s="13">
        <v>2.13</v>
      </c>
      <c r="AG14" s="13">
        <v>1.62</v>
      </c>
    </row>
    <row r="15" spans="1:33" x14ac:dyDescent="0.2">
      <c r="A15" s="4" t="s">
        <v>11</v>
      </c>
      <c r="B15" s="1">
        <f>VLOOKUP(B14,table3,7,FALSE)</f>
        <v>8.1300000000000008</v>
      </c>
      <c r="C15" s="1" t="s">
        <v>27</v>
      </c>
      <c r="S15" s="1" t="s">
        <v>66</v>
      </c>
      <c r="T15" s="11">
        <v>250</v>
      </c>
      <c r="U15" s="11">
        <v>70</v>
      </c>
      <c r="V15" s="11">
        <v>20</v>
      </c>
      <c r="W15" s="11">
        <v>2</v>
      </c>
      <c r="X15" s="11">
        <v>6</v>
      </c>
      <c r="Y15" s="12">
        <v>8.1300000000000008</v>
      </c>
      <c r="Z15" s="13">
        <v>6.38</v>
      </c>
      <c r="AA15" s="13">
        <v>723.51</v>
      </c>
      <c r="AB15" s="13">
        <v>57.88</v>
      </c>
      <c r="AC15" s="13">
        <v>9.43</v>
      </c>
      <c r="AD15" s="13">
        <v>47.56</v>
      </c>
      <c r="AE15" s="13">
        <v>9.0500000000000007</v>
      </c>
      <c r="AF15" s="13">
        <v>2.42</v>
      </c>
      <c r="AG15" s="13">
        <v>1.74</v>
      </c>
    </row>
    <row r="16" spans="1:33" ht="21.75" x14ac:dyDescent="0.2">
      <c r="A16" s="3" t="s">
        <v>12</v>
      </c>
      <c r="B16" s="1">
        <f>VLOOKUP(B14,table3,8,FALSE)</f>
        <v>6.38</v>
      </c>
      <c r="C16" s="1" t="s">
        <v>28</v>
      </c>
      <c r="S16" s="1" t="s">
        <v>67</v>
      </c>
      <c r="T16" s="11">
        <v>185</v>
      </c>
      <c r="U16" s="11">
        <v>60</v>
      </c>
      <c r="V16" s="11">
        <v>25</v>
      </c>
      <c r="W16" s="14">
        <v>1.5</v>
      </c>
      <c r="X16" s="11">
        <v>6</v>
      </c>
      <c r="Y16" s="12">
        <v>5</v>
      </c>
      <c r="Z16" s="13">
        <v>3.93</v>
      </c>
      <c r="AA16" s="13">
        <v>251.81</v>
      </c>
      <c r="AB16" s="13">
        <v>27.22</v>
      </c>
      <c r="AC16" s="13">
        <v>7.09</v>
      </c>
      <c r="AD16" s="14">
        <v>25.6</v>
      </c>
      <c r="AE16" s="13">
        <v>6.12</v>
      </c>
      <c r="AF16" s="13">
        <v>2.2599999999999998</v>
      </c>
      <c r="AG16" s="13">
        <v>1.82</v>
      </c>
    </row>
    <row r="17" spans="1:33" x14ac:dyDescent="0.2">
      <c r="A17" s="3" t="s">
        <v>13</v>
      </c>
      <c r="B17" s="1">
        <f>VLOOKUP(B14,table3,2,FALSE)</f>
        <v>250</v>
      </c>
      <c r="C17" s="1" t="s">
        <v>29</v>
      </c>
      <c r="F17" s="33" t="s">
        <v>78</v>
      </c>
      <c r="G17" s="33"/>
      <c r="S17" s="1" t="s">
        <v>69</v>
      </c>
      <c r="T17" s="11">
        <v>185</v>
      </c>
      <c r="U17" s="11">
        <v>60</v>
      </c>
      <c r="V17" s="14">
        <v>26.4</v>
      </c>
      <c r="W17" s="11">
        <v>2</v>
      </c>
      <c r="X17" s="11">
        <v>6</v>
      </c>
      <c r="Y17" s="12">
        <v>6.69</v>
      </c>
      <c r="Z17" s="13">
        <v>5.25</v>
      </c>
      <c r="AA17" s="13">
        <v>333.19</v>
      </c>
      <c r="AB17" s="13">
        <v>36.020000000000003</v>
      </c>
      <c r="AC17" s="13">
        <v>7.06</v>
      </c>
      <c r="AD17" s="13">
        <v>34.090000000000003</v>
      </c>
      <c r="AE17" s="13">
        <v>8.2200000000000006</v>
      </c>
      <c r="AF17" s="13">
        <v>2.2599999999999998</v>
      </c>
      <c r="AG17" s="13">
        <v>1.85</v>
      </c>
    </row>
    <row r="18" spans="1:33" x14ac:dyDescent="0.2">
      <c r="A18" s="3" t="s">
        <v>14</v>
      </c>
      <c r="B18" s="1">
        <f>VLOOKUP(B14,table3,3,FALSE)</f>
        <v>70</v>
      </c>
      <c r="C18" s="1" t="s">
        <v>29</v>
      </c>
      <c r="F18" s="33"/>
      <c r="G18" s="33"/>
      <c r="S18" s="1" t="s">
        <v>71</v>
      </c>
      <c r="T18" s="11">
        <v>185</v>
      </c>
      <c r="U18" s="11">
        <v>60</v>
      </c>
      <c r="V18" s="14">
        <v>27.7</v>
      </c>
      <c r="W18" s="14">
        <v>2.5</v>
      </c>
      <c r="X18" s="11">
        <v>6</v>
      </c>
      <c r="Y18" s="12">
        <v>8.36</v>
      </c>
      <c r="Z18" s="13">
        <v>6.56</v>
      </c>
      <c r="AA18" s="13">
        <v>412.99</v>
      </c>
      <c r="AB18" s="13">
        <v>44.65</v>
      </c>
      <c r="AC18" s="13">
        <v>7.03</v>
      </c>
      <c r="AD18" s="13">
        <v>42.46</v>
      </c>
      <c r="AE18" s="13">
        <v>10.32</v>
      </c>
      <c r="AF18" s="13">
        <v>2.25</v>
      </c>
      <c r="AG18" s="13">
        <v>1.89</v>
      </c>
    </row>
    <row r="19" spans="1:33" x14ac:dyDescent="0.2">
      <c r="A19" s="3" t="s">
        <v>15</v>
      </c>
      <c r="B19" s="1">
        <f>VLOOKUP(B14,table3,4,FALSE)</f>
        <v>20</v>
      </c>
      <c r="C19" s="1" t="s">
        <v>29</v>
      </c>
      <c r="S19" s="1" t="s">
        <v>73</v>
      </c>
      <c r="T19" s="11">
        <v>185</v>
      </c>
      <c r="U19" s="11">
        <v>60</v>
      </c>
      <c r="V19" s="14">
        <v>29.1</v>
      </c>
      <c r="W19" s="11">
        <v>3</v>
      </c>
      <c r="X19" s="11">
        <v>6</v>
      </c>
      <c r="Y19" s="12">
        <v>10.050000000000001</v>
      </c>
      <c r="Z19" s="13">
        <v>7.89</v>
      </c>
      <c r="AA19" s="13">
        <v>491.57</v>
      </c>
      <c r="AB19" s="13">
        <v>53.14</v>
      </c>
      <c r="AC19" s="11">
        <v>7</v>
      </c>
      <c r="AD19" s="13">
        <v>50.82</v>
      </c>
      <c r="AE19" s="13">
        <v>12.46</v>
      </c>
      <c r="AF19" s="13">
        <v>2.25</v>
      </c>
      <c r="AG19" s="13">
        <v>1.92</v>
      </c>
    </row>
    <row r="20" spans="1:33" x14ac:dyDescent="0.2">
      <c r="A20" s="3" t="s">
        <v>16</v>
      </c>
      <c r="B20" s="1">
        <f>VLOOKUP(B14,table3,5,FALSE)</f>
        <v>2</v>
      </c>
      <c r="C20" s="1" t="s">
        <v>29</v>
      </c>
      <c r="F20" s="46" t="s">
        <v>80</v>
      </c>
      <c r="G20" s="46"/>
      <c r="S20" s="1" t="s">
        <v>75</v>
      </c>
      <c r="T20" s="11">
        <v>215</v>
      </c>
      <c r="U20" s="11">
        <v>60</v>
      </c>
      <c r="V20" s="11">
        <v>25</v>
      </c>
      <c r="W20" s="14">
        <v>1.5</v>
      </c>
      <c r="X20" s="11">
        <v>6</v>
      </c>
      <c r="Y20" s="12">
        <v>5.46</v>
      </c>
      <c r="Z20" s="13">
        <v>4.29</v>
      </c>
      <c r="AA20" s="13">
        <v>360.67</v>
      </c>
      <c r="AB20" s="13">
        <v>33.549999999999997</v>
      </c>
      <c r="AC20" s="13">
        <v>8.1300000000000008</v>
      </c>
      <c r="AD20" s="13">
        <v>26.86</v>
      </c>
      <c r="AE20" s="13">
        <v>6.21</v>
      </c>
      <c r="AF20" s="13">
        <v>2.2200000000000002</v>
      </c>
      <c r="AG20" s="13">
        <v>1.67</v>
      </c>
    </row>
    <row r="21" spans="1:33" x14ac:dyDescent="0.2">
      <c r="A21" s="3" t="s">
        <v>17</v>
      </c>
      <c r="B21" s="1">
        <f>VLOOKUP(B14,table3,6,FALSE)</f>
        <v>6</v>
      </c>
      <c r="C21" s="1" t="s">
        <v>29</v>
      </c>
      <c r="F21" s="22" t="s">
        <v>81</v>
      </c>
      <c r="G21" s="1">
        <f>(B17-2*B20-2*B21)/B20</f>
        <v>117</v>
      </c>
      <c r="H21" s="1" t="str">
        <f>IF(G21&lt;=200,"Ok")</f>
        <v>Ok</v>
      </c>
      <c r="S21" s="1" t="s">
        <v>76</v>
      </c>
      <c r="T21" s="11">
        <v>215</v>
      </c>
      <c r="U21" s="11">
        <v>60</v>
      </c>
      <c r="V21" s="14">
        <v>26.4</v>
      </c>
      <c r="W21" s="11">
        <v>2</v>
      </c>
      <c r="X21" s="11">
        <v>6</v>
      </c>
      <c r="Y21" s="12">
        <v>7.29</v>
      </c>
      <c r="Z21" s="13">
        <v>5.72</v>
      </c>
      <c r="AA21" s="13">
        <v>477.98</v>
      </c>
      <c r="AB21" s="13">
        <v>44.46</v>
      </c>
      <c r="AC21" s="14">
        <v>8.1</v>
      </c>
      <c r="AD21" s="13">
        <v>35.79</v>
      </c>
      <c r="AE21" s="13">
        <v>8.34</v>
      </c>
      <c r="AF21" s="13">
        <v>2.21</v>
      </c>
      <c r="AG21" s="14">
        <v>1.7</v>
      </c>
    </row>
    <row r="22" spans="1:33" ht="21.75" x14ac:dyDescent="0.2">
      <c r="A22" s="3" t="s">
        <v>18</v>
      </c>
      <c r="B22" s="1">
        <f>VLOOKUP(B14,table3,9,FALSE)</f>
        <v>723.51</v>
      </c>
      <c r="C22" s="1" t="s">
        <v>30</v>
      </c>
      <c r="F22" s="22" t="s">
        <v>83</v>
      </c>
      <c r="G22" s="1">
        <f>(B18-2*B20-2*B21)/B20</f>
        <v>27</v>
      </c>
      <c r="H22" s="1" t="str">
        <f>IF(G22&lt;=40,"Ok")</f>
        <v>Ok</v>
      </c>
      <c r="I22" s="1" t="s">
        <v>82</v>
      </c>
      <c r="J22" s="34" t="str">
        <f>IF(AND(H21=C1,H22=C1,H23=C1),"The Section satisfies Code Limits")</f>
        <v>The Section satisfies Code Limits</v>
      </c>
      <c r="K22" s="35"/>
      <c r="L22" s="35"/>
      <c r="S22" s="1" t="s">
        <v>77</v>
      </c>
      <c r="T22" s="11">
        <v>215</v>
      </c>
      <c r="U22" s="11">
        <v>60</v>
      </c>
      <c r="V22" s="14">
        <v>27.7</v>
      </c>
      <c r="W22" s="14">
        <v>2.5</v>
      </c>
      <c r="X22" s="11">
        <v>6</v>
      </c>
      <c r="Y22" s="12">
        <v>9.11</v>
      </c>
      <c r="Z22" s="13">
        <v>7.15</v>
      </c>
      <c r="AA22" s="13">
        <v>593.41</v>
      </c>
      <c r="AB22" s="14">
        <v>55.2</v>
      </c>
      <c r="AC22" s="13">
        <v>8.07</v>
      </c>
      <c r="AD22" s="13">
        <v>44.59</v>
      </c>
      <c r="AE22" s="13">
        <v>10.47</v>
      </c>
      <c r="AF22" s="13">
        <v>2.21</v>
      </c>
      <c r="AG22" s="13">
        <v>1.74</v>
      </c>
    </row>
    <row r="23" spans="1:33" ht="21.75" x14ac:dyDescent="0.2">
      <c r="A23" s="3" t="s">
        <v>19</v>
      </c>
      <c r="B23" s="1">
        <f>VLOOKUP(B14,table3,10,FALSE)</f>
        <v>57.88</v>
      </c>
      <c r="C23" s="1" t="s">
        <v>31</v>
      </c>
      <c r="F23" s="1" t="s">
        <v>84</v>
      </c>
      <c r="G23" s="1">
        <f>(B19-B20-B21)/B20</f>
        <v>6</v>
      </c>
      <c r="H23" s="1" t="str">
        <f>IF(G23&lt;=40,"Ok")</f>
        <v>Ok</v>
      </c>
      <c r="S23" s="1" t="s">
        <v>79</v>
      </c>
      <c r="T23" s="11">
        <v>215</v>
      </c>
      <c r="U23" s="11">
        <v>60</v>
      </c>
      <c r="V23" s="14">
        <v>29.1</v>
      </c>
      <c r="W23" s="11">
        <v>3</v>
      </c>
      <c r="X23" s="11">
        <v>6</v>
      </c>
      <c r="Y23" s="12">
        <v>10.95</v>
      </c>
      <c r="Z23" s="13">
        <v>8.59</v>
      </c>
      <c r="AA23" s="13">
        <v>707.49</v>
      </c>
      <c r="AB23" s="13">
        <v>65.81</v>
      </c>
      <c r="AC23" s="13">
        <v>8.0399999999999991</v>
      </c>
      <c r="AD23" s="13">
        <v>53.41</v>
      </c>
      <c r="AE23" s="13">
        <v>12.64</v>
      </c>
      <c r="AF23" s="13">
        <v>2.21</v>
      </c>
      <c r="AG23" s="13">
        <v>1.78</v>
      </c>
    </row>
    <row r="24" spans="1:33" ht="21.75" thickBot="1" x14ac:dyDescent="0.25">
      <c r="A24" s="3" t="s">
        <v>20</v>
      </c>
      <c r="B24" s="1">
        <f>VLOOKUP(B14,table3,11,FALSE)</f>
        <v>9.43</v>
      </c>
      <c r="C24" s="1" t="s">
        <v>25</v>
      </c>
    </row>
    <row r="25" spans="1:33" ht="21.75" x14ac:dyDescent="0.2">
      <c r="A25" s="3" t="s">
        <v>21</v>
      </c>
      <c r="B25" s="1">
        <f>VLOOKUP(B14,table3,12,FALSE)</f>
        <v>47.56</v>
      </c>
      <c r="C25" s="1" t="s">
        <v>30</v>
      </c>
      <c r="F25" s="43" t="s">
        <v>85</v>
      </c>
      <c r="G25" s="44"/>
      <c r="H25" s="15"/>
      <c r="I25" s="15"/>
      <c r="J25" s="15"/>
      <c r="K25" s="15"/>
      <c r="L25" s="15"/>
      <c r="M25" s="15"/>
      <c r="N25" s="15"/>
      <c r="O25" s="15"/>
      <c r="P25" s="16"/>
    </row>
    <row r="26" spans="1:33" ht="21.75" x14ac:dyDescent="0.2">
      <c r="A26" s="3" t="s">
        <v>22</v>
      </c>
      <c r="B26" s="1">
        <f>VLOOKUP(B14,table3,13,FALSE)</f>
        <v>9.0500000000000007</v>
      </c>
      <c r="C26" s="1" t="s">
        <v>31</v>
      </c>
      <c r="F26" s="45"/>
      <c r="G26" s="46"/>
      <c r="P26" s="17"/>
    </row>
    <row r="27" spans="1:33" ht="21" x14ac:dyDescent="0.2">
      <c r="A27" s="3" t="s">
        <v>23</v>
      </c>
      <c r="B27" s="1">
        <f>VLOOKUP(B14,table3,14,FALSE)</f>
        <v>2.42</v>
      </c>
      <c r="C27" s="1" t="s">
        <v>25</v>
      </c>
      <c r="F27" s="40" t="s">
        <v>86</v>
      </c>
      <c r="G27" s="41"/>
      <c r="L27" s="42" t="s">
        <v>87</v>
      </c>
      <c r="M27" s="41"/>
      <c r="P27" s="17"/>
    </row>
    <row r="28" spans="1:33" x14ac:dyDescent="0.2">
      <c r="A28" s="3" t="s">
        <v>24</v>
      </c>
      <c r="B28" s="1">
        <f>VLOOKUP(B14,table3,15,FALSE)</f>
        <v>1.74</v>
      </c>
      <c r="C28" s="1" t="s">
        <v>25</v>
      </c>
      <c r="F28" s="18" t="s">
        <v>88</v>
      </c>
      <c r="G28" s="5">
        <v>-1</v>
      </c>
      <c r="H28" s="1" t="s">
        <v>89</v>
      </c>
      <c r="L28" s="1" t="s">
        <v>88</v>
      </c>
      <c r="M28" s="5">
        <v>1</v>
      </c>
      <c r="N28" s="1" t="s">
        <v>89</v>
      </c>
      <c r="P28" s="17"/>
    </row>
    <row r="29" spans="1:33" x14ac:dyDescent="0.2">
      <c r="F29" s="18" t="s">
        <v>90</v>
      </c>
      <c r="G29" s="5">
        <v>23.9</v>
      </c>
      <c r="H29" s="1" t="s">
        <v>89</v>
      </c>
      <c r="L29" s="1" t="s">
        <v>91</v>
      </c>
      <c r="M29" s="1">
        <f>1.28*SQRT(2100/B8)</f>
        <v>37.862910611837542</v>
      </c>
      <c r="N29" s="1" t="s">
        <v>89</v>
      </c>
      <c r="P29" s="17"/>
    </row>
    <row r="30" spans="1:33" ht="21" x14ac:dyDescent="0.2">
      <c r="F30" s="18" t="s">
        <v>92</v>
      </c>
      <c r="G30" s="1">
        <f>(((B17-2*B20-2*B21)/B20)/44)*SQRT(B8/G29)</f>
        <v>0.84263570131802745</v>
      </c>
      <c r="H30" s="1" t="s">
        <v>89</v>
      </c>
      <c r="L30" s="1" t="s">
        <v>93</v>
      </c>
      <c r="M30" s="1">
        <f>(B18-2*B20-2*B21)/B20</f>
        <v>27</v>
      </c>
      <c r="N30" s="1" t="s">
        <v>89</v>
      </c>
      <c r="P30" s="17"/>
    </row>
    <row r="31" spans="1:33" x14ac:dyDescent="0.2">
      <c r="F31" s="23" t="s">
        <v>94</v>
      </c>
      <c r="G31" s="1">
        <f>(G30-0.15-0.05*G28)/(G30)^2</f>
        <v>1.0459143276312384</v>
      </c>
      <c r="H31" s="1" t="s">
        <v>89</v>
      </c>
      <c r="I31" s="30" t="str">
        <f>IF(G31&gt;=1,"Fully Effective","Partially Effective")</f>
        <v>Fully Effective</v>
      </c>
      <c r="J31" s="32"/>
      <c r="L31" s="1" t="s">
        <v>95</v>
      </c>
      <c r="M31" s="1">
        <f>B19/(B18-2*B20-2*B21)</f>
        <v>0.37037037037037035</v>
      </c>
      <c r="N31" s="1" t="s">
        <v>89</v>
      </c>
      <c r="P31" s="17"/>
    </row>
    <row r="32" spans="1:33" ht="21.75" x14ac:dyDescent="0.2">
      <c r="F32" s="18" t="s">
        <v>96</v>
      </c>
      <c r="G32" s="1">
        <f>IF(G31&lt;=1,G31*(B17-2*B20-2*B21),(B17-2*B20-2*B21))</f>
        <v>234</v>
      </c>
      <c r="H32" s="1" t="s">
        <v>29</v>
      </c>
      <c r="L32" s="1" t="s">
        <v>97</v>
      </c>
      <c r="M32" s="1">
        <f>IF(AND(M30&lt;=(M29/3),M31&lt;=0.25),0,IF(AND(M30&gt;(M29/3),M30&lt;M29),399*(((M30/M29)-0.33)^3*B20^4),IF(M30&gt;=M29,(115*(M30/M29)+5)*B20^4)))</f>
        <v>358.94309363019124</v>
      </c>
      <c r="N32" s="1" t="s">
        <v>98</v>
      </c>
      <c r="P32" s="17"/>
    </row>
    <row r="33" spans="5:16" ht="21.75" x14ac:dyDescent="0.2">
      <c r="F33" s="18" t="s">
        <v>99</v>
      </c>
      <c r="G33" s="1">
        <f>0.1*(B17-2*B20-2*B21-G32)</f>
        <v>0</v>
      </c>
      <c r="H33" s="1" t="s">
        <v>25</v>
      </c>
      <c r="L33" s="1" t="s">
        <v>100</v>
      </c>
      <c r="M33" s="1">
        <f>(B20*(B19-B20-B21)^3)/12</f>
        <v>288</v>
      </c>
      <c r="N33" s="1" t="s">
        <v>98</v>
      </c>
      <c r="P33" s="17"/>
    </row>
    <row r="34" spans="5:16" x14ac:dyDescent="0.2">
      <c r="F34" s="24"/>
      <c r="L34" s="1" t="s">
        <v>90</v>
      </c>
      <c r="M34" s="1">
        <f>IF(AND(M30&gt;(M29/3),M30&lt;M29,M31&lt;=0.25),MIN(3.57*SQRT(M33/M32)+0.43,4),IF(AND(M30&gt;(M29/3),M30&lt;M29,M31&gt;0.25,M31&lt;=0.8),MIN((4.82-5*M31)*SQRT(M33/M32)+0.43,5.25-5*M31),IF(AND(M30&gt;=M29,M31&lt;=0.25),MIN(3.57*((M33/M32)^1/3)+0.43,4),IF(AND(M30&gt;=M29,M31&gt;0.25,M31&lt;=0.8),MIN((4.82-5*M31)*((M33/M32)^1/3)+0.43,5.25-5*M31)))))</f>
        <v>3.0886980500213275</v>
      </c>
      <c r="N34" s="1" t="s">
        <v>89</v>
      </c>
      <c r="P34" s="17"/>
    </row>
    <row r="35" spans="5:16" ht="21" x14ac:dyDescent="0.2">
      <c r="F35" s="40" t="s">
        <v>101</v>
      </c>
      <c r="G35" s="41"/>
      <c r="L35" s="1" t="s">
        <v>92</v>
      </c>
      <c r="M35" s="1">
        <f>(((B18-2*B20-2*B21)/B20)/44)*SQRT(B8/M34)</f>
        <v>0.54091494599044554</v>
      </c>
      <c r="N35" s="1" t="s">
        <v>89</v>
      </c>
      <c r="P35" s="17"/>
    </row>
    <row r="36" spans="5:16" x14ac:dyDescent="0.2">
      <c r="F36" s="23" t="s">
        <v>94</v>
      </c>
      <c r="G36" s="5">
        <v>1</v>
      </c>
      <c r="H36" s="1" t="s">
        <v>89</v>
      </c>
      <c r="I36" s="30" t="str">
        <f>IF(G36&gt;=1,"Fully Effective","Partially Effective")</f>
        <v>Fully Effective</v>
      </c>
      <c r="J36" s="32"/>
      <c r="L36" s="25" t="s">
        <v>94</v>
      </c>
      <c r="M36" s="1">
        <f>(M35-0.15-0.05*M28)/(M35)^2</f>
        <v>1.1651667379731288</v>
      </c>
      <c r="N36" s="1" t="s">
        <v>89</v>
      </c>
      <c r="O36" s="30" t="str">
        <f>IF(M36&gt;=1,"Fully Effective","Partially Effective")</f>
        <v>Fully Effective</v>
      </c>
      <c r="P36" s="31"/>
    </row>
    <row r="37" spans="5:16" ht="21" x14ac:dyDescent="0.2">
      <c r="F37" s="18" t="s">
        <v>102</v>
      </c>
      <c r="G37" s="1">
        <f>G36*(B19-B20-B21)</f>
        <v>12</v>
      </c>
      <c r="H37" s="1" t="s">
        <v>29</v>
      </c>
      <c r="L37" s="1" t="s">
        <v>103</v>
      </c>
      <c r="M37" s="1">
        <f>IF(M36&lt;=1,M36*(B18-2*B20-2*B21),(B18-2*B20-2*B21))</f>
        <v>54</v>
      </c>
      <c r="N37" s="1" t="s">
        <v>29</v>
      </c>
      <c r="P37" s="17"/>
    </row>
    <row r="38" spans="5:16" x14ac:dyDescent="0.2">
      <c r="F38" s="24"/>
      <c r="L38" s="1" t="s">
        <v>99</v>
      </c>
      <c r="M38" s="1">
        <f>0.1*(B18-2*B20-2*B21-M37)</f>
        <v>0</v>
      </c>
      <c r="N38" s="1" t="s">
        <v>25</v>
      </c>
      <c r="P38" s="17"/>
    </row>
    <row r="39" spans="5:16" x14ac:dyDescent="0.2">
      <c r="F39" s="24"/>
      <c r="P39" s="17"/>
    </row>
    <row r="40" spans="5:16" x14ac:dyDescent="0.2">
      <c r="F40" s="24"/>
      <c r="I40" s="29" t="s">
        <v>104</v>
      </c>
      <c r="J40" s="29"/>
      <c r="K40" s="29"/>
      <c r="P40" s="17"/>
    </row>
    <row r="41" spans="5:16" ht="21.75" x14ac:dyDescent="0.2">
      <c r="F41" s="24"/>
      <c r="I41" s="1" t="s">
        <v>105</v>
      </c>
      <c r="J41" s="1">
        <f>B22-((M38*0.1*B20)*(0.1*(B17/2)-0.1*(B20/2))^2)</f>
        <v>723.51</v>
      </c>
      <c r="K41" s="1" t="s">
        <v>30</v>
      </c>
      <c r="P41" s="17"/>
    </row>
    <row r="42" spans="5:16" ht="22.5" thickBot="1" x14ac:dyDescent="0.25">
      <c r="F42" s="19"/>
      <c r="G42" s="20"/>
      <c r="H42" s="20"/>
      <c r="I42" s="21" t="s">
        <v>106</v>
      </c>
      <c r="J42" s="21">
        <f>B25-((M38*0.1*B20)*(0.1*B18-B28-0.5*M38)^2)</f>
        <v>47.56</v>
      </c>
      <c r="K42" s="21" t="s">
        <v>30</v>
      </c>
      <c r="L42" s="20"/>
      <c r="M42" s="20"/>
      <c r="N42" s="20"/>
      <c r="O42" s="20"/>
      <c r="P42" s="26"/>
    </row>
    <row r="45" spans="5:16" x14ac:dyDescent="0.2">
      <c r="E45" s="39" t="s">
        <v>107</v>
      </c>
      <c r="F45" s="39"/>
      <c r="I45" s="39" t="s">
        <v>108</v>
      </c>
      <c r="J45" s="39"/>
      <c r="M45" s="39" t="s">
        <v>109</v>
      </c>
      <c r="N45" s="39"/>
    </row>
    <row r="46" spans="5:16" ht="21" x14ac:dyDescent="0.2">
      <c r="E46" s="1" t="s">
        <v>110</v>
      </c>
      <c r="F46" s="1">
        <f>((G12/J41)*(0.1*B17/2)+(G13/J42)*(0.1*B18-B28))/(0.85*B8)</f>
        <v>2.1031853451203633</v>
      </c>
      <c r="G46" s="1" t="str">
        <f>IF(F46&lt;=1,"Safe","Unsafe")</f>
        <v>Unsafe</v>
      </c>
      <c r="I46" s="1" t="s">
        <v>111</v>
      </c>
      <c r="J46" s="1">
        <f>B17/B20</f>
        <v>125</v>
      </c>
      <c r="K46" s="1" t="str">
        <f>IF(J46&lt;=110.9/SQRT(B8),"Safe","Unsafe")</f>
        <v>Unsafe</v>
      </c>
      <c r="M46" s="1" t="s">
        <v>112</v>
      </c>
      <c r="N46" s="1"/>
      <c r="O46" s="1" t="s">
        <v>25</v>
      </c>
      <c r="P46" s="1" t="str">
        <f>IF(N46&lt;=(B11/200),"Safe","Unsafe")</f>
        <v>Safe</v>
      </c>
    </row>
    <row r="47" spans="5:16" ht="21" x14ac:dyDescent="0.2">
      <c r="I47" s="1" t="s">
        <v>113</v>
      </c>
      <c r="J47" s="1">
        <f>G14/(0.85*0.6*B8*0.1*B17*0.1*B20)</f>
        <v>3.2807189542483656E-2</v>
      </c>
      <c r="K47" s="1" t="str">
        <f>IF(J47&lt;=1,"Safe","Unsafe")</f>
        <v>Safe</v>
      </c>
    </row>
  </sheetData>
  <mergeCells count="26">
    <mergeCell ref="Y1:Z1"/>
    <mergeCell ref="S2:S3"/>
    <mergeCell ref="T2:X2"/>
    <mergeCell ref="F20:G20"/>
    <mergeCell ref="AA2:AC2"/>
    <mergeCell ref="AD2:AF2"/>
    <mergeCell ref="F6:G6"/>
    <mergeCell ref="J6:K6"/>
    <mergeCell ref="B14:C14"/>
    <mergeCell ref="B7:C7"/>
    <mergeCell ref="N6:O6"/>
    <mergeCell ref="B10:C10"/>
    <mergeCell ref="E45:F45"/>
    <mergeCell ref="I45:J45"/>
    <mergeCell ref="M45:N45"/>
    <mergeCell ref="I31:J31"/>
    <mergeCell ref="F35:G35"/>
    <mergeCell ref="L27:M27"/>
    <mergeCell ref="F27:G27"/>
    <mergeCell ref="F25:G26"/>
    <mergeCell ref="F11:G11"/>
    <mergeCell ref="I40:K40"/>
    <mergeCell ref="O36:P36"/>
    <mergeCell ref="I36:J36"/>
    <mergeCell ref="F17:G18"/>
    <mergeCell ref="J22:L22"/>
  </mergeCells>
  <phoneticPr fontId="1" type="noConversion"/>
  <conditionalFormatting sqref="G46 K46:K47 P46">
    <cfRule type="cellIs" dxfId="4" priority="2" operator="equal">
      <formula>"safe"</formula>
    </cfRule>
  </conditionalFormatting>
  <conditionalFormatting sqref="G46 K46:K47 P46">
    <cfRule type="cellIs" dxfId="3" priority="1" operator="equal">
      <formula>"unsafe"</formula>
    </cfRule>
  </conditionalFormatting>
  <dataValidations count="3">
    <dataValidation type="list" allowBlank="1" showInputMessage="1" showErrorMessage="1" sqref="B7" xr:uid="{16496649-800F-4816-BA94-DA6FE4BE58C3}">
      <formula1>$A$1:$A$3</formula1>
    </dataValidation>
    <dataValidation type="list" allowBlank="1" showInputMessage="1" showErrorMessage="1" sqref="B14" xr:uid="{ADC93D5F-9404-4D51-A554-B932EADCAE77}">
      <formula1>$S$4:$S$23</formula1>
    </dataValidation>
    <dataValidation type="list" allowBlank="1" showInputMessage="1" showErrorMessage="1" sqref="B10" xr:uid="{B839588C-8F9F-4A04-9545-793C6258E107}">
      <formula1>$B$1:$B$3</formula1>
    </dataValidation>
  </dataValidations>
  <pageMargins left="0.7" right="0.7" top="0.75" bottom="0.75" header="0.3" footer="0.3"/>
  <pageSetup paperSize="9" orientation="portrait" r:id="rId1"/>
  <ignoredErrors>
    <ignoredError sqref="P46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01E2-D974-4FDA-A1A6-1F1153D53814}">
  <dimension ref="A1:P46"/>
  <sheetViews>
    <sheetView tabSelected="1" workbookViewId="0">
      <selection activeCell="N22" sqref="N22"/>
    </sheetView>
  </sheetViews>
  <sheetFormatPr defaultRowHeight="19.5" x14ac:dyDescent="0.2"/>
  <cols>
    <col min="1" max="1" width="13" style="2" customWidth="1"/>
    <col min="2" max="2" width="9" style="2"/>
    <col min="3" max="3" width="9.75" style="2" customWidth="1"/>
    <col min="4" max="6" width="9" style="2"/>
    <col min="7" max="7" width="9.5" style="2" customWidth="1"/>
    <col min="8" max="10" width="9" style="2"/>
    <col min="11" max="11" width="8.5" style="2" customWidth="1"/>
    <col min="12" max="12" width="9" style="2"/>
    <col min="13" max="13" width="10" style="2" customWidth="1"/>
    <col min="14" max="15" width="9" style="2"/>
    <col min="16" max="16" width="9.125" style="2" customWidth="1"/>
    <col min="17" max="18" width="9" style="2"/>
    <col min="19" max="19" width="19.5" style="2" customWidth="1"/>
    <col min="20" max="16384" width="9" style="2"/>
  </cols>
  <sheetData>
    <row r="1" spans="1:16" x14ac:dyDescent="0.2">
      <c r="A1" s="2">
        <v>37</v>
      </c>
      <c r="B1" s="2">
        <v>0</v>
      </c>
      <c r="C1" s="2" t="s">
        <v>32</v>
      </c>
      <c r="G1" s="6"/>
    </row>
    <row r="2" spans="1:16" ht="18" customHeight="1" x14ac:dyDescent="0.2">
      <c r="A2" s="2">
        <v>44</v>
      </c>
      <c r="B2" s="2">
        <v>1</v>
      </c>
      <c r="G2" s="6"/>
    </row>
    <row r="3" spans="1:16" x14ac:dyDescent="0.2">
      <c r="A3" s="2">
        <v>52</v>
      </c>
      <c r="B3" s="2">
        <v>2</v>
      </c>
    </row>
    <row r="6" spans="1:16" ht="29.25" customHeight="1" x14ac:dyDescent="0.2">
      <c r="A6" s="56" t="s">
        <v>126</v>
      </c>
      <c r="B6" s="56" t="s">
        <v>0</v>
      </c>
      <c r="C6" s="56" t="s">
        <v>1</v>
      </c>
      <c r="F6" s="46" t="s">
        <v>51</v>
      </c>
      <c r="G6" s="46"/>
      <c r="J6" s="38" t="s">
        <v>52</v>
      </c>
      <c r="K6" s="38"/>
      <c r="L6" s="28"/>
      <c r="N6" s="38" t="s">
        <v>115</v>
      </c>
      <c r="O6" s="38"/>
    </row>
    <row r="7" spans="1:16" ht="21" customHeight="1" x14ac:dyDescent="0.2">
      <c r="A7" s="4" t="s">
        <v>5</v>
      </c>
      <c r="B7" s="36">
        <v>37</v>
      </c>
      <c r="C7" s="37"/>
      <c r="F7" s="1" t="s">
        <v>54</v>
      </c>
      <c r="G7" s="1">
        <f>(B14+B13*(B12))*10^-5</f>
        <v>9.1500000000000001E-3</v>
      </c>
      <c r="H7" s="1" t="s">
        <v>55</v>
      </c>
      <c r="J7" s="1" t="s">
        <v>118</v>
      </c>
      <c r="K7" s="1">
        <f>0.1*(B11/4)</f>
        <v>17.5</v>
      </c>
      <c r="L7" s="1" t="s">
        <v>57</v>
      </c>
      <c r="N7" s="1" t="s">
        <v>120</v>
      </c>
      <c r="O7" s="5">
        <v>0.8</v>
      </c>
      <c r="P7" s="1" t="s">
        <v>89</v>
      </c>
    </row>
    <row r="8" spans="1:16" ht="21.75" x14ac:dyDescent="0.2">
      <c r="A8" s="4" t="s">
        <v>3</v>
      </c>
      <c r="B8" s="1">
        <f>IF(B7=A1,2.4,IF(B7=A2,2.8,3.6))</f>
        <v>2.4</v>
      </c>
      <c r="C8" s="1" t="s">
        <v>2</v>
      </c>
      <c r="F8" s="1" t="s">
        <v>116</v>
      </c>
      <c r="G8" s="1">
        <f>G7*((B11)^2/8)</f>
        <v>560.4375</v>
      </c>
      <c r="H8" s="1" t="s">
        <v>57</v>
      </c>
      <c r="J8" s="1" t="s">
        <v>119</v>
      </c>
      <c r="K8" s="1">
        <f>(0.1/2)</f>
        <v>0.05</v>
      </c>
      <c r="L8" s="1" t="s">
        <v>60</v>
      </c>
      <c r="N8" s="1" t="s">
        <v>121</v>
      </c>
      <c r="O8" s="5">
        <v>1</v>
      </c>
      <c r="P8" s="1" t="s">
        <v>89</v>
      </c>
    </row>
    <row r="9" spans="1:16" ht="21.75" x14ac:dyDescent="0.2">
      <c r="A9" s="4" t="s">
        <v>4</v>
      </c>
      <c r="B9" s="1">
        <f>IF(B7=A1,3.6,IF(B7=A2,4.4,5.2))</f>
        <v>3.6</v>
      </c>
      <c r="C9" s="1" t="s">
        <v>2</v>
      </c>
      <c r="F9" s="1" t="s">
        <v>117</v>
      </c>
      <c r="G9" s="1">
        <f>G7*(B11/2)</f>
        <v>3.2025000000000001</v>
      </c>
      <c r="H9" s="1" t="s">
        <v>60</v>
      </c>
      <c r="N9" s="1" t="s">
        <v>122</v>
      </c>
      <c r="O9" s="5">
        <v>68</v>
      </c>
      <c r="P9" s="1" t="s">
        <v>125</v>
      </c>
    </row>
    <row r="10" spans="1:16" ht="21" x14ac:dyDescent="0.2">
      <c r="A10" s="4" t="s">
        <v>6</v>
      </c>
      <c r="B10" s="36">
        <v>1</v>
      </c>
      <c r="C10" s="37"/>
      <c r="N10" s="1" t="s">
        <v>123</v>
      </c>
      <c r="O10" s="1">
        <f>O7*O8*O9*(10^-7)*B12</f>
        <v>8.160000000000001E-4</v>
      </c>
      <c r="P10" s="1" t="s">
        <v>55</v>
      </c>
    </row>
    <row r="11" spans="1:16" ht="21" x14ac:dyDescent="0.2">
      <c r="A11" s="4" t="s">
        <v>7</v>
      </c>
      <c r="B11" s="5">
        <v>700</v>
      </c>
      <c r="C11" s="1" t="s">
        <v>25</v>
      </c>
      <c r="F11" s="46" t="s">
        <v>68</v>
      </c>
      <c r="G11" s="46"/>
      <c r="N11" s="1" t="s">
        <v>124</v>
      </c>
      <c r="O11" s="1">
        <f>(O10*(B11)^2)/8</f>
        <v>49.980000000000004</v>
      </c>
      <c r="P11" s="1" t="s">
        <v>57</v>
      </c>
    </row>
    <row r="12" spans="1:16" ht="21" x14ac:dyDescent="0.2">
      <c r="A12" s="4" t="s">
        <v>8</v>
      </c>
      <c r="B12" s="5">
        <v>150</v>
      </c>
      <c r="C12" s="1" t="s">
        <v>25</v>
      </c>
      <c r="F12" s="1" t="s">
        <v>70</v>
      </c>
      <c r="G12" s="22">
        <f>1.3*O11</f>
        <v>64.974000000000004</v>
      </c>
      <c r="H12" s="1" t="s">
        <v>57</v>
      </c>
      <c r="N12" s="1" t="s">
        <v>130</v>
      </c>
      <c r="O12" s="1">
        <f>O10*(0.5*B11)</f>
        <v>0.28560000000000002</v>
      </c>
      <c r="P12" s="1" t="s">
        <v>60</v>
      </c>
    </row>
    <row r="13" spans="1:16" ht="21.75" x14ac:dyDescent="0.2">
      <c r="A13" s="4" t="s">
        <v>127</v>
      </c>
      <c r="B13" s="5">
        <v>6</v>
      </c>
      <c r="C13" s="1" t="s">
        <v>26</v>
      </c>
      <c r="F13" s="1" t="s">
        <v>72</v>
      </c>
      <c r="G13" s="22">
        <f>IF(B10=B1,1.2*G8+1.6*K7,IF(B10=B2,1.2*(0.25*G8)+1.6*(0.5*K7),IF(B10=B3,1.2*((1/9)*G8)+1.6*((1/3)*K7))))</f>
        <v>182.13124999999999</v>
      </c>
      <c r="H13" s="1" t="s">
        <v>57</v>
      </c>
    </row>
    <row r="14" spans="1:16" ht="21" x14ac:dyDescent="0.2">
      <c r="A14" s="4" t="s">
        <v>11</v>
      </c>
      <c r="B14" s="5">
        <v>15</v>
      </c>
      <c r="C14" s="1" t="s">
        <v>27</v>
      </c>
      <c r="F14" s="1" t="s">
        <v>74</v>
      </c>
      <c r="G14" s="22">
        <f>1.3*O12</f>
        <v>0.37128000000000005</v>
      </c>
      <c r="H14" s="1" t="s">
        <v>60</v>
      </c>
    </row>
    <row r="15" spans="1:16" x14ac:dyDescent="0.2">
      <c r="A15" s="3" t="s">
        <v>13</v>
      </c>
      <c r="B15" s="5">
        <v>30</v>
      </c>
      <c r="C15" s="1" t="s">
        <v>25</v>
      </c>
    </row>
    <row r="16" spans="1:16" x14ac:dyDescent="0.2">
      <c r="A16" s="3" t="s">
        <v>14</v>
      </c>
      <c r="B16" s="5">
        <v>18</v>
      </c>
      <c r="C16" s="1" t="s">
        <v>25</v>
      </c>
    </row>
    <row r="17" spans="1:16" x14ac:dyDescent="0.2">
      <c r="A17" s="3" t="s">
        <v>15</v>
      </c>
      <c r="B17" s="5">
        <v>10</v>
      </c>
      <c r="C17" s="1" t="s">
        <v>25</v>
      </c>
      <c r="F17" s="33" t="s">
        <v>78</v>
      </c>
      <c r="G17" s="33"/>
    </row>
    <row r="18" spans="1:16" x14ac:dyDescent="0.2">
      <c r="A18" s="3" t="s">
        <v>16</v>
      </c>
      <c r="B18" s="5">
        <v>0.4</v>
      </c>
      <c r="C18" s="1" t="s">
        <v>25</v>
      </c>
      <c r="F18" s="33"/>
      <c r="G18" s="33"/>
    </row>
    <row r="19" spans="1:16" x14ac:dyDescent="0.2">
      <c r="A19" s="3" t="s">
        <v>17</v>
      </c>
      <c r="B19" s="5">
        <v>0.6</v>
      </c>
      <c r="C19" s="1" t="s">
        <v>25</v>
      </c>
    </row>
    <row r="20" spans="1:16" x14ac:dyDescent="0.2">
      <c r="A20" s="4" t="s">
        <v>37</v>
      </c>
      <c r="B20" s="1">
        <f>B15-2*B18-2*B19</f>
        <v>28</v>
      </c>
      <c r="C20" s="1" t="s">
        <v>25</v>
      </c>
      <c r="F20" s="46" t="s">
        <v>80</v>
      </c>
      <c r="G20" s="46"/>
    </row>
    <row r="21" spans="1:16" x14ac:dyDescent="0.2">
      <c r="A21" s="4" t="s">
        <v>38</v>
      </c>
      <c r="B21" s="1">
        <f>B16-2*B18-2*B19</f>
        <v>16</v>
      </c>
      <c r="C21" s="1" t="s">
        <v>25</v>
      </c>
      <c r="F21" s="22" t="s">
        <v>81</v>
      </c>
      <c r="G21" s="1">
        <f>B20/B18</f>
        <v>70</v>
      </c>
      <c r="H21" s="1" t="str">
        <f>IF(G21&lt;=200,"Ok")</f>
        <v>Ok</v>
      </c>
    </row>
    <row r="22" spans="1:16" x14ac:dyDescent="0.2">
      <c r="A22" s="4" t="s">
        <v>39</v>
      </c>
      <c r="B22" s="1">
        <f>B17-B18-B19</f>
        <v>9</v>
      </c>
      <c r="C22" s="1" t="s">
        <v>25</v>
      </c>
      <c r="F22" s="22" t="s">
        <v>83</v>
      </c>
      <c r="G22" s="1">
        <f>B21/B18</f>
        <v>40</v>
      </c>
      <c r="H22" s="1" t="str">
        <f>IF(G22&lt;=40,"Ok")</f>
        <v>Ok</v>
      </c>
      <c r="I22" s="1" t="s">
        <v>82</v>
      </c>
      <c r="J22" s="34" t="str">
        <f>IF(AND(H21=C1,H22=C1,H23=C1),"The Section satisfies Code Limits")</f>
        <v>The Section satisfies Code Limits</v>
      </c>
      <c r="K22" s="35"/>
      <c r="L22" s="35"/>
    </row>
    <row r="23" spans="1:16" x14ac:dyDescent="0.2">
      <c r="A23" s="4" t="s">
        <v>128</v>
      </c>
      <c r="B23" s="1">
        <f>B19+0.5*B18</f>
        <v>0.8</v>
      </c>
      <c r="C23" s="1" t="s">
        <v>25</v>
      </c>
      <c r="F23" s="1" t="s">
        <v>84</v>
      </c>
      <c r="G23" s="1">
        <f>B22/B18</f>
        <v>22.5</v>
      </c>
      <c r="H23" s="1" t="str">
        <f>IF(G23&lt;=40,"Ok")</f>
        <v>Ok</v>
      </c>
    </row>
    <row r="24" spans="1:16" ht="20.25" thickBot="1" x14ac:dyDescent="0.25">
      <c r="A24" s="4" t="s">
        <v>129</v>
      </c>
      <c r="B24" s="1">
        <f>0.637*B23</f>
        <v>0.50960000000000005</v>
      </c>
      <c r="C24" s="1" t="s">
        <v>25</v>
      </c>
    </row>
    <row r="25" spans="1:16" ht="21.75" x14ac:dyDescent="0.2">
      <c r="A25" s="3" t="s">
        <v>12</v>
      </c>
      <c r="B25" s="1">
        <f>B20*B18+2*B21*B18+2*B22*B18+4*1.57*B23*B18</f>
        <v>33.209600000000002</v>
      </c>
      <c r="C25" s="1" t="s">
        <v>28</v>
      </c>
      <c r="F25" s="43" t="s">
        <v>85</v>
      </c>
      <c r="G25" s="44"/>
      <c r="H25" s="15"/>
      <c r="I25" s="15"/>
      <c r="J25" s="15"/>
      <c r="K25" s="15"/>
      <c r="L25" s="15"/>
      <c r="M25" s="15"/>
      <c r="N25" s="15"/>
      <c r="O25" s="15"/>
      <c r="P25" s="16"/>
    </row>
    <row r="26" spans="1:16" ht="21.75" x14ac:dyDescent="0.2">
      <c r="A26" s="3" t="s">
        <v>18</v>
      </c>
      <c r="B26" s="1">
        <f>(B18*(B20^3))/12+2*(B21*B18*(0.5*B20-0.5*B18)^2)+2*((B18*(B22)^3)/12+B22*B18*(0.5*B20-0.5*B22)^2)+4*(0.149*(B23)^3*B18+1.57*B23*B18*(0.5*B22+B24)^2)</f>
        <v>3918.3205009380704</v>
      </c>
      <c r="C26" s="1" t="s">
        <v>30</v>
      </c>
      <c r="F26" s="45"/>
      <c r="G26" s="46"/>
      <c r="P26" s="17"/>
    </row>
    <row r="27" spans="1:16" ht="21.75" x14ac:dyDescent="0.2">
      <c r="A27" s="3" t="s">
        <v>19</v>
      </c>
      <c r="B27" s="1">
        <f>B26/(0.5*B15)</f>
        <v>261.2213667292047</v>
      </c>
      <c r="C27" s="1" t="s">
        <v>31</v>
      </c>
      <c r="F27" s="40" t="s">
        <v>86</v>
      </c>
      <c r="G27" s="41"/>
      <c r="L27" s="42" t="s">
        <v>87</v>
      </c>
      <c r="M27" s="41"/>
      <c r="P27" s="17"/>
    </row>
    <row r="28" spans="1:16" ht="21" x14ac:dyDescent="0.2">
      <c r="A28" s="3" t="s">
        <v>20</v>
      </c>
      <c r="B28" s="1">
        <f>SQRT(B26/B25)</f>
        <v>10.862209026871662</v>
      </c>
      <c r="C28" s="1" t="s">
        <v>25</v>
      </c>
      <c r="F28" s="18" t="s">
        <v>88</v>
      </c>
      <c r="G28" s="5">
        <v>-1</v>
      </c>
      <c r="H28" s="1" t="s">
        <v>89</v>
      </c>
      <c r="L28" s="1" t="s">
        <v>88</v>
      </c>
      <c r="M28" s="5">
        <v>1</v>
      </c>
      <c r="N28" s="1" t="s">
        <v>89</v>
      </c>
      <c r="P28" s="17"/>
    </row>
    <row r="29" spans="1:16" x14ac:dyDescent="0.2">
      <c r="A29" s="4" t="s">
        <v>24</v>
      </c>
      <c r="B29" s="1">
        <f>(1/B25)*(2*B22*B18*(B16-0.5*B18)+2*(B21*B18*0.5*B16)+B20*B18*0.5*B18+2*(1.57*B23*B18*(B19+B18-B24))+2*(1.57*B23*B18*(B16-(B19+B18-B24))))</f>
        <v>7.9400655232222022</v>
      </c>
      <c r="C29" s="1" t="s">
        <v>25</v>
      </c>
      <c r="F29" s="18" t="s">
        <v>90</v>
      </c>
      <c r="G29" s="5">
        <v>23.9</v>
      </c>
      <c r="H29" s="1" t="s">
        <v>89</v>
      </c>
      <c r="L29" s="1" t="s">
        <v>91</v>
      </c>
      <c r="M29" s="1">
        <f>1.28*SQRT(2100/B8)</f>
        <v>37.862910611837542</v>
      </c>
      <c r="N29" s="1" t="s">
        <v>89</v>
      </c>
      <c r="P29" s="17"/>
    </row>
    <row r="30" spans="1:16" ht="21.75" x14ac:dyDescent="0.2">
      <c r="A30" s="3" t="s">
        <v>21</v>
      </c>
      <c r="B30" s="1">
        <f>2*((B18*(B21)^3)/12+B21*B18*(0.5*B16-B29)^2)+B22*B18*(B29-0.5*B18)^2+2*B22*B18*(B16-B29-0.5*B18)^2</f>
        <v>1203.0897969587766</v>
      </c>
      <c r="C30" s="1" t="s">
        <v>30</v>
      </c>
      <c r="F30" s="18" t="s">
        <v>92</v>
      </c>
      <c r="G30" s="1">
        <f>((B20/B18)/44)*SQRT(B8/G29)</f>
        <v>0.50414101788258048</v>
      </c>
      <c r="H30" s="1" t="s">
        <v>89</v>
      </c>
      <c r="L30" s="1" t="s">
        <v>93</v>
      </c>
      <c r="M30" s="1">
        <f>B21/B18</f>
        <v>40</v>
      </c>
      <c r="N30" s="1" t="s">
        <v>89</v>
      </c>
      <c r="P30" s="17"/>
    </row>
    <row r="31" spans="1:16" ht="21.75" x14ac:dyDescent="0.2">
      <c r="A31" s="3" t="s">
        <v>22</v>
      </c>
      <c r="B31" s="1">
        <f>B30/(B16-B29)</f>
        <v>119.59221004231897</v>
      </c>
      <c r="C31" s="1" t="s">
        <v>31</v>
      </c>
      <c r="F31" s="23" t="s">
        <v>94</v>
      </c>
      <c r="G31" s="1">
        <f>(G30-0.15-0.05*G28)/(G30)^2</f>
        <v>1.590116203557326</v>
      </c>
      <c r="H31" s="1" t="s">
        <v>89</v>
      </c>
      <c r="I31" s="30" t="str">
        <f>IF(G31&gt;=1,"Fully Effective","Partially Effective")</f>
        <v>Fully Effective</v>
      </c>
      <c r="J31" s="32"/>
      <c r="L31" s="1" t="s">
        <v>95</v>
      </c>
      <c r="M31" s="1">
        <f>B17/B21</f>
        <v>0.625</v>
      </c>
      <c r="N31" s="1" t="s">
        <v>89</v>
      </c>
      <c r="P31" s="17"/>
    </row>
    <row r="32" spans="1:16" ht="21.75" x14ac:dyDescent="0.2">
      <c r="A32" s="3" t="s">
        <v>23</v>
      </c>
      <c r="B32" s="1">
        <f>SQRT(B30/B25)</f>
        <v>6.0189009927633608</v>
      </c>
      <c r="C32" s="1" t="s">
        <v>25</v>
      </c>
      <c r="F32" s="18" t="s">
        <v>96</v>
      </c>
      <c r="G32" s="1">
        <f>IF(G31&lt;=1,G31*B20,B20)</f>
        <v>28</v>
      </c>
      <c r="H32" s="1" t="s">
        <v>25</v>
      </c>
      <c r="L32" s="1" t="s">
        <v>97</v>
      </c>
      <c r="M32" s="1">
        <f>IF(AND(M30&lt;=(M29/3),M31&lt;=0.25),0,IF(AND(M30&gt;(M29/3),M30&lt;M29),399*(((M30/M29)-0.33)^3*(10*B18)^4),IF(M30&gt;=M29,(115*(M30/M29)+5)*(10*B18)^4)))</f>
        <v>32381.676574009412</v>
      </c>
      <c r="N32" s="1" t="s">
        <v>98</v>
      </c>
      <c r="P32" s="17"/>
    </row>
    <row r="33" spans="5:16" ht="21.75" x14ac:dyDescent="0.2">
      <c r="F33" s="18" t="s">
        <v>99</v>
      </c>
      <c r="G33" s="1">
        <f>B20-G32</f>
        <v>0</v>
      </c>
      <c r="H33" s="1" t="s">
        <v>25</v>
      </c>
      <c r="L33" s="1" t="s">
        <v>100</v>
      </c>
      <c r="M33" s="1">
        <f>(10*B18*(10*B22)^3)/12</f>
        <v>243000</v>
      </c>
      <c r="N33" s="1" t="s">
        <v>98</v>
      </c>
      <c r="P33" s="17"/>
    </row>
    <row r="34" spans="5:16" x14ac:dyDescent="0.2">
      <c r="F34" s="24"/>
      <c r="L34" s="1" t="s">
        <v>90</v>
      </c>
      <c r="M34" s="1">
        <f>IF(AND(M30&gt;(M29/3),M30&lt;M29,M31&lt;=0.25),MIN(3.57*SQRT(M33/M32)+0.43,4),IF(AND(M30&gt;(M29/3),M30&lt;M29,M31&gt;0.25,M31&lt;=0.8),MIN((4.82-5*M31)*SQRT(M33/M32)+0.43,5.25-5*M31),IF(AND(M30&gt;=M29,M31&lt;=0.25),MIN(3.57*((M33/M32)^1/3)+0.43,4),IF(AND(M30&gt;=M29,M31&gt;0.25,M31&lt;=0.8),MIN((4.82-5*M31)*((M33/M32)^1/3)+0.43,5.25-5*M31)))))</f>
        <v>2.125</v>
      </c>
      <c r="N34" s="1" t="s">
        <v>89</v>
      </c>
      <c r="P34" s="17"/>
    </row>
    <row r="35" spans="5:16" ht="21" x14ac:dyDescent="0.2">
      <c r="F35" s="40" t="s">
        <v>101</v>
      </c>
      <c r="G35" s="41"/>
      <c r="L35" s="1" t="s">
        <v>92</v>
      </c>
      <c r="M35" s="1">
        <f>((B21/B18)/44)*SQRT(B8/M34)</f>
        <v>0.96612532968010389</v>
      </c>
      <c r="N35" s="1" t="s">
        <v>89</v>
      </c>
      <c r="P35" s="17"/>
    </row>
    <row r="36" spans="5:16" x14ac:dyDescent="0.2">
      <c r="F36" s="23" t="s">
        <v>94</v>
      </c>
      <c r="G36" s="5">
        <v>1</v>
      </c>
      <c r="H36" s="1" t="s">
        <v>89</v>
      </c>
      <c r="I36" s="30" t="str">
        <f>IF(G36&gt;=1,"Fully Effective","Partially Effective")</f>
        <v>Fully Effective</v>
      </c>
      <c r="J36" s="32"/>
      <c r="L36" s="25" t="s">
        <v>94</v>
      </c>
      <c r="M36" s="1">
        <f>(M35-0.15-0.05*M28)/(M35)^2</f>
        <v>0.820791564141653</v>
      </c>
      <c r="N36" s="1" t="s">
        <v>89</v>
      </c>
      <c r="O36" s="30" t="str">
        <f>IF(M36&gt;=1,"Fully Effective","Partially Effective")</f>
        <v>Partially Effective</v>
      </c>
      <c r="P36" s="31"/>
    </row>
    <row r="37" spans="5:16" ht="21" x14ac:dyDescent="0.2">
      <c r="F37" s="18" t="s">
        <v>102</v>
      </c>
      <c r="G37" s="1">
        <f>G36*(B17-B18-B19)</f>
        <v>9</v>
      </c>
      <c r="H37" s="1" t="s">
        <v>29</v>
      </c>
      <c r="L37" s="1" t="s">
        <v>103</v>
      </c>
      <c r="M37" s="1">
        <f>IF(M36&lt;=1,M36*B21,B21)</f>
        <v>13.132665026266448</v>
      </c>
      <c r="N37" s="1" t="s">
        <v>25</v>
      </c>
      <c r="P37" s="17"/>
    </row>
    <row r="38" spans="5:16" x14ac:dyDescent="0.2">
      <c r="F38" s="24"/>
      <c r="L38" s="1" t="s">
        <v>99</v>
      </c>
      <c r="M38" s="1">
        <f>B21-M37</f>
        <v>2.8673349737335521</v>
      </c>
      <c r="N38" s="1" t="s">
        <v>25</v>
      </c>
      <c r="P38" s="17"/>
    </row>
    <row r="39" spans="5:16" x14ac:dyDescent="0.2">
      <c r="F39" s="24"/>
      <c r="P39" s="17"/>
    </row>
    <row r="40" spans="5:16" x14ac:dyDescent="0.2">
      <c r="F40" s="24"/>
      <c r="I40" s="29" t="s">
        <v>104</v>
      </c>
      <c r="J40" s="29"/>
      <c r="K40" s="29"/>
      <c r="P40" s="17"/>
    </row>
    <row r="41" spans="5:16" ht="21.75" x14ac:dyDescent="0.2">
      <c r="F41" s="24"/>
      <c r="I41" s="1" t="s">
        <v>105</v>
      </c>
      <c r="J41" s="1">
        <f>B26-((M38*B18)*((B15/2)-(B18/2))^2)</f>
        <v>3667.0960798794313</v>
      </c>
      <c r="K41" s="1" t="s">
        <v>30</v>
      </c>
      <c r="P41" s="17"/>
    </row>
    <row r="42" spans="5:16" ht="22.5" thickBot="1" x14ac:dyDescent="0.25">
      <c r="F42" s="19"/>
      <c r="G42" s="20"/>
      <c r="H42" s="20"/>
      <c r="I42" s="21" t="s">
        <v>106</v>
      </c>
      <c r="J42" s="21">
        <f>B30-((M38*B18)*(B16-B29-0.5*M38)^2)</f>
        <v>1117.743591902552</v>
      </c>
      <c r="K42" s="21" t="s">
        <v>30</v>
      </c>
      <c r="L42" s="20"/>
      <c r="M42" s="20"/>
      <c r="N42" s="20"/>
      <c r="O42" s="20"/>
      <c r="P42" s="26"/>
    </row>
    <row r="45" spans="5:16" x14ac:dyDescent="0.2">
      <c r="E45" s="39" t="s">
        <v>107</v>
      </c>
      <c r="F45" s="39"/>
      <c r="I45" s="39" t="s">
        <v>108</v>
      </c>
      <c r="J45" s="39"/>
      <c r="M45" s="39" t="s">
        <v>109</v>
      </c>
      <c r="N45" s="39"/>
    </row>
    <row r="46" spans="5:16" ht="21" x14ac:dyDescent="0.2">
      <c r="E46" s="1" t="s">
        <v>110</v>
      </c>
      <c r="F46" s="1">
        <f>((G12/J41)*(B15/2)+(G13/J42)*(B16-B29))/(0.85*B8)</f>
        <v>0.93381975942773032</v>
      </c>
      <c r="G46" s="1" t="str">
        <f>IF(F46&lt;=1,"Safe","Unsafe")</f>
        <v>Safe</v>
      </c>
      <c r="I46" s="1" t="s">
        <v>113</v>
      </c>
      <c r="J46" s="1">
        <f>G14/(0.85*0.6*B7*0.1*B15*0.1*B18)</f>
        <v>0.16396396396396395</v>
      </c>
      <c r="K46" s="1" t="str">
        <f>IF(J46&lt;=1,"Safe","Unsafe")</f>
        <v>Safe</v>
      </c>
      <c r="M46" s="1" t="s">
        <v>112</v>
      </c>
      <c r="N46" s="1">
        <f>(1/48)*((0.1*(B11^3))/(2100*J41))</f>
        <v>9.2792163162784005E-2</v>
      </c>
      <c r="O46" s="1" t="s">
        <v>25</v>
      </c>
      <c r="P46" s="1" t="str">
        <f>IF(N46&lt;=(B11/200),"Safe","Unsafe")</f>
        <v>Safe</v>
      </c>
    </row>
  </sheetData>
  <mergeCells count="20">
    <mergeCell ref="I36:J36"/>
    <mergeCell ref="O36:P36"/>
    <mergeCell ref="I40:K40"/>
    <mergeCell ref="E45:F45"/>
    <mergeCell ref="I45:J45"/>
    <mergeCell ref="M45:N45"/>
    <mergeCell ref="J22:L22"/>
    <mergeCell ref="F25:G26"/>
    <mergeCell ref="F27:G27"/>
    <mergeCell ref="L27:M27"/>
    <mergeCell ref="I31:J31"/>
    <mergeCell ref="F35:G35"/>
    <mergeCell ref="F11:G11"/>
    <mergeCell ref="F17:G18"/>
    <mergeCell ref="F20:G20"/>
    <mergeCell ref="B7:C7"/>
    <mergeCell ref="B10:C10"/>
    <mergeCell ref="F6:G6"/>
    <mergeCell ref="J6:K6"/>
    <mergeCell ref="N6:O6"/>
  </mergeCells>
  <conditionalFormatting sqref="G46 P46 K46">
    <cfRule type="cellIs" dxfId="2" priority="3" operator="equal">
      <formula>"safe"</formula>
    </cfRule>
  </conditionalFormatting>
  <conditionalFormatting sqref="G46 P46 K46">
    <cfRule type="cellIs" dxfId="1" priority="2" operator="equal">
      <formula>"unsafe"</formula>
    </cfRule>
  </conditionalFormatting>
  <conditionalFormatting sqref="J22:L22">
    <cfRule type="cellIs" dxfId="0" priority="1" operator="equal">
      <formula>FALSE</formula>
    </cfRule>
  </conditionalFormatting>
  <dataValidations count="2">
    <dataValidation type="list" allowBlank="1" showInputMessage="1" showErrorMessage="1" sqref="B10:C10" xr:uid="{52DD1101-F1A8-447C-B0C6-E0264B28C2CE}">
      <formula1>$B$1:$B$3</formula1>
    </dataValidation>
    <dataValidation type="list" allowBlank="1" showInputMessage="1" showErrorMessage="1" sqref="B7:C7" xr:uid="{0AC2B591-AF55-438A-870E-14D938838E09}">
      <formula1>$A$1:$A$3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Stiffened C </vt:lpstr>
      <vt:lpstr>B.U.S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2019-12-20T14:40:35Z</dcterms:created>
  <dcterms:modified xsi:type="dcterms:W3CDTF">2020-02-02T12:53:37Z</dcterms:modified>
</cp:coreProperties>
</file>