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30B8A922-C30B-4C50-928F-1DACD7328B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-EGL4_CONN" sheetId="2" r:id="rId1"/>
  </sheets>
  <externalReferences>
    <externalReference r:id="rId2"/>
  </externalReferences>
  <definedNames>
    <definedName name="bolt2" localSheetId="0">'C-EGL4_CONN'!$P$173:$X$181</definedName>
    <definedName name="bolt2">'[1]R-c Right'!$P$173:$X$181</definedName>
    <definedName name="bolts" localSheetId="0">'C-EGL4_CONN'!$H$173:$K$181</definedName>
    <definedName name="bolts">'[1]R-c Right'!$H$173:$K$181</definedName>
    <definedName name="grade" localSheetId="0">'C-EGL4_CONN'!$P$186:$S$193</definedName>
    <definedName name="grade">'[1]R-c Right'!$P$186:$S$193</definedName>
    <definedName name="HEB" localSheetId="0">'C-EGL4_CONN'!$E$141:$Z$167</definedName>
    <definedName name="_xlnm.Print_Area" localSheetId="0">'C-EGL4_CONN'!$B$1:$AA$67</definedName>
    <definedName name="table" localSheetId="0">'C-EGL4_CONN'!$D$106:$X$126</definedName>
    <definedName name="table2" localSheetId="0">'C-EGL4_CONN'!$D$106:$Y$126</definedName>
    <definedName name="table3" localSheetId="0">'C-EGL4_CONN'!$D$106:$Z$126</definedName>
    <definedName name="y" localSheetId="0">'C-EGL4_CONN'!$D$174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2" l="1"/>
  <c r="L66" i="2" s="1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I48" i="2"/>
  <c r="N47" i="2"/>
  <c r="J47" i="2"/>
  <c r="F47" i="2"/>
  <c r="U31" i="2"/>
  <c r="T31" i="2"/>
  <c r="R31" i="2"/>
  <c r="P31" i="2"/>
  <c r="N31" i="2"/>
  <c r="M31" i="2"/>
  <c r="E31" i="2"/>
  <c r="D31" i="2"/>
  <c r="M26" i="2"/>
  <c r="K26" i="2"/>
  <c r="D21" i="2"/>
  <c r="Q17" i="2"/>
  <c r="O17" i="2"/>
  <c r="K59" i="2" s="1"/>
  <c r="N17" i="2"/>
  <c r="D63" i="2" s="1"/>
  <c r="F17" i="2"/>
  <c r="G17" i="2" s="1"/>
  <c r="E17" i="2"/>
  <c r="H67" i="2" s="1"/>
  <c r="H12" i="2"/>
  <c r="F59" i="2" s="1"/>
  <c r="G12" i="2"/>
  <c r="F12" i="2"/>
  <c r="E12" i="2"/>
  <c r="Q12" i="2" s="1"/>
  <c r="Q8" i="2"/>
  <c r="P8" i="2"/>
  <c r="O8" i="2"/>
  <c r="M8" i="2"/>
  <c r="N36" i="2" s="1"/>
  <c r="O5" i="2"/>
  <c r="P17" i="2" s="1"/>
  <c r="E67" i="2" s="1"/>
  <c r="G5" i="2"/>
  <c r="D17" i="2" s="1"/>
  <c r="C5" i="2"/>
  <c r="T12" i="2" s="1"/>
  <c r="O13" i="2" s="1"/>
  <c r="C4" i="2"/>
  <c r="F67" i="2" s="1"/>
  <c r="D12" i="2" l="1"/>
  <c r="E59" i="2" s="1"/>
  <c r="G59" i="2" s="1"/>
  <c r="H59" i="2" s="1"/>
  <c r="Q13" i="2"/>
  <c r="J26" i="2"/>
  <c r="F48" i="2"/>
  <c r="J48" i="2"/>
  <c r="I49" i="2" s="1"/>
  <c r="N48" i="2"/>
  <c r="N26" i="2"/>
  <c r="V31" i="2"/>
  <c r="S31" i="2"/>
  <c r="J42" i="2"/>
  <c r="K63" i="2"/>
  <c r="O31" i="2"/>
  <c r="J17" i="2"/>
  <c r="G67" i="2"/>
  <c r="I67" i="2" s="1"/>
  <c r="J67" i="2" s="1"/>
  <c r="I17" i="2"/>
  <c r="F31" i="2" s="1"/>
  <c r="R42" i="2"/>
  <c r="J36" i="2"/>
  <c r="J59" i="2"/>
  <c r="M59" i="2" s="1"/>
  <c r="N59" i="2"/>
  <c r="G63" i="2"/>
  <c r="D67" i="2"/>
  <c r="K12" i="2"/>
  <c r="F26" i="2"/>
  <c r="F42" i="2"/>
  <c r="N42" i="2"/>
  <c r="F36" i="2"/>
  <c r="E63" i="2"/>
  <c r="L12" i="2" l="1"/>
  <c r="P12" i="2" s="1"/>
  <c r="P13" i="2" s="1"/>
  <c r="F63" i="2"/>
  <c r="H63" i="2"/>
  <c r="I63" i="2" s="1"/>
  <c r="L63" i="2"/>
  <c r="H26" i="2"/>
  <c r="L31" i="2"/>
  <c r="D26" i="2"/>
  <c r="L17" i="2"/>
  <c r="W21" i="2"/>
  <c r="H31" i="2"/>
  <c r="W34" i="2" s="1"/>
  <c r="G31" i="2"/>
  <c r="E42" i="2" l="1"/>
  <c r="E43" i="2" s="1"/>
  <c r="Q48" i="2"/>
  <c r="R12" i="2"/>
  <c r="S12" i="2" s="1"/>
  <c r="S13" i="2" s="1"/>
  <c r="M62" i="2"/>
  <c r="P63" i="2" s="1"/>
  <c r="X34" i="2"/>
  <c r="D48" i="2" s="1"/>
  <c r="E48" i="2"/>
  <c r="E49" i="2" s="1"/>
  <c r="H28" i="2"/>
  <c r="J31" i="2"/>
  <c r="I31" i="2"/>
  <c r="K31" i="2" s="1"/>
  <c r="Q42" i="2"/>
  <c r="Q36" i="2"/>
  <c r="Q54" i="2"/>
  <c r="E36" i="2"/>
  <c r="D27" i="2"/>
  <c r="M17" i="2"/>
  <c r="R13" i="2" l="1"/>
  <c r="D42" i="2"/>
  <c r="I42" i="2" s="1"/>
  <c r="I43" i="2" s="1"/>
  <c r="M48" i="2"/>
  <c r="M49" i="2" s="1"/>
  <c r="D49" i="2"/>
  <c r="S63" i="2"/>
  <c r="O63" i="2"/>
  <c r="Q63" i="2" s="1"/>
  <c r="L59" i="2"/>
  <c r="O59" i="2" s="1"/>
  <c r="P58" i="2" s="1"/>
  <c r="L26" i="2"/>
  <c r="O26" i="2" s="1"/>
  <c r="K28" i="2" s="1"/>
  <c r="Q31" i="2"/>
  <c r="D36" i="2"/>
  <c r="I36" i="2" s="1"/>
  <c r="E37" i="2"/>
  <c r="S36" i="2"/>
  <c r="S48" i="2"/>
  <c r="R48" i="2" s="1"/>
  <c r="R36" i="2" l="1"/>
  <c r="Q49" i="2" s="1"/>
  <c r="D43" i="2"/>
  <c r="M42" i="2"/>
  <c r="M43" i="2" s="1"/>
  <c r="S17" i="2"/>
  <c r="R17" i="2"/>
  <c r="I37" i="2"/>
  <c r="R54" i="2"/>
  <c r="Q55" i="2" s="1"/>
  <c r="S42" i="2"/>
  <c r="Q43" i="2" s="1"/>
  <c r="D37" i="2"/>
  <c r="M36" i="2"/>
  <c r="M37" i="2" s="1"/>
  <c r="R59" i="2"/>
  <c r="S59" i="2"/>
  <c r="V59" i="2" s="1"/>
  <c r="T59" i="2" l="1"/>
  <c r="U59" i="2" s="1"/>
  <c r="W59" i="2" s="1"/>
  <c r="Q37" i="2"/>
  <c r="T17" i="2"/>
  <c r="R63" i="2" l="1"/>
  <c r="T63" i="2" s="1"/>
  <c r="Q27" i="2"/>
  <c r="Q26" i="2"/>
  <c r="T21" i="2"/>
  <c r="E26" i="2"/>
  <c r="E27" i="2"/>
  <c r="S21" i="2"/>
  <c r="O21" i="2"/>
  <c r="M21" i="2"/>
  <c r="V21" i="2"/>
  <c r="I21" i="2"/>
  <c r="K21" i="2"/>
  <c r="R21" i="2"/>
  <c r="J21" i="2"/>
  <c r="L21" i="2"/>
  <c r="N21" i="2"/>
  <c r="H21" i="2"/>
  <c r="Q21" i="2"/>
  <c r="P21" i="2"/>
  <c r="D173" i="2"/>
  <c r="F21" i="2"/>
  <c r="G21" i="2"/>
  <c r="U21" i="2"/>
</calcChain>
</file>

<file path=xl/sharedStrings.xml><?xml version="1.0" encoding="utf-8"?>
<sst xmlns="http://schemas.openxmlformats.org/spreadsheetml/2006/main" count="622" uniqueCount="240">
  <si>
    <t>Connection name</t>
  </si>
  <si>
    <t xml:space="preserve">CONNECTION - BUILT UP </t>
  </si>
  <si>
    <t>ST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</si>
  <si>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</si>
  <si>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</si>
  <si>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</si>
  <si>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</si>
  <si>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</si>
  <si>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t>FY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</si>
  <si>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</si>
  <si>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</si>
  <si>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FU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</si>
  <si>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</si>
  <si>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</si>
  <si>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</si>
  <si>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</si>
  <si>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</si>
  <si>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BOLTS</t>
  </si>
  <si>
    <t>bolts</t>
  </si>
  <si>
    <t>pitch</t>
  </si>
  <si>
    <t>Fu bolt</t>
  </si>
  <si>
    <t>grade</t>
  </si>
  <si>
    <t>cat</t>
  </si>
  <si>
    <t>pitch min</t>
  </si>
  <si>
    <t>pitch max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</si>
  <si>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</si>
  <si>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</si>
  <si>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</si>
  <si>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</si>
  <si>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M16</t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</si>
  <si>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</si>
  <si>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</si>
  <si>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</si>
  <si>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</si>
  <si>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</si>
  <si>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</si>
  <si>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</si>
  <si>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</si>
  <si>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(Ruw)</t>
    </r>
    <r>
      <rPr>
        <sz val="11"/>
        <color theme="1"/>
        <rFont val="Calibri"/>
        <family val="2"/>
      </rPr>
      <t>qa</t>
    </r>
  </si>
  <si>
    <r>
      <t>(Ruw)</t>
    </r>
    <r>
      <rPr>
        <sz val="11"/>
        <color theme="1"/>
        <rFont val="Calibri"/>
        <family val="2"/>
      </rPr>
      <t>fa</t>
    </r>
  </si>
  <si>
    <r>
      <t>(Ruw)</t>
    </r>
    <r>
      <rPr>
        <sz val="11"/>
        <color theme="1"/>
        <rFont val="Calibri"/>
        <family val="2"/>
      </rPr>
      <t>qb</t>
    </r>
  </si>
  <si>
    <r>
      <t>(Ruw)</t>
    </r>
    <r>
      <rPr>
        <sz val="11"/>
        <color theme="1"/>
        <rFont val="Calibri"/>
        <family val="2"/>
      </rPr>
      <t>fb</t>
    </r>
  </si>
  <si>
    <r>
      <rPr>
        <b/>
        <sz val="10"/>
        <color theme="1"/>
        <rFont val="Franklin Gothic Demi Cond"/>
        <family val="2"/>
      </rPr>
      <t>Ruw</t>
    </r>
    <r>
      <rPr>
        <sz val="8"/>
        <color theme="1"/>
        <rFont val="Franklin Gothic Demi Cond"/>
        <family val="2"/>
      </rPr>
      <t>(</t>
    </r>
    <r>
      <rPr>
        <sz val="9"/>
        <color theme="1"/>
        <rFont val="Calibri"/>
        <family val="2"/>
      </rPr>
      <t>combined</t>
    </r>
    <r>
      <rPr>
        <sz val="8"/>
        <color theme="1"/>
        <rFont val="Franklin Gothic Demi Cond"/>
        <family val="2"/>
      </rPr>
      <t>)</t>
    </r>
  </si>
  <si>
    <r>
      <t xml:space="preserve">Ruw </t>
    </r>
    <r>
      <rPr>
        <sz val="10"/>
        <color theme="1"/>
        <rFont val="Calibri"/>
        <family val="2"/>
      </rPr>
      <t>all (t/cm)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</si>
  <si>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</si>
  <si>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</si>
  <si>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t/cm</t>
  </si>
  <si>
    <t>eq(9-7)</t>
  </si>
  <si>
    <t>b-plate</t>
  </si>
  <si>
    <t>properties of plate</t>
  </si>
  <si>
    <r>
      <t>bf(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</si>
  <si>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r>
      <t xml:space="preserve">b </t>
    </r>
    <r>
      <rPr>
        <sz val="11"/>
        <color theme="1"/>
        <rFont val="Calibri"/>
        <family val="2"/>
      </rPr>
      <t>plate</t>
    </r>
  </si>
  <si>
    <r>
      <t xml:space="preserve">L </t>
    </r>
    <r>
      <rPr>
        <sz val="11"/>
        <color theme="1"/>
        <rFont val="Calibri"/>
        <family val="2"/>
      </rPr>
      <t>plate</t>
    </r>
  </si>
  <si>
    <r>
      <t>N</t>
    </r>
    <r>
      <rPr>
        <sz val="12"/>
        <color theme="1"/>
        <rFont val="Calibri"/>
        <family val="2"/>
      </rPr>
      <t>bolts/row</t>
    </r>
  </si>
  <si>
    <t>plate</t>
  </si>
  <si>
    <t>W</t>
  </si>
  <si>
    <r>
      <t xml:space="preserve">t </t>
    </r>
    <r>
      <rPr>
        <sz val="10"/>
        <color theme="1"/>
        <rFont val="Calibri"/>
        <family val="2"/>
      </rPr>
      <t>plate (cm)</t>
    </r>
  </si>
  <si>
    <r>
      <t>tf</t>
    </r>
    <r>
      <rPr>
        <sz val="11"/>
        <color theme="1"/>
        <rFont val="Calibri"/>
        <family val="2"/>
      </rPr>
      <t>(col)</t>
    </r>
  </si>
  <si>
    <r>
      <t>tw</t>
    </r>
    <r>
      <rPr>
        <sz val="11"/>
        <color theme="1"/>
        <rFont val="Calibri"/>
        <family val="2"/>
      </rPr>
      <t>(col)</t>
    </r>
  </si>
  <si>
    <r>
      <t>h</t>
    </r>
    <r>
      <rPr>
        <sz val="11"/>
        <color theme="1"/>
        <rFont val="Calibri"/>
        <family val="2"/>
      </rPr>
      <t>(col)</t>
    </r>
  </si>
  <si>
    <r>
      <t>bf</t>
    </r>
    <r>
      <rPr>
        <sz val="11"/>
        <color theme="1"/>
        <rFont val="Calibri"/>
        <family val="2"/>
      </rPr>
      <t>(col)</t>
    </r>
  </si>
  <si>
    <t>M1(t.cm)</t>
  </si>
  <si>
    <t>M2(t.cm)</t>
  </si>
  <si>
    <t>tp (cm) exact</t>
  </si>
  <si>
    <t>eq(8-28)</t>
  </si>
  <si>
    <t>eq(8.30)</t>
  </si>
  <si>
    <t>eq(8.31)</t>
  </si>
  <si>
    <t>extended</t>
  </si>
  <si>
    <t>c-bolts</t>
  </si>
  <si>
    <t>category (A)</t>
  </si>
  <si>
    <r>
      <t xml:space="preserve">AS </t>
    </r>
    <r>
      <rPr>
        <sz val="11"/>
        <color theme="1"/>
        <rFont val="Calibri"/>
        <family val="2"/>
      </rPr>
      <t>bolt</t>
    </r>
  </si>
  <si>
    <r>
      <t xml:space="preserve">N </t>
    </r>
    <r>
      <rPr>
        <sz val="11"/>
        <color theme="1"/>
        <rFont val="Calibri"/>
        <family val="2"/>
      </rPr>
      <t>rows</t>
    </r>
  </si>
  <si>
    <r>
      <t>y</t>
    </r>
    <r>
      <rPr>
        <b/>
        <sz val="14"/>
        <color theme="1"/>
        <rFont val="Calibri"/>
        <family val="2"/>
      </rPr>
      <t>˴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</si>
  <si>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</si>
  <si>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</si>
  <si>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</si>
  <si>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</si>
  <si>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</si>
  <si>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</si>
  <si>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</si>
  <si>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</si>
  <si>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r>
      <t>y9</t>
    </r>
    <r>
      <rPr>
        <sz val="11"/>
        <color theme="1"/>
        <rFont val="Calibri"/>
        <family val="2"/>
        <scheme val="minor"/>
      </rPr>
      <t/>
    </r>
  </si>
  <si>
    <r>
      <t>y10</t>
    </r>
    <r>
      <rPr>
        <sz val="11"/>
        <color theme="1"/>
        <rFont val="Calibri"/>
        <family val="2"/>
        <scheme val="minor"/>
      </rPr>
      <t/>
    </r>
  </si>
  <si>
    <r>
      <t>y11</t>
    </r>
    <r>
      <rPr>
        <sz val="11"/>
        <color theme="1"/>
        <rFont val="Calibri"/>
        <family val="2"/>
        <scheme val="minor"/>
      </rPr>
      <t/>
    </r>
  </si>
  <si>
    <r>
      <t>y12</t>
    </r>
    <r>
      <rPr>
        <sz val="11"/>
        <color theme="1"/>
        <rFont val="Calibri"/>
        <family val="2"/>
        <scheme val="minor"/>
      </rPr>
      <t/>
    </r>
  </si>
  <si>
    <r>
      <t>y13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</si>
  <si>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Dutch801 Rm BT"/>
        <family val="1"/>
      </rPr>
      <t>I</t>
    </r>
    <r>
      <rPr>
        <sz val="11"/>
        <color theme="1"/>
        <rFont val="Franklin Gothic Demi Cond"/>
        <family val="2"/>
      </rPr>
      <t>x</t>
    </r>
    <r>
      <rPr>
        <sz val="9"/>
        <color theme="1"/>
        <rFont val="Franklin Gothic Demi Cond"/>
        <family val="2"/>
      </rPr>
      <t xml:space="preserve"> </t>
    </r>
    <r>
      <rPr>
        <b/>
        <sz val="9"/>
        <color theme="1"/>
        <rFont val="Franklin Gothic Demi Cond"/>
        <family val="2"/>
      </rPr>
      <t>(</t>
    </r>
    <r>
      <rPr>
        <b/>
        <sz val="9"/>
        <color theme="1"/>
        <rFont val="Calibri"/>
        <family val="2"/>
      </rPr>
      <t>boits+comp plate)</t>
    </r>
  </si>
  <si>
    <t>y max</t>
  </si>
  <si>
    <t>check y˴&lt;y2</t>
  </si>
  <si>
    <t>eq</t>
  </si>
  <si>
    <t>CHECK TENSION</t>
  </si>
  <si>
    <t>CHECK SHEAR</t>
  </si>
  <si>
    <t>check combined</t>
  </si>
  <si>
    <t>Ru T,N</t>
  </si>
  <si>
    <t>Ru T,M</t>
  </si>
  <si>
    <t>Ru all</t>
  </si>
  <si>
    <t>Ru V</t>
  </si>
  <si>
    <t>shear planes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</si>
  <si>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(Q)</t>
    </r>
  </si>
  <si>
    <r>
      <rPr>
        <sz val="12"/>
        <color theme="1"/>
        <rFont val="Franklin Gothic Demi Cond"/>
        <family val="2"/>
      </rPr>
      <t>d</t>
    </r>
    <r>
      <rPr>
        <sz val="10"/>
        <color theme="1"/>
        <rFont val="Calibri"/>
        <family val="2"/>
      </rPr>
      <t xml:space="preserve"> bolt</t>
    </r>
  </si>
  <si>
    <r>
      <rPr>
        <sz val="12"/>
        <color theme="1"/>
        <rFont val="Franklin Gothic Demi Cond"/>
        <family val="2"/>
      </rPr>
      <t xml:space="preserve">min </t>
    </r>
    <r>
      <rPr>
        <b/>
        <sz val="8"/>
        <color theme="1"/>
        <rFont val="Calibri"/>
        <family val="2"/>
      </rPr>
      <t>∑</t>
    </r>
    <r>
      <rPr>
        <sz val="10.7"/>
        <color theme="1"/>
        <rFont val="Franklin Gothic Demi Cond"/>
        <family val="2"/>
      </rPr>
      <t>t</t>
    </r>
  </si>
  <si>
    <r>
      <rPr>
        <sz val="12"/>
        <color theme="1"/>
        <rFont val="Franklin Gothic Demi Cond"/>
        <family val="2"/>
      </rPr>
      <t>e</t>
    </r>
    <r>
      <rPr>
        <sz val="11"/>
        <color theme="1"/>
        <rFont val="Franklin Gothic Demi Cond"/>
        <family val="2"/>
      </rPr>
      <t>1</t>
    </r>
  </si>
  <si>
    <t>a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</si>
  <si>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(br)</t>
    </r>
  </si>
  <si>
    <t>eff</t>
  </si>
  <si>
    <t>all</t>
  </si>
  <si>
    <t>check shear</t>
  </si>
  <si>
    <t>check bearing</t>
  </si>
  <si>
    <t>category (B ,C)</t>
  </si>
  <si>
    <r>
      <t xml:space="preserve">N </t>
    </r>
    <r>
      <rPr>
        <sz val="10"/>
        <color theme="1"/>
        <rFont val="Calibri"/>
        <family val="2"/>
      </rPr>
      <t>rows/ ten</t>
    </r>
  </si>
  <si>
    <t>A plate</t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</si>
  <si>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plate</t>
    </r>
  </si>
  <si>
    <t>f1</t>
  </si>
  <si>
    <t>f2</t>
  </si>
  <si>
    <r>
      <t>N</t>
    </r>
    <r>
      <rPr>
        <sz val="10"/>
        <color theme="1"/>
        <rFont val="Calibri"/>
        <family val="2"/>
      </rPr>
      <t>bolts/group</t>
    </r>
  </si>
  <si>
    <r>
      <t xml:space="preserve">S </t>
    </r>
    <r>
      <rPr>
        <sz val="11"/>
        <color theme="1"/>
        <rFont val="Calibri"/>
        <family val="2"/>
      </rPr>
      <t>weld</t>
    </r>
  </si>
  <si>
    <t>b</t>
  </si>
  <si>
    <r>
      <t>Ps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</si>
  <si>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t>Fy bolt</t>
  </si>
  <si>
    <r>
      <t>T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</si>
  <si>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r>
      <t xml:space="preserve">Nt </t>
    </r>
    <r>
      <rPr>
        <sz val="11"/>
        <color theme="1"/>
        <rFont val="Calibri"/>
        <family val="2"/>
      </rPr>
      <t>rows</t>
    </r>
  </si>
  <si>
    <t>tab (8-3)</t>
  </si>
  <si>
    <t>eq (8-7)</t>
  </si>
  <si>
    <t>Prying force</t>
  </si>
  <si>
    <r>
      <rPr>
        <sz val="14"/>
        <color theme="1"/>
        <rFont val="Calibri"/>
        <family val="2"/>
      </rPr>
      <t>Σ</t>
    </r>
    <r>
      <rPr>
        <sz val="11.2"/>
        <color theme="1"/>
        <rFont val="Franklin Gothic Demi Cond"/>
        <family val="2"/>
      </rPr>
      <t xml:space="preserve">tension </t>
    </r>
    <r>
      <rPr>
        <sz val="14"/>
        <color theme="1"/>
        <rFont val="Franklin Gothic Demi Cond"/>
        <family val="2"/>
      </rPr>
      <t>(M+N+Prying)</t>
    </r>
  </si>
  <si>
    <t>y3</t>
  </si>
  <si>
    <t>f3</t>
  </si>
  <si>
    <t>groub (A)</t>
  </si>
  <si>
    <t>Text,b,M</t>
  </si>
  <si>
    <t>Text,b,N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</si>
  <si>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</si>
  <si>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</si>
  <si>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N total</t>
  </si>
  <si>
    <t>service</t>
  </si>
  <si>
    <t>Ru,V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</si>
  <si>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1</t>
    </r>
    <r>
      <rPr>
        <sz val="10"/>
        <color theme="1"/>
        <rFont val="Calibri"/>
        <family val="2"/>
      </rPr>
      <t>)</t>
    </r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</si>
  <si>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2</t>
    </r>
    <r>
      <rPr>
        <sz val="10"/>
        <color theme="1"/>
        <rFont val="Calibri"/>
        <family val="2"/>
      </rPr>
      <t>)</t>
    </r>
  </si>
  <si>
    <t>category (B)</t>
  </si>
  <si>
    <t>eq(8-11)</t>
  </si>
  <si>
    <t>eq(8-26)</t>
  </si>
  <si>
    <t>Σtension (M+N+Prying)</t>
  </si>
  <si>
    <t>groub (B)</t>
  </si>
  <si>
    <t>p</t>
  </si>
  <si>
    <t>ultimate</t>
  </si>
  <si>
    <t>eq(8-21)</t>
  </si>
  <si>
    <t>Σtension (M+N)</t>
  </si>
  <si>
    <t>groub (c)</t>
  </si>
  <si>
    <t>category (C)</t>
  </si>
  <si>
    <t>bearing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</si>
  <si>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</si>
  <si>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</si>
  <si>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</si>
  <si>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</si>
  <si>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</si>
  <si>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</si>
  <si>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</si>
  <si>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</si>
  <si>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</si>
  <si>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</si>
  <si>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</si>
  <si>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</si>
  <si>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</si>
  <si>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</si>
  <si>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</si>
  <si>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</si>
  <si>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</si>
  <si>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</si>
  <si>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</si>
  <si>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</si>
  <si>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</si>
  <si>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</si>
  <si>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</si>
  <si>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</si>
  <si>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</si>
  <si>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</si>
  <si>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</si>
  <si>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</si>
  <si>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</si>
  <si>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tst act</t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</si>
  <si>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</si>
  <si>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</si>
  <si>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Sec.
No.</t>
  </si>
  <si>
    <t xml:space="preserve">Weight </t>
  </si>
  <si>
    <t xml:space="preserve">Area </t>
  </si>
  <si>
    <r>
      <t>A</t>
    </r>
    <r>
      <rPr>
        <b/>
        <vertAlign val="subscript"/>
        <sz val="10"/>
        <rFont val="Arial"/>
        <family val="2"/>
        <charset val="178"/>
      </rPr>
      <t>web</t>
    </r>
  </si>
  <si>
    <t xml:space="preserve">Dimensions </t>
  </si>
  <si>
    <t>Axis  X-X</t>
  </si>
  <si>
    <t>Axis  Y-Y</t>
  </si>
  <si>
    <t>Details</t>
  </si>
  <si>
    <t>Surface Area</t>
  </si>
  <si>
    <t>Af</t>
  </si>
  <si>
    <t>dweb</t>
  </si>
  <si>
    <t>s</t>
  </si>
  <si>
    <r>
      <t>r</t>
    </r>
    <r>
      <rPr>
        <b/>
        <vertAlign val="subscript"/>
        <sz val="10"/>
        <rFont val="Arial"/>
        <family val="2"/>
        <charset val="178"/>
      </rPr>
      <t>1</t>
    </r>
  </si>
  <si>
    <t>c</t>
  </si>
  <si>
    <t>h-2c</t>
  </si>
  <si>
    <r>
      <t>I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</si>
  <si>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</si>
  <si>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</si>
  <si>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I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</si>
  <si>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</si>
  <si>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y </t>
    </r>
  </si>
  <si>
    <t>w</t>
  </si>
  <si>
    <r>
      <t>d</t>
    </r>
    <r>
      <rPr>
        <b/>
        <vertAlign val="subscript"/>
        <sz val="10"/>
        <rFont val="Arial"/>
        <family val="2"/>
        <charset val="178"/>
      </rPr>
      <t>max</t>
    </r>
  </si>
  <si>
    <r>
      <t>U</t>
    </r>
    <r>
      <rPr>
        <b/>
        <vertAlign val="subscript"/>
        <sz val="10"/>
        <rFont val="Arial"/>
        <family val="2"/>
        <charset val="178"/>
      </rPr>
      <t>m</t>
    </r>
  </si>
  <si>
    <r>
      <t>U</t>
    </r>
    <r>
      <rPr>
        <b/>
        <vertAlign val="subscript"/>
        <sz val="10"/>
        <rFont val="Arial"/>
        <family val="2"/>
        <charset val="178"/>
      </rPr>
      <t>t</t>
    </r>
  </si>
  <si>
    <t>kg/m`</t>
  </si>
  <si>
    <r>
      <t>cm</t>
    </r>
    <r>
      <rPr>
        <b/>
        <vertAlign val="superscript"/>
        <sz val="10"/>
        <rFont val="Arial"/>
        <family val="2"/>
        <charset val="178"/>
      </rPr>
      <t>2</t>
    </r>
  </si>
  <si>
    <t>mm</t>
  </si>
  <si>
    <r>
      <t>cm</t>
    </r>
    <r>
      <rPr>
        <b/>
        <vertAlign val="superscript"/>
        <sz val="10"/>
        <rFont val="Arial"/>
        <family val="2"/>
        <charset val="178"/>
      </rPr>
      <t>4</t>
    </r>
  </si>
  <si>
    <r>
      <t>cm</t>
    </r>
    <r>
      <rPr>
        <b/>
        <vertAlign val="superscript"/>
        <sz val="10"/>
        <rFont val="Arial"/>
        <family val="2"/>
        <charset val="178"/>
      </rPr>
      <t>3</t>
    </r>
  </si>
  <si>
    <r>
      <t>x10</t>
    </r>
    <r>
      <rPr>
        <b/>
        <vertAlign val="superscript"/>
        <sz val="10"/>
        <rFont val="Arial"/>
        <family val="2"/>
        <charset val="178"/>
      </rPr>
      <t>-2</t>
    </r>
    <r>
      <rPr>
        <b/>
        <sz val="10"/>
        <rFont val="Arial"/>
        <family val="2"/>
        <charset val="178"/>
      </rPr>
      <t xml:space="preserve"> 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/m</t>
    </r>
    <r>
      <rPr>
        <b/>
        <vertAlign val="superscript"/>
        <sz val="10"/>
        <rFont val="Arial"/>
        <family val="2"/>
        <charset val="178"/>
      </rPr>
      <t>\</t>
    </r>
    <r>
      <rPr>
        <b/>
        <sz val="10"/>
        <rFont val="Arial"/>
        <family val="2"/>
        <charset val="178"/>
      </rPr>
      <t xml:space="preserve"> </t>
    </r>
  </si>
  <si>
    <r>
      <t>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/t</t>
    </r>
  </si>
  <si>
    <r>
      <t>mm</t>
    </r>
    <r>
      <rPr>
        <b/>
        <vertAlign val="superscript"/>
        <sz val="10"/>
        <rFont val="Arial"/>
        <family val="2"/>
        <charset val="178"/>
      </rPr>
      <t>2</t>
    </r>
  </si>
  <si>
    <t>N.A.</t>
  </si>
  <si>
    <t>M10</t>
  </si>
  <si>
    <t>M12</t>
  </si>
  <si>
    <t>flushed</t>
  </si>
  <si>
    <t>M20</t>
  </si>
  <si>
    <t>M24</t>
  </si>
  <si>
    <t>hot rolled</t>
  </si>
  <si>
    <t>M27</t>
  </si>
  <si>
    <t>Dimensions</t>
  </si>
  <si>
    <r>
      <t>w</t>
    </r>
    <r>
      <rPr>
        <b/>
        <vertAlign val="subscript"/>
        <sz val="10"/>
        <rFont val="Arial"/>
        <family val="2"/>
        <charset val="178"/>
      </rPr>
      <t>1</t>
    </r>
  </si>
  <si>
    <t>AS(cm2)</t>
  </si>
  <si>
    <t>D(cm)</t>
  </si>
  <si>
    <t>ps(st52)</t>
  </si>
  <si>
    <t>ps(st37)</t>
  </si>
  <si>
    <t>M22</t>
  </si>
  <si>
    <t>M30</t>
  </si>
  <si>
    <t>M36</t>
  </si>
  <si>
    <t>fy</t>
  </si>
  <si>
    <t>fu</t>
  </si>
  <si>
    <t>COLUMN</t>
  </si>
  <si>
    <t>RAFTER</t>
  </si>
  <si>
    <t>C-EGL4</t>
  </si>
  <si>
    <t>Rv</t>
  </si>
  <si>
    <t>check(Cb&gt; Rv)</t>
  </si>
  <si>
    <t>T_doubler_Plate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</si>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</sst>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BankGothic Md BT"/>
      <family val="2"/>
    </font>
    <font>
      <sz val="12"/>
      <color theme="1"/>
      <name val="Franklin Gothic Demi Cond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BankGothic Md BT"/>
      <family val="2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b/>
      <sz val="10"/>
      <color theme="1"/>
      <name val="Franklin Gothic Demi Cond"/>
      <family val="2"/>
    </font>
    <font>
      <sz val="8"/>
      <color theme="1"/>
      <name val="Franklin Gothic Demi Cond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sz val="11"/>
      <color theme="1"/>
      <name val="Dutch801 Rm BT"/>
      <family val="1"/>
    </font>
    <font>
      <b/>
      <sz val="9"/>
      <color theme="1"/>
      <name val="Franklin Gothic Demi Cond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.7"/>
      <color theme="1"/>
      <name val="Franklin Gothic Demi Cond"/>
      <family val="2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b/>
      <sz val="14"/>
      <color theme="8" tint="-0.499984740745262"/>
      <name val="BankGothic Md BT"/>
      <family val="2"/>
    </font>
    <font>
      <sz val="14"/>
      <color theme="1"/>
      <name val="Franklin Gothic Demi Cond"/>
      <family val="2"/>
    </font>
    <font>
      <sz val="14"/>
      <color theme="1"/>
      <name val="Calibri"/>
      <family val="2"/>
    </font>
    <font>
      <sz val="11.2"/>
      <color theme="1"/>
      <name val="Franklin Gothic Demi Cond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b/>
      <vertAlign val="subscript"/>
      <sz val="10"/>
      <name val="Arial"/>
      <family val="2"/>
      <charset val="178"/>
    </font>
    <font>
      <b/>
      <vertAlign val="superscript"/>
      <sz val="10"/>
      <name val="Arial"/>
      <family val="2"/>
      <charset val="17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44" fillId="0" borderId="0">
      <alignment vertical="center"/>
    </xf>
  </cellStyleXfs>
  <cellXfs count="304">
    <xf numFmtId="0" fontId="0" fillId="0" borderId="0" xfId="0"/>
    <xf numFmtId="0" fontId="2" fillId="2" borderId="0" xfId="1" applyFill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3" borderId="5" xfId="1" applyFont="1" applyFill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2" borderId="0" xfId="1" applyFill="1" applyAlignment="1">
      <alignment vertical="center"/>
    </xf>
    <xf numFmtId="0" fontId="2" fillId="0" borderId="0" xfId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0" xfId="1" applyAlignment="1">
      <alignment vertical="center"/>
    </xf>
    <xf numFmtId="0" fontId="2" fillId="0" borderId="11" xfId="1" applyBorder="1" applyAlignment="1">
      <alignment vertical="center"/>
    </xf>
    <xf numFmtId="0" fontId="5" fillId="5" borderId="12" xfId="2" applyFont="1" applyFill="1" applyBorder="1" applyAlignment="1">
      <alignment horizontal="center" vertical="center"/>
    </xf>
    <xf numFmtId="0" fontId="6" fillId="3" borderId="13" xfId="2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13" xfId="2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4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5" fillId="5" borderId="15" xfId="2" applyFont="1" applyFill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2" fillId="3" borderId="16" xfId="1" applyFill="1" applyBorder="1" applyAlignment="1">
      <alignment horizontal="center" vertical="center"/>
    </xf>
    <xf numFmtId="0" fontId="9" fillId="6" borderId="16" xfId="1" applyFont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7" borderId="0" xfId="1" applyFill="1" applyAlignment="1">
      <alignment vertical="center"/>
    </xf>
    <xf numFmtId="0" fontId="2" fillId="7" borderId="2" xfId="1" applyFill="1" applyBorder="1" applyAlignment="1">
      <alignment vertical="center"/>
    </xf>
    <xf numFmtId="0" fontId="2" fillId="6" borderId="2" xfId="1" applyFill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19" fillId="8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0" fillId="0" borderId="23" xfId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13" xfId="1" applyFont="1" applyBorder="1" applyAlignment="1">
      <alignment horizontal="center" vertical="center"/>
    </xf>
    <xf numFmtId="0" fontId="0" fillId="0" borderId="26" xfId="1" applyFont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0" fillId="9" borderId="0" xfId="1" applyFont="1" applyFill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8" xfId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5" fillId="5" borderId="24" xfId="2" applyFont="1" applyFill="1" applyBorder="1" applyAlignment="1">
      <alignment horizontal="center" vertical="center"/>
    </xf>
    <xf numFmtId="0" fontId="25" fillId="5" borderId="24" xfId="1" applyFont="1" applyFill="1" applyBorder="1" applyAlignment="1">
      <alignment horizontal="center" vertical="center"/>
    </xf>
    <xf numFmtId="0" fontId="26" fillId="5" borderId="24" xfId="1" applyFont="1" applyFill="1" applyBorder="1" applyAlignment="1">
      <alignment horizontal="center" vertical="center"/>
    </xf>
    <xf numFmtId="0" fontId="30" fillId="5" borderId="24" xfId="2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19" fillId="9" borderId="21" xfId="1" applyFont="1" applyFill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6" xfId="2" applyFont="1" applyFill="1" applyBorder="1" applyAlignment="1">
      <alignment horizontal="center" vertical="center"/>
    </xf>
    <xf numFmtId="0" fontId="26" fillId="5" borderId="13" xfId="2" applyFont="1" applyFill="1" applyBorder="1" applyAlignment="1">
      <alignment horizontal="center" vertical="center"/>
    </xf>
    <xf numFmtId="0" fontId="18" fillId="5" borderId="13" xfId="2" applyFont="1" applyFill="1" applyBorder="1" applyAlignment="1">
      <alignment horizontal="center" vertical="center"/>
    </xf>
    <xf numFmtId="0" fontId="33" fillId="5" borderId="13" xfId="2" applyFont="1" applyFill="1" applyBorder="1" applyAlignment="1">
      <alignment horizontal="center" vertical="center"/>
    </xf>
    <xf numFmtId="0" fontId="34" fillId="5" borderId="13" xfId="2" applyFont="1" applyFill="1" applyBorder="1" applyAlignment="1">
      <alignment horizontal="center" vertical="center"/>
    </xf>
    <xf numFmtId="0" fontId="18" fillId="5" borderId="26" xfId="2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33" fillId="5" borderId="14" xfId="2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  <xf numFmtId="0" fontId="33" fillId="5" borderId="14" xfId="1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34" fillId="5" borderId="14" xfId="2" applyFont="1" applyFill="1" applyBorder="1" applyAlignment="1">
      <alignment horizontal="center" vertical="center"/>
    </xf>
    <xf numFmtId="0" fontId="26" fillId="5" borderId="14" xfId="2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19" fillId="6" borderId="22" xfId="1" applyFont="1" applyFill="1" applyBorder="1" applyAlignment="1">
      <alignment horizontal="center" vertical="center"/>
    </xf>
    <xf numFmtId="0" fontId="2" fillId="0" borderId="26" xfId="1" applyBorder="1" applyAlignment="1">
      <alignment vertical="center"/>
    </xf>
    <xf numFmtId="0" fontId="19" fillId="6" borderId="37" xfId="1" applyFont="1" applyFill="1" applyBorder="1" applyAlignment="1">
      <alignment horizontal="center" vertical="center"/>
    </xf>
    <xf numFmtId="0" fontId="2" fillId="0" borderId="8" xfId="1" applyBorder="1" applyAlignment="1">
      <alignment vertical="center"/>
    </xf>
    <xf numFmtId="0" fontId="2" fillId="0" borderId="10" xfId="1" applyBorder="1" applyAlignment="1">
      <alignment vertical="center"/>
    </xf>
    <xf numFmtId="0" fontId="41" fillId="5" borderId="24" xfId="2" applyFont="1" applyFill="1" applyBorder="1" applyAlignment="1">
      <alignment horizontal="center" vertical="center"/>
    </xf>
    <xf numFmtId="0" fontId="5" fillId="5" borderId="46" xfId="2" applyFont="1" applyFill="1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 vertical="center"/>
    </xf>
    <xf numFmtId="0" fontId="5" fillId="5" borderId="48" xfId="2" applyFont="1" applyFill="1" applyBorder="1" applyAlignment="1">
      <alignment horizontal="center" vertical="center"/>
    </xf>
    <xf numFmtId="0" fontId="23" fillId="0" borderId="33" xfId="1" applyFont="1" applyBorder="1" applyAlignment="1">
      <alignment horizontal="center" vertical="center"/>
    </xf>
    <xf numFmtId="0" fontId="0" fillId="0" borderId="34" xfId="1" applyFont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0" borderId="49" xfId="1" applyBorder="1" applyAlignment="1">
      <alignment horizontal="center" vertical="center"/>
    </xf>
    <xf numFmtId="0" fontId="2" fillId="6" borderId="37" xfId="1" applyFill="1" applyBorder="1" applyAlignment="1">
      <alignment horizontal="center" vertical="center"/>
    </xf>
    <xf numFmtId="0" fontId="2" fillId="0" borderId="38" xfId="1" applyBorder="1" applyAlignment="1">
      <alignment horizontal="center" vertical="center"/>
    </xf>
    <xf numFmtId="0" fontId="5" fillId="5" borderId="25" xfId="2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45" fillId="2" borderId="13" xfId="3" applyNumberFormat="1" applyFont="1" applyFill="1" applyBorder="1" applyAlignment="1">
      <alignment horizontal="center" vertical="center"/>
    </xf>
    <xf numFmtId="1" fontId="45" fillId="2" borderId="13" xfId="3" applyNumberFormat="1" applyFont="1" applyFill="1" applyBorder="1" applyAlignment="1">
      <alignment horizontal="center" vertical="center"/>
    </xf>
    <xf numFmtId="2" fontId="44" fillId="2" borderId="13" xfId="3" applyFill="1" applyBorder="1" applyAlignment="1">
      <alignment horizontal="center" vertical="center"/>
    </xf>
    <xf numFmtId="0" fontId="44" fillId="2" borderId="13" xfId="3" applyNumberFormat="1" applyFill="1" applyBorder="1" applyAlignment="1">
      <alignment horizontal="center" vertical="center"/>
    </xf>
    <xf numFmtId="164" fontId="44" fillId="2" borderId="13" xfId="3" applyNumberFormat="1" applyFill="1" applyBorder="1" applyAlignment="1">
      <alignment horizontal="center" vertical="center"/>
    </xf>
    <xf numFmtId="2" fontId="45" fillId="2" borderId="21" xfId="3" applyFont="1" applyFill="1" applyBorder="1" applyAlignment="1">
      <alignment horizontal="center" vertical="center"/>
    </xf>
    <xf numFmtId="2" fontId="45" fillId="2" borderId="0" xfId="3" applyFont="1" applyFill="1" applyAlignment="1">
      <alignment horizontal="center" vertical="center" wrapText="1"/>
    </xf>
    <xf numFmtId="2" fontId="45" fillId="2" borderId="58" xfId="3" applyFont="1" applyFill="1" applyBorder="1" applyAlignment="1">
      <alignment horizontal="center" vertical="center"/>
    </xf>
    <xf numFmtId="2" fontId="45" fillId="2" borderId="59" xfId="3" applyFont="1" applyFill="1" applyBorder="1" applyAlignment="1">
      <alignment horizontal="center" vertical="center"/>
    </xf>
    <xf numFmtId="2" fontId="45" fillId="2" borderId="60" xfId="3" applyFont="1" applyFill="1" applyBorder="1" applyAlignment="1">
      <alignment horizontal="center" vertical="center"/>
    </xf>
    <xf numFmtId="1" fontId="45" fillId="2" borderId="61" xfId="3" applyNumberFormat="1" applyFont="1" applyFill="1" applyBorder="1" applyAlignment="1">
      <alignment horizontal="center" vertical="center"/>
    </xf>
    <xf numFmtId="164" fontId="44" fillId="2" borderId="23" xfId="3" applyNumberFormat="1" applyFill="1" applyBorder="1" applyAlignment="1">
      <alignment horizontal="center" vertical="center"/>
    </xf>
    <xf numFmtId="164" fontId="44" fillId="2" borderId="24" xfId="3" applyNumberFormat="1" applyFill="1" applyBorder="1" applyAlignment="1">
      <alignment horizontal="center" vertical="center"/>
    </xf>
    <xf numFmtId="2" fontId="44" fillId="2" borderId="25" xfId="3" applyFill="1" applyBorder="1" applyAlignment="1">
      <alignment horizontal="center" vertical="center"/>
    </xf>
    <xf numFmtId="1" fontId="44" fillId="2" borderId="23" xfId="3" applyNumberFormat="1" applyFill="1" applyBorder="1" applyAlignment="1">
      <alignment horizontal="center" vertical="center"/>
    </xf>
    <xf numFmtId="1" fontId="44" fillId="2" borderId="24" xfId="3" applyNumberFormat="1" applyFill="1" applyBorder="1" applyAlignment="1">
      <alignment horizontal="center" vertical="center"/>
    </xf>
    <xf numFmtId="1" fontId="44" fillId="2" borderId="25" xfId="3" applyNumberFormat="1" applyFill="1" applyBorder="1" applyAlignment="1">
      <alignment horizontal="center" vertical="center"/>
    </xf>
    <xf numFmtId="0" fontId="44" fillId="2" borderId="23" xfId="3" applyNumberFormat="1" applyFill="1" applyBorder="1" applyAlignment="1">
      <alignment horizontal="center" vertical="center"/>
    </xf>
    <xf numFmtId="0" fontId="44" fillId="2" borderId="24" xfId="3" applyNumberFormat="1" applyFill="1" applyBorder="1" applyAlignment="1">
      <alignment horizontal="center" vertical="center"/>
    </xf>
    <xf numFmtId="0" fontId="44" fillId="2" borderId="46" xfId="3" applyNumberFormat="1" applyFill="1" applyBorder="1" applyAlignment="1">
      <alignment horizontal="center" vertical="center"/>
    </xf>
    <xf numFmtId="2" fontId="44" fillId="2" borderId="48" xfId="3" applyFill="1" applyBorder="1" applyAlignment="1">
      <alignment horizontal="center" vertical="center"/>
    </xf>
    <xf numFmtId="2" fontId="44" fillId="2" borderId="23" xfId="3" applyFill="1" applyBorder="1" applyAlignment="1">
      <alignment horizontal="center" vertical="center"/>
    </xf>
    <xf numFmtId="2" fontId="44" fillId="2" borderId="62" xfId="3" applyFill="1" applyBorder="1" applyAlignment="1">
      <alignment horizontal="center" vertical="center"/>
    </xf>
    <xf numFmtId="1" fontId="45" fillId="2" borderId="63" xfId="3" applyNumberFormat="1" applyFont="1" applyFill="1" applyBorder="1" applyAlignment="1">
      <alignment horizontal="center" vertical="center"/>
    </xf>
    <xf numFmtId="164" fontId="44" fillId="2" borderId="12" xfId="3" applyNumberFormat="1" applyFill="1" applyBorder="1" applyAlignment="1">
      <alignment horizontal="center" vertical="center"/>
    </xf>
    <xf numFmtId="2" fontId="44" fillId="2" borderId="26" xfId="3" applyFill="1" applyBorder="1" applyAlignment="1">
      <alignment horizontal="center" vertical="center"/>
    </xf>
    <xf numFmtId="1" fontId="44" fillId="2" borderId="12" xfId="3" applyNumberFormat="1" applyFill="1" applyBorder="1" applyAlignment="1">
      <alignment horizontal="center" vertical="center"/>
    </xf>
    <xf numFmtId="1" fontId="44" fillId="2" borderId="13" xfId="3" applyNumberFormat="1" applyFill="1" applyBorder="1" applyAlignment="1">
      <alignment horizontal="center" vertical="center"/>
    </xf>
    <xf numFmtId="1" fontId="44" fillId="2" borderId="26" xfId="3" applyNumberFormat="1" applyFill="1" applyBorder="1" applyAlignment="1">
      <alignment horizontal="center" vertical="center"/>
    </xf>
    <xf numFmtId="0" fontId="44" fillId="2" borderId="12" xfId="3" applyNumberFormat="1" applyFill="1" applyBorder="1" applyAlignment="1">
      <alignment horizontal="center" vertical="center"/>
    </xf>
    <xf numFmtId="0" fontId="44" fillId="2" borderId="22" xfId="3" applyNumberFormat="1" applyFill="1" applyBorder="1" applyAlignment="1">
      <alignment horizontal="center" vertical="center"/>
    </xf>
    <xf numFmtId="2" fontId="44" fillId="2" borderId="20" xfId="3" applyFill="1" applyBorder="1" applyAlignment="1">
      <alignment horizontal="center" vertical="center"/>
    </xf>
    <xf numFmtId="2" fontId="44" fillId="2" borderId="12" xfId="3" applyFill="1" applyBorder="1" applyAlignment="1">
      <alignment horizontal="center" vertical="center"/>
    </xf>
    <xf numFmtId="2" fontId="44" fillId="2" borderId="64" xfId="3" applyFill="1" applyBorder="1" applyAlignment="1">
      <alignment horizontal="center" vertical="center"/>
    </xf>
    <xf numFmtId="1" fontId="45" fillId="2" borderId="65" xfId="3" applyNumberFormat="1" applyFont="1" applyFill="1" applyBorder="1" applyAlignment="1">
      <alignment horizontal="center" vertical="center"/>
    </xf>
    <xf numFmtId="164" fontId="44" fillId="2" borderId="27" xfId="3" applyNumberFormat="1" applyFill="1" applyBorder="1" applyAlignment="1">
      <alignment horizontal="center" vertical="center"/>
    </xf>
    <xf numFmtId="164" fontId="44" fillId="2" borderId="28" xfId="3" applyNumberFormat="1" applyFill="1" applyBorder="1" applyAlignment="1">
      <alignment horizontal="center" vertical="center"/>
    </xf>
    <xf numFmtId="2" fontId="44" fillId="2" borderId="29" xfId="3" applyFill="1" applyBorder="1" applyAlignment="1">
      <alignment horizontal="center" vertical="center"/>
    </xf>
    <xf numFmtId="1" fontId="44" fillId="2" borderId="27" xfId="3" applyNumberFormat="1" applyFill="1" applyBorder="1" applyAlignment="1">
      <alignment horizontal="center" vertical="center"/>
    </xf>
    <xf numFmtId="1" fontId="44" fillId="2" borderId="28" xfId="3" applyNumberFormat="1" applyFill="1" applyBorder="1" applyAlignment="1">
      <alignment horizontal="center" vertical="center"/>
    </xf>
    <xf numFmtId="1" fontId="44" fillId="2" borderId="29" xfId="3" applyNumberFormat="1" applyFill="1" applyBorder="1" applyAlignment="1">
      <alignment horizontal="center" vertical="center"/>
    </xf>
    <xf numFmtId="0" fontId="44" fillId="2" borderId="27" xfId="3" applyNumberFormat="1" applyFill="1" applyBorder="1" applyAlignment="1">
      <alignment horizontal="center" vertical="center"/>
    </xf>
    <xf numFmtId="0" fontId="44" fillId="2" borderId="28" xfId="3" applyNumberFormat="1" applyFill="1" applyBorder="1" applyAlignment="1">
      <alignment horizontal="center" vertical="center"/>
    </xf>
    <xf numFmtId="0" fontId="44" fillId="2" borderId="37" xfId="3" applyNumberFormat="1" applyFill="1" applyBorder="1" applyAlignment="1">
      <alignment horizontal="center" vertical="center"/>
    </xf>
    <xf numFmtId="2" fontId="44" fillId="2" borderId="49" xfId="3" applyFill="1" applyBorder="1" applyAlignment="1">
      <alignment horizontal="center" vertical="center"/>
    </xf>
    <xf numFmtId="2" fontId="44" fillId="2" borderId="27" xfId="3" applyFill="1" applyBorder="1" applyAlignment="1">
      <alignment horizontal="center" vertical="center"/>
    </xf>
    <xf numFmtId="2" fontId="44" fillId="2" borderId="66" xfId="3" applyFill="1" applyBorder="1" applyAlignment="1">
      <alignment horizontal="center" vertical="center"/>
    </xf>
    <xf numFmtId="1" fontId="45" fillId="2" borderId="67" xfId="3" applyNumberFormat="1" applyFont="1" applyFill="1" applyBorder="1" applyAlignment="1">
      <alignment horizontal="center" vertical="center"/>
    </xf>
    <xf numFmtId="0" fontId="44" fillId="2" borderId="32" xfId="3" applyNumberFormat="1" applyFill="1" applyBorder="1" applyAlignment="1">
      <alignment horizontal="center" vertical="center"/>
    </xf>
    <xf numFmtId="0" fontId="44" fillId="2" borderId="14" xfId="3" applyNumberFormat="1" applyFill="1" applyBorder="1" applyAlignment="1">
      <alignment horizontal="center" vertical="center"/>
    </xf>
    <xf numFmtId="2" fontId="44" fillId="2" borderId="68" xfId="3" applyFill="1" applyBorder="1" applyAlignment="1">
      <alignment horizontal="center" vertical="center"/>
    </xf>
    <xf numFmtId="1" fontId="44" fillId="2" borderId="32" xfId="3" applyNumberFormat="1" applyFill="1" applyBorder="1" applyAlignment="1">
      <alignment horizontal="center" vertical="center"/>
    </xf>
    <xf numFmtId="1" fontId="44" fillId="2" borderId="14" xfId="3" applyNumberFormat="1" applyFill="1" applyBorder="1" applyAlignment="1">
      <alignment horizontal="center" vertical="center"/>
    </xf>
    <xf numFmtId="164" fontId="44" fillId="2" borderId="14" xfId="3" applyNumberFormat="1" applyFill="1" applyBorder="1" applyAlignment="1">
      <alignment horizontal="center" vertical="center"/>
    </xf>
    <xf numFmtId="1" fontId="44" fillId="2" borderId="68" xfId="3" applyNumberFormat="1" applyFill="1" applyBorder="1" applyAlignment="1">
      <alignment horizontal="center" vertical="center"/>
    </xf>
    <xf numFmtId="0" fontId="44" fillId="2" borderId="69" xfId="3" applyNumberFormat="1" applyFill="1" applyBorder="1" applyAlignment="1">
      <alignment horizontal="center" vertical="center"/>
    </xf>
    <xf numFmtId="0" fontId="44" fillId="2" borderId="70" xfId="3" applyNumberFormat="1" applyFill="1" applyBorder="1" applyAlignment="1">
      <alignment horizontal="center" vertical="center"/>
    </xf>
    <xf numFmtId="2" fontId="44" fillId="2" borderId="71" xfId="3" applyFill="1" applyBorder="1" applyAlignment="1">
      <alignment horizontal="center" vertical="center"/>
    </xf>
    <xf numFmtId="0" fontId="44" fillId="2" borderId="72" xfId="3" applyNumberFormat="1" applyFill="1" applyBorder="1" applyAlignment="1">
      <alignment horizontal="center" vertical="center"/>
    </xf>
    <xf numFmtId="2" fontId="44" fillId="2" borderId="73" xfId="3" applyFill="1" applyBorder="1" applyAlignment="1">
      <alignment horizontal="center" vertical="center"/>
    </xf>
    <xf numFmtId="2" fontId="44" fillId="2" borderId="74" xfId="3" applyFill="1" applyBorder="1" applyAlignment="1">
      <alignment horizontal="center" vertical="center"/>
    </xf>
    <xf numFmtId="2" fontId="44" fillId="2" borderId="32" xfId="3" applyFill="1" applyBorder="1" applyAlignment="1">
      <alignment horizontal="center" vertical="center"/>
    </xf>
    <xf numFmtId="2" fontId="44" fillId="2" borderId="75" xfId="3" applyFill="1" applyBorder="1" applyAlignment="1">
      <alignment horizontal="center" vertical="center"/>
    </xf>
    <xf numFmtId="0" fontId="44" fillId="2" borderId="15" xfId="3" applyNumberFormat="1" applyFill="1" applyBorder="1" applyAlignment="1">
      <alignment horizontal="center" vertical="center"/>
    </xf>
    <xf numFmtId="0" fontId="44" fillId="2" borderId="16" xfId="3" applyNumberFormat="1" applyFill="1" applyBorder="1" applyAlignment="1">
      <alignment horizontal="center" vertical="center"/>
    </xf>
    <xf numFmtId="2" fontId="44" fillId="2" borderId="31" xfId="3" applyFill="1" applyBorder="1" applyAlignment="1">
      <alignment horizontal="center" vertical="center"/>
    </xf>
    <xf numFmtId="0" fontId="44" fillId="2" borderId="47" xfId="3" applyNumberFormat="1" applyFill="1" applyBorder="1" applyAlignment="1">
      <alignment horizontal="center" vertical="center"/>
    </xf>
    <xf numFmtId="2" fontId="44" fillId="2" borderId="76" xfId="3" applyFill="1" applyBorder="1" applyAlignment="1">
      <alignment horizontal="center" vertical="center"/>
    </xf>
    <xf numFmtId="0" fontId="44" fillId="2" borderId="68" xfId="3" applyNumberFormat="1" applyFill="1" applyBorder="1" applyAlignment="1">
      <alignment horizontal="center" vertical="center"/>
    </xf>
    <xf numFmtId="0" fontId="44" fillId="2" borderId="26" xfId="3" applyNumberFormat="1" applyFill="1" applyBorder="1" applyAlignment="1">
      <alignment horizontal="center" vertical="center"/>
    </xf>
    <xf numFmtId="1" fontId="45" fillId="2" borderId="77" xfId="3" applyNumberFormat="1" applyFont="1" applyFill="1" applyBorder="1" applyAlignment="1">
      <alignment horizontal="center" vertical="center"/>
    </xf>
    <xf numFmtId="0" fontId="44" fillId="2" borderId="78" xfId="3" applyNumberFormat="1" applyFill="1" applyBorder="1" applyAlignment="1">
      <alignment horizontal="center" vertical="center"/>
    </xf>
    <xf numFmtId="0" fontId="44" fillId="2" borderId="79" xfId="3" applyNumberFormat="1" applyFill="1" applyBorder="1" applyAlignment="1">
      <alignment horizontal="center" vertical="center"/>
    </xf>
    <xf numFmtId="0" fontId="44" fillId="2" borderId="80" xfId="3" applyNumberFormat="1" applyFill="1" applyBorder="1" applyAlignment="1">
      <alignment horizontal="center" vertical="center"/>
    </xf>
    <xf numFmtId="1" fontId="44" fillId="2" borderId="78" xfId="3" applyNumberFormat="1" applyFill="1" applyBorder="1" applyAlignment="1">
      <alignment horizontal="center" vertical="center"/>
    </xf>
    <xf numFmtId="1" fontId="44" fillId="2" borderId="79" xfId="3" applyNumberFormat="1" applyFill="1" applyBorder="1" applyAlignment="1">
      <alignment horizontal="center" vertical="center"/>
    </xf>
    <xf numFmtId="164" fontId="44" fillId="2" borderId="79" xfId="3" applyNumberFormat="1" applyFill="1" applyBorder="1" applyAlignment="1">
      <alignment horizontal="center" vertical="center"/>
    </xf>
    <xf numFmtId="1" fontId="44" fillId="2" borderId="80" xfId="3" applyNumberFormat="1" applyFill="1" applyBorder="1" applyAlignment="1">
      <alignment horizontal="center" vertical="center"/>
    </xf>
    <xf numFmtId="2" fontId="44" fillId="2" borderId="80" xfId="3" applyFill="1" applyBorder="1" applyAlignment="1">
      <alignment horizontal="center" vertical="center"/>
    </xf>
    <xf numFmtId="0" fontId="44" fillId="2" borderId="81" xfId="3" applyNumberFormat="1" applyFill="1" applyBorder="1" applyAlignment="1">
      <alignment horizontal="center" vertical="center"/>
    </xf>
    <xf numFmtId="2" fontId="44" fillId="2" borderId="82" xfId="3" applyFill="1" applyBorder="1" applyAlignment="1">
      <alignment horizontal="center" vertical="center"/>
    </xf>
    <xf numFmtId="2" fontId="44" fillId="2" borderId="78" xfId="3" applyFill="1" applyBorder="1" applyAlignment="1">
      <alignment horizontal="center" vertical="center"/>
    </xf>
    <xf numFmtId="2" fontId="44" fillId="2" borderId="83" xfId="3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" fillId="3" borderId="49" xfId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0" fontId="21" fillId="7" borderId="0" xfId="1" applyFont="1" applyFill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10" fillId="5" borderId="12" xfId="1" applyFont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2" fillId="7" borderId="17" xfId="1" applyFill="1" applyBorder="1" applyAlignment="1">
      <alignment horizontal="center" vertical="center"/>
    </xf>
    <xf numFmtId="0" fontId="2" fillId="7" borderId="18" xfId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5" fillId="5" borderId="23" xfId="1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35" fillId="2" borderId="3" xfId="1" applyFont="1" applyFill="1" applyBorder="1" applyAlignment="1">
      <alignment horizontal="center" vertical="center"/>
    </xf>
    <xf numFmtId="0" fontId="35" fillId="2" borderId="4" xfId="1" applyFont="1" applyFill="1" applyBorder="1" applyAlignment="1">
      <alignment horizontal="center" vertical="center"/>
    </xf>
    <xf numFmtId="0" fontId="35" fillId="2" borderId="5" xfId="1" applyFont="1" applyFill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1" fillId="7" borderId="9" xfId="1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36" fillId="5" borderId="23" xfId="1" applyFont="1" applyFill="1" applyBorder="1" applyAlignment="1">
      <alignment horizontal="center" vertical="center"/>
    </xf>
    <xf numFmtId="0" fontId="36" fillId="5" borderId="24" xfId="1" applyFont="1" applyFill="1" applyBorder="1" applyAlignment="1">
      <alignment horizontal="center" vertical="center"/>
    </xf>
    <xf numFmtId="0" fontId="36" fillId="5" borderId="25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/>
    </xf>
    <xf numFmtId="0" fontId="36" fillId="5" borderId="13" xfId="1" applyFont="1" applyFill="1" applyBorder="1" applyAlignment="1">
      <alignment horizontal="center" vertical="center"/>
    </xf>
    <xf numFmtId="0" fontId="36" fillId="5" borderId="26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 textRotation="90"/>
    </xf>
    <xf numFmtId="0" fontId="36" fillId="5" borderId="35" xfId="1" applyFont="1" applyFill="1" applyBorder="1" applyAlignment="1">
      <alignment horizontal="center" vertical="center" textRotation="90"/>
    </xf>
    <xf numFmtId="0" fontId="36" fillId="5" borderId="36" xfId="1" applyFont="1" applyFill="1" applyBorder="1" applyAlignment="1">
      <alignment horizontal="center" vertical="center" textRotation="90"/>
    </xf>
    <xf numFmtId="0" fontId="36" fillId="5" borderId="33" xfId="1" applyFont="1" applyFill="1" applyBorder="1" applyAlignment="1">
      <alignment horizontal="center" vertical="center" textRotation="90"/>
    </xf>
    <xf numFmtId="0" fontId="36" fillId="5" borderId="34" xfId="1" applyFont="1" applyFill="1" applyBorder="1" applyAlignment="1">
      <alignment horizontal="center" vertical="center" textRotation="90"/>
    </xf>
    <xf numFmtId="0" fontId="36" fillId="5" borderId="38" xfId="1" applyFont="1" applyFill="1" applyBorder="1" applyAlignment="1">
      <alignment horizontal="center" vertical="center" textRotation="90"/>
    </xf>
    <xf numFmtId="0" fontId="36" fillId="5" borderId="39" xfId="1" applyFont="1" applyFill="1" applyBorder="1" applyAlignment="1">
      <alignment horizontal="center" vertical="center" textRotation="90"/>
    </xf>
    <xf numFmtId="0" fontId="36" fillId="5" borderId="40" xfId="1" applyFont="1" applyFill="1" applyBorder="1" applyAlignment="1">
      <alignment horizontal="center" vertical="center" textRotation="90"/>
    </xf>
    <xf numFmtId="0" fontId="36" fillId="5" borderId="30" xfId="1" applyFont="1" applyFill="1" applyBorder="1" applyAlignment="1">
      <alignment horizontal="center" vertical="center" textRotation="90"/>
    </xf>
    <xf numFmtId="0" fontId="18" fillId="5" borderId="20" xfId="2" applyFont="1" applyFill="1" applyBorder="1" applyAlignment="1">
      <alignment horizontal="center" vertical="center"/>
    </xf>
    <xf numFmtId="0" fontId="18" fillId="5" borderId="40" xfId="2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7" borderId="42" xfId="1" applyFill="1" applyBorder="1" applyAlignment="1">
      <alignment horizontal="center" vertical="center"/>
    </xf>
    <xf numFmtId="0" fontId="2" fillId="7" borderId="43" xfId="1" applyFill="1" applyBorder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44" xfId="1" applyFill="1" applyBorder="1" applyAlignment="1">
      <alignment horizontal="center" vertical="center"/>
    </xf>
    <xf numFmtId="0" fontId="40" fillId="5" borderId="24" xfId="1" applyFont="1" applyFill="1" applyBorder="1" applyAlignment="1">
      <alignment horizontal="center" vertical="center"/>
    </xf>
    <xf numFmtId="0" fontId="40" fillId="5" borderId="12" xfId="1" applyFont="1" applyFill="1" applyBorder="1" applyAlignment="1">
      <alignment horizontal="center" vertical="center"/>
    </xf>
    <xf numFmtId="0" fontId="40" fillId="5" borderId="13" xfId="1" applyFont="1" applyFill="1" applyBorder="1" applyAlignment="1">
      <alignment horizontal="center" vertical="center"/>
    </xf>
    <xf numFmtId="0" fontId="5" fillId="5" borderId="45" xfId="1" applyFont="1" applyFill="1" applyBorder="1" applyAlignment="1">
      <alignment horizontal="center" vertical="center"/>
    </xf>
    <xf numFmtId="0" fontId="43" fillId="2" borderId="23" xfId="1" applyFont="1" applyFill="1" applyBorder="1" applyAlignment="1">
      <alignment horizontal="center" vertical="center"/>
    </xf>
    <xf numFmtId="0" fontId="43" fillId="2" borderId="25" xfId="1" applyFont="1" applyFill="1" applyBorder="1" applyAlignment="1">
      <alignment horizontal="center" vertical="center"/>
    </xf>
    <xf numFmtId="0" fontId="43" fillId="2" borderId="27" xfId="1" applyFont="1" applyFill="1" applyBorder="1" applyAlignment="1">
      <alignment horizontal="center" vertical="center"/>
    </xf>
    <xf numFmtId="0" fontId="43" fillId="2" borderId="29" xfId="1" applyFont="1" applyFill="1" applyBorder="1" applyAlignment="1">
      <alignment horizontal="center" vertical="center"/>
    </xf>
    <xf numFmtId="0" fontId="40" fillId="5" borderId="27" xfId="1" applyFont="1" applyFill="1" applyBorder="1" applyAlignment="1">
      <alignment horizontal="center" vertical="center"/>
    </xf>
    <xf numFmtId="0" fontId="40" fillId="5" borderId="28" xfId="1" applyFont="1" applyFill="1" applyBorder="1" applyAlignment="1">
      <alignment horizontal="center" vertical="center"/>
    </xf>
    <xf numFmtId="0" fontId="43" fillId="2" borderId="48" xfId="1" applyFont="1" applyFill="1" applyBorder="1" applyAlignment="1">
      <alignment horizontal="center" vertical="center"/>
    </xf>
    <xf numFmtId="0" fontId="43" fillId="2" borderId="49" xfId="1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 wrapText="1"/>
    </xf>
    <xf numFmtId="2" fontId="45" fillId="2" borderId="50" xfId="3" applyFont="1" applyFill="1" applyBorder="1" applyAlignment="1">
      <alignment horizontal="center" vertical="center" wrapText="1"/>
    </xf>
    <xf numFmtId="2" fontId="45" fillId="2" borderId="57" xfId="3" applyFont="1" applyFill="1" applyBorder="1" applyAlignment="1">
      <alignment horizontal="center" vertical="center" wrapText="1"/>
    </xf>
    <xf numFmtId="2" fontId="45" fillId="2" borderId="51" xfId="3" applyFont="1" applyFill="1" applyBorder="1" applyAlignment="1">
      <alignment horizontal="center" vertical="center" wrapText="1"/>
    </xf>
    <xf numFmtId="2" fontId="45" fillId="2" borderId="21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 wrapText="1"/>
    </xf>
    <xf numFmtId="2" fontId="45" fillId="2" borderId="53" xfId="3" applyFont="1" applyFill="1" applyBorder="1" applyAlignment="1">
      <alignment horizontal="center" vertical="center" wrapText="1"/>
    </xf>
    <xf numFmtId="2" fontId="45" fillId="2" borderId="54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/>
    </xf>
    <xf numFmtId="2" fontId="45" fillId="2" borderId="53" xfId="3" applyFont="1" applyFill="1" applyBorder="1" applyAlignment="1">
      <alignment horizontal="center" vertical="center"/>
    </xf>
    <xf numFmtId="2" fontId="45" fillId="2" borderId="55" xfId="3" applyFont="1" applyFill="1" applyBorder="1" applyAlignment="1">
      <alignment horizontal="center" vertical="center"/>
    </xf>
    <xf numFmtId="2" fontId="45" fillId="2" borderId="51" xfId="3" applyFont="1" applyFill="1" applyBorder="1" applyAlignment="1">
      <alignment horizontal="center" vertical="center"/>
    </xf>
    <xf numFmtId="2" fontId="45" fillId="2" borderId="56" xfId="3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2" fontId="45" fillId="2" borderId="20" xfId="3" applyFont="1" applyFill="1" applyBorder="1" applyAlignment="1">
      <alignment horizontal="center" vertical="center"/>
    </xf>
    <xf numFmtId="2" fontId="45" fillId="2" borderId="22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1709</xdr:colOff>
      <xdr:row>32</xdr:row>
      <xdr:rowOff>157604</xdr:rowOff>
    </xdr:from>
    <xdr:ext cx="2795149" cy="26233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67572" y="5209768"/>
          <a:ext cx="2795149" cy="2623322"/>
        </a:xfrm>
        <a:prstGeom prst="rect">
          <a:avLst/>
        </a:prstGeom>
      </xdr:spPr>
    </xdr:pic>
    <xdr:clientData/>
  </xdr:oneCellAnchor>
  <xdr:oneCellAnchor>
    <xdr:from>
      <xdr:col>23</xdr:col>
      <xdr:colOff>686928</xdr:colOff>
      <xdr:row>45</xdr:row>
      <xdr:rowOff>59741</xdr:rowOff>
    </xdr:from>
    <xdr:ext cx="2772633" cy="27181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7803" y="8060741"/>
          <a:ext cx="2772633" cy="2718128"/>
        </a:xfrm>
        <a:prstGeom prst="rect">
          <a:avLst/>
        </a:prstGeom>
      </xdr:spPr>
    </xdr:pic>
    <xdr:clientData/>
  </xdr:oneCellAnchor>
  <xdr:oneCellAnchor>
    <xdr:from>
      <xdr:col>24</xdr:col>
      <xdr:colOff>35023</xdr:colOff>
      <xdr:row>16</xdr:row>
      <xdr:rowOff>23488</xdr:rowOff>
    </xdr:from>
    <xdr:ext cx="2763970" cy="109919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0886" y="3697789"/>
          <a:ext cx="2763970" cy="1099199"/>
        </a:xfrm>
        <a:prstGeom prst="rect">
          <a:avLst/>
        </a:prstGeom>
      </xdr:spPr>
    </xdr:pic>
    <xdr:clientData/>
  </xdr:oneCellAnchor>
  <xdr:oneCellAnchor>
    <xdr:from>
      <xdr:col>23</xdr:col>
      <xdr:colOff>667787</xdr:colOff>
      <xdr:row>0</xdr:row>
      <xdr:rowOff>224877</xdr:rowOff>
    </xdr:from>
    <xdr:ext cx="2799079" cy="50795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8662" y="224877"/>
          <a:ext cx="2799079" cy="507956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56</xdr:row>
      <xdr:rowOff>182837</xdr:rowOff>
    </xdr:from>
    <xdr:ext cx="2783533" cy="2432938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6675" y="10698437"/>
          <a:ext cx="2783533" cy="2432938"/>
        </a:xfrm>
        <a:prstGeom prst="rect">
          <a:avLst/>
        </a:prstGeom>
      </xdr:spPr>
    </xdr:pic>
    <xdr:clientData/>
  </xdr:oneCellAnchor>
  <xdr:oneCellAnchor>
    <xdr:from>
      <xdr:col>24</xdr:col>
      <xdr:colOff>352295</xdr:colOff>
      <xdr:row>3</xdr:row>
      <xdr:rowOff>37423</xdr:rowOff>
    </xdr:from>
    <xdr:ext cx="2254609" cy="283312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68970" y="723223"/>
          <a:ext cx="2254609" cy="2833125"/>
        </a:xfrm>
        <a:prstGeom prst="rect">
          <a:avLst/>
        </a:prstGeom>
      </xdr:spPr>
    </xdr:pic>
    <xdr:clientData/>
  </xdr:oneCellAnchor>
  <xdr:oneCellAnchor>
    <xdr:from>
      <xdr:col>20</xdr:col>
      <xdr:colOff>489622</xdr:colOff>
      <xdr:row>34</xdr:row>
      <xdr:rowOff>104385</xdr:rowOff>
    </xdr:from>
    <xdr:ext cx="2725394" cy="329097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6964" y="5615837"/>
          <a:ext cx="2725394" cy="329097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CT217"/>
  <sheetViews>
    <sheetView tabSelected="1" topLeftCell="A35" zoomScale="55" zoomScaleNormal="55" zoomScaleSheetLayoutView="64" workbookViewId="0">
      <selection activeCell="B1" sqref="B1:AA67"/>
    </sheetView>
  </sheetViews>
  <sheetFormatPr defaultColWidth="9.109375" defaultRowHeight="14.4" x14ac:dyDescent="0.3"/>
  <cols>
    <col min="1" max="2" width="9.109375" style="8" customWidth="1"/>
    <col min="3" max="3" width="8.44140625" style="8" customWidth="1"/>
    <col min="4" max="4" width="14.33203125" style="8" bestFit="1" customWidth="1"/>
    <col min="5" max="5" width="10.44140625" style="8" customWidth="1"/>
    <col min="6" max="6" width="10.5546875" style="8" customWidth="1"/>
    <col min="7" max="7" width="9.44140625" style="8" customWidth="1"/>
    <col min="8" max="8" width="12.5546875" style="8" customWidth="1"/>
    <col min="9" max="9" width="11.109375" style="8" customWidth="1"/>
    <col min="10" max="10" width="14.33203125" style="8" bestFit="1" customWidth="1"/>
    <col min="11" max="11" width="11.44140625" style="8" customWidth="1"/>
    <col min="12" max="12" width="11.6640625" style="8" customWidth="1"/>
    <col min="13" max="13" width="11" style="8" customWidth="1"/>
    <col min="14" max="14" width="14.33203125" style="8" bestFit="1" customWidth="1"/>
    <col min="15" max="15" width="17.109375" style="8" customWidth="1"/>
    <col min="16" max="16" width="11.44140625" style="8" customWidth="1"/>
    <col min="17" max="17" width="11.5546875" style="8" customWidth="1"/>
    <col min="18" max="18" width="14.33203125" style="8" bestFit="1" customWidth="1"/>
    <col min="19" max="19" width="14.109375" style="8" customWidth="1"/>
    <col min="20" max="20" width="17.5546875" style="8" bestFit="1" customWidth="1"/>
    <col min="21" max="21" width="11" style="8" customWidth="1"/>
    <col min="22" max="23" width="13.33203125" style="8" bestFit="1" customWidth="1"/>
    <col min="24" max="24" width="10.33203125" style="8" customWidth="1"/>
    <col min="25" max="25" width="23.109375" style="8" customWidth="1"/>
    <col min="26" max="16384" width="9.109375" style="8"/>
  </cols>
  <sheetData>
    <row r="1" spans="1:98" ht="18" customHeight="1" thickBot="1" x14ac:dyDescent="0.35">
      <c r="A1" s="1"/>
      <c r="B1" s="2"/>
      <c r="C1" s="3"/>
      <c r="D1" s="199" t="s">
        <v>0</v>
      </c>
      <c r="E1" s="200"/>
      <c r="F1" s="4" t="s">
        <v>235</v>
      </c>
      <c r="G1" s="5"/>
      <c r="H1" s="5"/>
      <c r="I1" s="5"/>
      <c r="J1" s="201" t="s">
        <v>1</v>
      </c>
      <c r="K1" s="202"/>
      <c r="L1" s="202"/>
      <c r="M1" s="202"/>
      <c r="N1" s="202"/>
      <c r="O1" s="203"/>
      <c r="P1" s="3"/>
      <c r="Q1" s="3"/>
      <c r="R1" s="3"/>
      <c r="S1" s="5"/>
      <c r="T1" s="5"/>
      <c r="U1" s="5"/>
      <c r="V1" s="5"/>
      <c r="W1" s="5"/>
      <c r="X1" s="5"/>
      <c r="Y1" s="3"/>
      <c r="Z1" s="3"/>
      <c r="AA1" s="6"/>
      <c r="AB1" s="7"/>
      <c r="AC1" s="1"/>
      <c r="AD1" s="1"/>
      <c r="AE1" s="1"/>
      <c r="AF1" s="1"/>
      <c r="AG1" s="1"/>
      <c r="AH1" s="1"/>
      <c r="AI1" s="1"/>
      <c r="AJ1" s="1"/>
    </row>
    <row r="2" spans="1:98" ht="18" customHeight="1" thickBot="1" x14ac:dyDescent="0.35">
      <c r="A2" s="1"/>
      <c r="B2" s="9"/>
      <c r="C2" s="10"/>
      <c r="J2" s="204"/>
      <c r="K2" s="205"/>
      <c r="L2" s="205"/>
      <c r="M2" s="205"/>
      <c r="N2" s="205"/>
      <c r="O2" s="206"/>
      <c r="P2" s="10"/>
      <c r="Q2" s="10"/>
      <c r="R2" s="10"/>
      <c r="Y2" s="10"/>
      <c r="Z2" s="10"/>
      <c r="AA2" s="1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8" customHeight="1" x14ac:dyDescent="0.3">
      <c r="A3" s="1"/>
      <c r="B3" s="12" t="s">
        <v>2</v>
      </c>
      <c r="C3" s="13">
        <v>44</v>
      </c>
      <c r="E3" s="207" t="s">
        <v>233</v>
      </c>
      <c r="F3" s="208"/>
      <c r="G3" s="15" t="s">
        <v>3</v>
      </c>
      <c r="H3" s="14" t="s">
        <v>4</v>
      </c>
      <c r="I3" s="14" t="s">
        <v>5</v>
      </c>
      <c r="J3" s="16" t="s">
        <v>6</v>
      </c>
      <c r="K3" s="16" t="s">
        <v>7</v>
      </c>
      <c r="M3" s="209" t="s">
        <v>234</v>
      </c>
      <c r="N3" s="210"/>
      <c r="O3" s="17" t="s">
        <v>3</v>
      </c>
      <c r="P3" s="14" t="s">
        <v>4</v>
      </c>
      <c r="Q3" s="14" t="s">
        <v>5</v>
      </c>
      <c r="R3" s="14" t="s">
        <v>6</v>
      </c>
      <c r="S3" s="14" t="s">
        <v>7</v>
      </c>
      <c r="V3" s="10"/>
      <c r="W3" s="10"/>
      <c r="Y3" s="212"/>
      <c r="Z3" s="213"/>
      <c r="AA3" s="214"/>
      <c r="AB3" s="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8" customHeight="1" x14ac:dyDescent="0.3">
      <c r="A4" s="1"/>
      <c r="B4" s="12" t="s">
        <v>8</v>
      </c>
      <c r="C4" s="20">
        <f>IF(C3=37,2.4,IF(C3=44,2.8,3.6))</f>
        <v>2.8</v>
      </c>
      <c r="E4" s="208"/>
      <c r="F4" s="208"/>
      <c r="G4" s="21" t="s">
        <v>9</v>
      </c>
      <c r="H4" s="21" t="s">
        <v>10</v>
      </c>
      <c r="I4" s="21" t="s">
        <v>10</v>
      </c>
      <c r="J4" s="21" t="s">
        <v>10</v>
      </c>
      <c r="K4" s="21" t="s">
        <v>10</v>
      </c>
      <c r="M4" s="208"/>
      <c r="N4" s="208"/>
      <c r="O4" s="21" t="s">
        <v>9</v>
      </c>
      <c r="P4" s="21" t="s">
        <v>10</v>
      </c>
      <c r="Q4" s="21" t="s">
        <v>10</v>
      </c>
      <c r="R4" s="21" t="s">
        <v>10</v>
      </c>
      <c r="S4" s="21" t="s">
        <v>10</v>
      </c>
      <c r="V4" s="10"/>
      <c r="W4" s="10"/>
      <c r="Y4" s="215"/>
      <c r="Z4" s="216"/>
      <c r="AA4" s="217"/>
      <c r="AB4" s="7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8" customHeight="1" x14ac:dyDescent="0.3">
      <c r="A5" s="1"/>
      <c r="B5" s="24" t="s">
        <v>11</v>
      </c>
      <c r="C5" s="25">
        <f>IF(C3=37,3.7,IF(C3=44,4.4,5.2))</f>
        <v>4.4000000000000004</v>
      </c>
      <c r="E5" s="208"/>
      <c r="F5" s="208"/>
      <c r="G5" s="26">
        <f>H5+(2*K5)</f>
        <v>94</v>
      </c>
      <c r="H5" s="27">
        <v>90</v>
      </c>
      <c r="I5" s="28">
        <v>1</v>
      </c>
      <c r="J5" s="28">
        <v>30</v>
      </c>
      <c r="K5" s="29">
        <v>2</v>
      </c>
      <c r="M5" s="211"/>
      <c r="N5" s="211"/>
      <c r="O5" s="30">
        <f>P5+(2*S5)</f>
        <v>64</v>
      </c>
      <c r="P5" s="27">
        <v>60</v>
      </c>
      <c r="Q5" s="28">
        <v>0.8</v>
      </c>
      <c r="R5" s="27">
        <v>30</v>
      </c>
      <c r="S5" s="31">
        <v>2</v>
      </c>
      <c r="V5" s="10"/>
      <c r="W5" s="10"/>
      <c r="Y5" s="215"/>
      <c r="Z5" s="216"/>
      <c r="AA5" s="217"/>
      <c r="AB5" s="7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8" customHeight="1" x14ac:dyDescent="0.3">
      <c r="A6" s="1"/>
      <c r="B6" s="230" t="s">
        <v>12</v>
      </c>
      <c r="C6" s="208"/>
      <c r="D6" s="14" t="s">
        <v>13</v>
      </c>
      <c r="E6" s="32" t="s">
        <v>14</v>
      </c>
      <c r="F6" s="32" t="s">
        <v>15</v>
      </c>
      <c r="G6" s="14" t="s">
        <v>16</v>
      </c>
      <c r="I6" s="207" t="s">
        <v>17</v>
      </c>
      <c r="J6" s="208"/>
      <c r="K6" s="15" t="s">
        <v>18</v>
      </c>
      <c r="L6" s="15" t="s">
        <v>19</v>
      </c>
      <c r="M6" s="33" t="s">
        <v>20</v>
      </c>
      <c r="N6" s="33" t="s">
        <v>21</v>
      </c>
      <c r="O6" s="33" t="s">
        <v>22</v>
      </c>
      <c r="P6" s="15" t="s">
        <v>23</v>
      </c>
      <c r="Q6" s="15" t="s">
        <v>24</v>
      </c>
      <c r="V6" s="10"/>
      <c r="W6" s="10"/>
      <c r="Y6" s="215"/>
      <c r="Z6" s="216"/>
      <c r="AA6" s="217"/>
      <c r="AB6" s="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8" customHeight="1" x14ac:dyDescent="0.3">
      <c r="A7" s="1"/>
      <c r="B7" s="231"/>
      <c r="C7" s="208"/>
      <c r="D7" s="21" t="s">
        <v>25</v>
      </c>
      <c r="E7" s="21" t="s">
        <v>26</v>
      </c>
      <c r="F7" s="21" t="s">
        <v>26</v>
      </c>
      <c r="G7" s="21" t="s">
        <v>26</v>
      </c>
      <c r="I7" s="208"/>
      <c r="J7" s="208"/>
      <c r="K7" s="21" t="s">
        <v>27</v>
      </c>
      <c r="L7" s="21" t="s">
        <v>10</v>
      </c>
      <c r="M7" s="21" t="s">
        <v>28</v>
      </c>
      <c r="N7" s="21" t="s">
        <v>27</v>
      </c>
      <c r="O7" s="21" t="s">
        <v>27</v>
      </c>
      <c r="P7" s="21" t="s">
        <v>10</v>
      </c>
      <c r="Q7" s="21" t="s">
        <v>10</v>
      </c>
      <c r="Y7" s="215"/>
      <c r="Z7" s="216"/>
      <c r="AA7" s="217"/>
      <c r="AB7" s="7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8" customHeight="1" thickBot="1" x14ac:dyDescent="0.35">
      <c r="A8" s="1"/>
      <c r="B8" s="231"/>
      <c r="C8" s="208"/>
      <c r="D8" s="27">
        <v>58.797910000000002</v>
      </c>
      <c r="E8" s="27">
        <v>0</v>
      </c>
      <c r="F8" s="27">
        <v>-26.759399999999999</v>
      </c>
      <c r="G8" s="27">
        <v>-0.67269999999999996</v>
      </c>
      <c r="I8" s="208"/>
      <c r="J8" s="208"/>
      <c r="K8" s="27" t="s">
        <v>221</v>
      </c>
      <c r="L8" s="31">
        <v>100</v>
      </c>
      <c r="M8" s="34">
        <f>VLOOKUP(N8,grade,3,FALSE)</f>
        <v>10</v>
      </c>
      <c r="N8" s="31">
        <v>10.9</v>
      </c>
      <c r="O8" s="35" t="str">
        <f>IF(N8=8.8,"B or C",IF(N8=10.9,"B or C","A"))</f>
        <v>B or C</v>
      </c>
      <c r="P8" s="34">
        <f>3*(VLOOKUP(K8,bolts,3,FALSE)/10)</f>
        <v>8.1000000000000014</v>
      </c>
      <c r="Q8" s="34">
        <f>6*(VLOOKUP(K8,bolts,3,FALSE)/10)</f>
        <v>16.200000000000003</v>
      </c>
      <c r="T8" s="36"/>
      <c r="U8" s="36"/>
      <c r="V8" s="36"/>
      <c r="W8" s="36"/>
      <c r="X8" s="36"/>
      <c r="Y8" s="215"/>
      <c r="Z8" s="216"/>
      <c r="AA8" s="217"/>
      <c r="AB8" s="7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8" customHeight="1" x14ac:dyDescent="0.3">
      <c r="A9" s="1"/>
      <c r="B9" s="232"/>
      <c r="C9" s="233"/>
      <c r="D9" s="233"/>
      <c r="E9" s="233"/>
      <c r="F9" s="233"/>
      <c r="G9" s="233"/>
      <c r="H9" s="234"/>
      <c r="I9" s="233"/>
      <c r="J9" s="233"/>
      <c r="K9" s="235" t="s">
        <v>30</v>
      </c>
      <c r="L9" s="235"/>
      <c r="M9" s="235"/>
      <c r="N9" s="235"/>
      <c r="O9" s="37"/>
      <c r="P9" s="37"/>
      <c r="Q9" s="37"/>
      <c r="R9" s="38"/>
      <c r="S9" s="38"/>
      <c r="T9" s="38"/>
      <c r="U9" s="39"/>
      <c r="V9" s="39"/>
      <c r="W9" s="39"/>
      <c r="X9" s="39"/>
      <c r="Y9" s="215"/>
      <c r="Z9" s="216"/>
      <c r="AA9" s="217"/>
      <c r="AB9" s="7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8" customHeight="1" x14ac:dyDescent="0.3">
      <c r="A10" s="1"/>
      <c r="B10" s="227" t="s">
        <v>31</v>
      </c>
      <c r="C10" s="228"/>
      <c r="D10" s="15" t="s">
        <v>3</v>
      </c>
      <c r="E10" s="14" t="s">
        <v>4</v>
      </c>
      <c r="F10" s="14" t="s">
        <v>5</v>
      </c>
      <c r="G10" s="14" t="s">
        <v>6</v>
      </c>
      <c r="H10" s="14" t="s">
        <v>32</v>
      </c>
      <c r="I10" s="14" t="s">
        <v>33</v>
      </c>
      <c r="J10" s="21" t="s">
        <v>34</v>
      </c>
      <c r="K10" s="14" t="s">
        <v>35</v>
      </c>
      <c r="L10" s="14" t="s">
        <v>36</v>
      </c>
      <c r="M10" s="221" t="s">
        <v>37</v>
      </c>
      <c r="N10" s="221"/>
      <c r="O10" s="14" t="s">
        <v>38</v>
      </c>
      <c r="P10" s="14" t="s">
        <v>39</v>
      </c>
      <c r="Q10" s="14" t="s">
        <v>40</v>
      </c>
      <c r="R10" s="14" t="s">
        <v>41</v>
      </c>
      <c r="S10" s="14" t="s">
        <v>42</v>
      </c>
      <c r="T10" s="14" t="s">
        <v>43</v>
      </c>
      <c r="Y10" s="215"/>
      <c r="Z10" s="216"/>
      <c r="AA10" s="217"/>
      <c r="AB10" s="7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8" customHeight="1" x14ac:dyDescent="0.3">
      <c r="A11" s="1"/>
      <c r="B11" s="229"/>
      <c r="C11" s="228"/>
      <c r="D11" s="21" t="s">
        <v>9</v>
      </c>
      <c r="E11" s="21" t="s">
        <v>10</v>
      </c>
      <c r="F11" s="21" t="s">
        <v>10</v>
      </c>
      <c r="G11" s="21" t="s">
        <v>10</v>
      </c>
      <c r="H11" s="21" t="s">
        <v>10</v>
      </c>
      <c r="I11" s="21" t="s">
        <v>10</v>
      </c>
      <c r="J11" s="21" t="s">
        <v>10</v>
      </c>
      <c r="K11" s="21" t="s">
        <v>44</v>
      </c>
      <c r="L11" s="21" t="s">
        <v>45</v>
      </c>
      <c r="M11" s="221"/>
      <c r="N11" s="221"/>
      <c r="O11" s="21" t="s">
        <v>46</v>
      </c>
      <c r="P11" s="21" t="s">
        <v>46</v>
      </c>
      <c r="Q11" s="21" t="s">
        <v>46</v>
      </c>
      <c r="R11" s="21" t="s">
        <v>46</v>
      </c>
      <c r="S11" s="21" t="s">
        <v>46</v>
      </c>
      <c r="T11" s="21" t="s">
        <v>47</v>
      </c>
      <c r="Y11" s="215"/>
      <c r="Z11" s="216"/>
      <c r="AA11" s="217"/>
      <c r="AB11" s="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8" customHeight="1" thickBot="1" x14ac:dyDescent="0.35">
      <c r="A12" s="1"/>
      <c r="B12" s="229"/>
      <c r="C12" s="228"/>
      <c r="D12" s="26">
        <f>G5</f>
        <v>94</v>
      </c>
      <c r="E12" s="26">
        <f>H5</f>
        <v>90</v>
      </c>
      <c r="F12" s="26">
        <f>I5</f>
        <v>1</v>
      </c>
      <c r="G12" s="26">
        <f>J5</f>
        <v>30</v>
      </c>
      <c r="H12" s="34">
        <f>K5</f>
        <v>2</v>
      </c>
      <c r="I12" s="27">
        <v>0.8</v>
      </c>
      <c r="J12" s="31">
        <v>0.8</v>
      </c>
      <c r="K12" s="40">
        <f>(2*G12*I12)+(4*I12*((G12-F12-(2*I12))/2))+(2*(E12-(2*J12))*J12)</f>
        <v>233.28000000000003</v>
      </c>
      <c r="L12" s="21">
        <f>(2*((G12*(I12^3)/12)+((G12*I12)*(((0.5*I12)+(0.5*D12))^2))))+(4*(((0.5*(G12-F12-(2*I12)))*(I12^3)/12)+(((0.5*(G12-F12-(2*I12)))*I12)*(((-0.5*I12)+(0.5*E12))^2))))+(2*(J12*((E12-(2*J12))^3)/12))</f>
        <v>287161.76640000002</v>
      </c>
      <c r="M12" s="221"/>
      <c r="N12" s="221"/>
      <c r="O12" s="41">
        <v>0</v>
      </c>
      <c r="P12" s="41">
        <f>((100*D8*(I12+(D12/2))/L12)+(E8/K12))*I12</f>
        <v>0.78298448522149777</v>
      </c>
      <c r="Q12" s="41">
        <f>G8/(2*(E12-(2*J12)))</f>
        <v>-3.8048642533936648E-3</v>
      </c>
      <c r="R12" s="41">
        <f>((100*D8*(0.5*(E12-(2*I12)))/L12)+(E8/K12))*I12</f>
        <v>0.7240149424014688</v>
      </c>
      <c r="S12" s="41">
        <f>SQRT((R12^2)+(3*(Q12^2)))</f>
        <v>0.72404493492915367</v>
      </c>
      <c r="T12" s="40">
        <f>0.7*I12*0.4*C5</f>
        <v>0.98560000000000003</v>
      </c>
      <c r="Y12" s="215"/>
      <c r="Z12" s="216"/>
      <c r="AA12" s="217"/>
      <c r="AB12" s="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8" customHeight="1" thickBot="1" x14ac:dyDescent="0.35">
      <c r="A13" s="1"/>
      <c r="B13" s="22"/>
      <c r="M13" s="221"/>
      <c r="N13" s="222"/>
      <c r="O13" s="42" t="str">
        <f>IF(O12&gt;T12,"un safe","safe")</f>
        <v>safe</v>
      </c>
      <c r="P13" s="42" t="str">
        <f>IF(P12&gt;T12,"un safe","safe")</f>
        <v>safe</v>
      </c>
      <c r="Q13" s="42" t="str">
        <f>IF(Q12&gt;T12,"un safe","safe")</f>
        <v>safe</v>
      </c>
      <c r="R13" s="42" t="str">
        <f>IF(R12&gt;T12,"un safe","safe")</f>
        <v>safe</v>
      </c>
      <c r="S13" s="42" t="str">
        <f>IF(S12&gt;T12,"un safe","safe")</f>
        <v>safe</v>
      </c>
      <c r="T13" s="43" t="s">
        <v>27</v>
      </c>
      <c r="Y13" s="215"/>
      <c r="Z13" s="216"/>
      <c r="AA13" s="217"/>
      <c r="AB13" s="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8" customHeight="1" thickBot="1" x14ac:dyDescent="0.35">
      <c r="A14" s="1"/>
      <c r="B14" s="223"/>
      <c r="C14" s="224"/>
      <c r="D14" s="224"/>
      <c r="E14" s="224"/>
      <c r="F14" s="224"/>
      <c r="G14" s="224"/>
      <c r="H14" s="224"/>
      <c r="I14" s="224"/>
      <c r="J14" s="224"/>
      <c r="K14" s="225" t="s">
        <v>48</v>
      </c>
      <c r="L14" s="225"/>
      <c r="M14" s="225"/>
      <c r="N14" s="225"/>
      <c r="O14" s="224"/>
      <c r="P14" s="224"/>
      <c r="Q14" s="224"/>
      <c r="R14" s="226"/>
      <c r="S14" s="226"/>
      <c r="T14" s="226"/>
      <c r="U14" s="226"/>
      <c r="V14" s="226"/>
      <c r="W14" s="226"/>
      <c r="X14" s="226"/>
      <c r="Y14" s="215"/>
      <c r="Z14" s="216"/>
      <c r="AA14" s="217"/>
      <c r="AB14" s="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8" customHeight="1" x14ac:dyDescent="0.3">
      <c r="A15" s="1"/>
      <c r="B15" s="227" t="s">
        <v>49</v>
      </c>
      <c r="C15" s="228"/>
      <c r="D15" s="15" t="s">
        <v>3</v>
      </c>
      <c r="E15" s="14" t="s">
        <v>32</v>
      </c>
      <c r="F15" s="14" t="s">
        <v>50</v>
      </c>
      <c r="G15" s="14" t="s">
        <v>51</v>
      </c>
      <c r="H15" s="44"/>
      <c r="I15" s="14" t="s">
        <v>52</v>
      </c>
      <c r="J15" s="14" t="s">
        <v>53</v>
      </c>
      <c r="K15" s="14" t="s">
        <v>54</v>
      </c>
      <c r="L15" s="14" t="s">
        <v>55</v>
      </c>
      <c r="M15" s="14" t="s">
        <v>56</v>
      </c>
      <c r="N15" s="14" t="s">
        <v>57</v>
      </c>
      <c r="O15" s="14" t="s">
        <v>58</v>
      </c>
      <c r="P15" s="14" t="s">
        <v>59</v>
      </c>
      <c r="Q15" s="14" t="s">
        <v>60</v>
      </c>
      <c r="R15" s="45" t="s">
        <v>61</v>
      </c>
      <c r="S15" s="46" t="s">
        <v>62</v>
      </c>
      <c r="T15" s="47" t="s">
        <v>63</v>
      </c>
      <c r="U15" s="5"/>
      <c r="V15" s="5"/>
      <c r="W15" s="5"/>
      <c r="X15" s="5"/>
      <c r="Y15" s="215"/>
      <c r="Z15" s="216"/>
      <c r="AA15" s="217"/>
      <c r="AB15" s="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8" customHeight="1" thickBot="1" x14ac:dyDescent="0.35">
      <c r="A16" s="1"/>
      <c r="B16" s="229"/>
      <c r="C16" s="228"/>
      <c r="D16" s="21" t="s">
        <v>9</v>
      </c>
      <c r="E16" s="21" t="s">
        <v>10</v>
      </c>
      <c r="F16" s="21" t="s">
        <v>10</v>
      </c>
      <c r="G16" s="21" t="s">
        <v>10</v>
      </c>
      <c r="I16" s="21" t="s">
        <v>10</v>
      </c>
      <c r="J16" s="21" t="s">
        <v>27</v>
      </c>
      <c r="K16" s="21" t="s">
        <v>27</v>
      </c>
      <c r="L16" s="21" t="s">
        <v>10</v>
      </c>
      <c r="M16" s="21" t="s">
        <v>64</v>
      </c>
      <c r="N16" s="21" t="s">
        <v>10</v>
      </c>
      <c r="O16" s="21" t="s">
        <v>10</v>
      </c>
      <c r="P16" s="21" t="s">
        <v>10</v>
      </c>
      <c r="Q16" s="21" t="s">
        <v>10</v>
      </c>
      <c r="R16" s="48" t="s">
        <v>65</v>
      </c>
      <c r="S16" s="49" t="s">
        <v>65</v>
      </c>
      <c r="T16" s="50" t="s">
        <v>66</v>
      </c>
      <c r="Y16" s="218"/>
      <c r="Z16" s="219"/>
      <c r="AA16" s="220"/>
      <c r="AB16" s="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8" customHeight="1" thickBot="1" x14ac:dyDescent="0.35">
      <c r="A17" s="1"/>
      <c r="B17" s="229"/>
      <c r="C17" s="228"/>
      <c r="D17" s="26">
        <f>G5</f>
        <v>94</v>
      </c>
      <c r="E17" s="21">
        <f>K5</f>
        <v>2</v>
      </c>
      <c r="F17" s="40">
        <f>J5</f>
        <v>30</v>
      </c>
      <c r="G17" s="40">
        <f>F17+2</f>
        <v>32</v>
      </c>
      <c r="H17" s="53"/>
      <c r="I17" s="21">
        <f>ROUND((D17+1.25*L8),0)</f>
        <v>219</v>
      </c>
      <c r="J17" s="21">
        <f>IF(G17&gt;25,4,2)</f>
        <v>4</v>
      </c>
      <c r="K17" s="31" t="s">
        <v>67</v>
      </c>
      <c r="L17" s="21">
        <f>IF(J17=2,G17/2,G17/4)</f>
        <v>8</v>
      </c>
      <c r="M17" s="54">
        <f>ROUND(IF(K17="extended",(IF(J17=2,(0.5*(SQRT((D8*100*L8)/((D17-E17)*L17*C4)))),(0.353*(SQRT((D8*100*L8)/((D17-E17)*L17*C4)))))),(SQRT((2*100*D8*0.5*L8)/(C4*L17*(D17-E17))))),1)</f>
        <v>6</v>
      </c>
      <c r="N17" s="26">
        <f>S5</f>
        <v>2</v>
      </c>
      <c r="O17" s="26">
        <f>Q5</f>
        <v>0.8</v>
      </c>
      <c r="P17" s="26">
        <f>O5</f>
        <v>64</v>
      </c>
      <c r="Q17" s="40">
        <f>R5</f>
        <v>30</v>
      </c>
      <c r="R17" s="55">
        <f>ROUND(I36*N31,2)</f>
        <v>0</v>
      </c>
      <c r="S17" s="56">
        <f>ROUND(ABS(I36*N31-O31*D36),2)</f>
        <v>481.63</v>
      </c>
      <c r="T17" s="57">
        <f>IF(ROUND(SQRT((4*MAX(R17:S17))/(L17*C4)),1)&gt;=H12,ROUND(SQRT((4*MAX(R17:S17))/(L17*C4)),1),H12)</f>
        <v>9.3000000000000007</v>
      </c>
      <c r="Y17" s="212"/>
      <c r="Z17" s="213"/>
      <c r="AA17" s="214"/>
      <c r="AB17" s="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8" customHeight="1" thickBot="1" x14ac:dyDescent="0.35">
      <c r="A18" s="1"/>
      <c r="B18" s="246"/>
      <c r="C18" s="226"/>
      <c r="D18" s="226"/>
      <c r="E18" s="226"/>
      <c r="F18" s="226"/>
      <c r="G18" s="226"/>
      <c r="H18" s="226"/>
      <c r="I18" s="226"/>
      <c r="J18" s="226"/>
      <c r="K18" s="247" t="s">
        <v>68</v>
      </c>
      <c r="L18" s="247"/>
      <c r="M18" s="247"/>
      <c r="N18" s="247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15"/>
      <c r="Z18" s="216"/>
      <c r="AA18" s="217"/>
      <c r="AB18" s="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8" hidden="1" customHeight="1" x14ac:dyDescent="0.3">
      <c r="A19" s="1"/>
      <c r="B19" s="236" t="s">
        <v>69</v>
      </c>
      <c r="C19" s="248"/>
      <c r="D19" s="58" t="s">
        <v>70</v>
      </c>
      <c r="E19" s="58" t="s">
        <v>71</v>
      </c>
      <c r="F19" s="58" t="s">
        <v>72</v>
      </c>
      <c r="G19" s="59" t="s">
        <v>73</v>
      </c>
      <c r="H19" s="59" t="s">
        <v>74</v>
      </c>
      <c r="I19" s="59" t="s">
        <v>75</v>
      </c>
      <c r="J19" s="59" t="s">
        <v>76</v>
      </c>
      <c r="K19" s="59" t="s">
        <v>77</v>
      </c>
      <c r="L19" s="59" t="s">
        <v>78</v>
      </c>
      <c r="M19" s="59" t="s">
        <v>79</v>
      </c>
      <c r="N19" s="59" t="s">
        <v>80</v>
      </c>
      <c r="O19" s="59" t="s">
        <v>81</v>
      </c>
      <c r="P19" s="59" t="s">
        <v>82</v>
      </c>
      <c r="Q19" s="59" t="s">
        <v>83</v>
      </c>
      <c r="R19" s="59" t="s">
        <v>84</v>
      </c>
      <c r="S19" s="59" t="s">
        <v>85</v>
      </c>
      <c r="T19" s="60" t="s">
        <v>86</v>
      </c>
      <c r="U19" s="59" t="s">
        <v>87</v>
      </c>
      <c r="V19" s="61" t="s">
        <v>88</v>
      </c>
      <c r="W19" s="58" t="s">
        <v>71</v>
      </c>
      <c r="X19" s="5"/>
      <c r="Y19" s="215"/>
      <c r="Z19" s="216"/>
      <c r="AA19" s="217"/>
      <c r="AB19" s="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8" hidden="1" customHeight="1" thickBot="1" x14ac:dyDescent="0.35">
      <c r="A20" s="1"/>
      <c r="B20" s="231"/>
      <c r="C20" s="208"/>
      <c r="D20" s="21" t="s">
        <v>44</v>
      </c>
      <c r="E20" s="21" t="s">
        <v>27</v>
      </c>
      <c r="F20" s="21" t="s">
        <v>10</v>
      </c>
      <c r="G20" s="21" t="s">
        <v>10</v>
      </c>
      <c r="H20" s="21" t="s">
        <v>10</v>
      </c>
      <c r="I20" s="21" t="s">
        <v>10</v>
      </c>
      <c r="J20" s="21" t="s">
        <v>10</v>
      </c>
      <c r="K20" s="21" t="s">
        <v>10</v>
      </c>
      <c r="L20" s="21" t="s">
        <v>10</v>
      </c>
      <c r="M20" s="21" t="s">
        <v>10</v>
      </c>
      <c r="N20" s="21" t="s">
        <v>10</v>
      </c>
      <c r="O20" s="21" t="s">
        <v>10</v>
      </c>
      <c r="P20" s="21" t="s">
        <v>10</v>
      </c>
      <c r="Q20" s="21" t="s">
        <v>10</v>
      </c>
      <c r="R20" s="21" t="s">
        <v>10</v>
      </c>
      <c r="S20" s="21" t="s">
        <v>10</v>
      </c>
      <c r="T20" s="21" t="s">
        <v>45</v>
      </c>
      <c r="U20" s="21" t="s">
        <v>10</v>
      </c>
      <c r="V20" s="62" t="s">
        <v>27</v>
      </c>
      <c r="W20" s="21" t="s">
        <v>89</v>
      </c>
      <c r="Y20" s="215"/>
      <c r="Z20" s="216"/>
      <c r="AA20" s="217"/>
      <c r="AB20" s="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8" hidden="1" customHeight="1" thickBot="1" x14ac:dyDescent="0.35">
      <c r="A21" s="1"/>
      <c r="B21" s="231"/>
      <c r="C21" s="208"/>
      <c r="D21" s="41">
        <f>VLOOKUP(K8,bolts,2,FALSE)</f>
        <v>4.59</v>
      </c>
      <c r="E21" s="29">
        <v>14</v>
      </c>
      <c r="F21" s="62">
        <f ca="1">SQRT(2*(J17*D21*(G21+H21+I21+J21+K21+L21+M21+N21+O21+P21+Q21+R21+S21))/G17)</f>
        <v>13.181076205513026</v>
      </c>
      <c r="G21" s="21">
        <f ca="1">(1.5*L8)-F21</f>
        <v>-1.1810762055130262</v>
      </c>
      <c r="H21" s="62">
        <f ca="1">(2.5*L8)-F21</f>
        <v>6.8189237944869738</v>
      </c>
      <c r="I21" s="62">
        <f ca="1">IF(E21&gt;3,((3.5*L8)-F21),0)</f>
        <v>14.818923794486974</v>
      </c>
      <c r="J21" s="62">
        <f ca="1">IF(E21&gt;4,((4.5*L8)-F21),0)</f>
        <v>22.818923794486974</v>
      </c>
      <c r="K21" s="62">
        <f ca="1">IF(E21&gt;5,((5.5*L8)-F21),0)</f>
        <v>30.818923794486974</v>
      </c>
      <c r="L21" s="62">
        <f ca="1">IF(E21&gt;6,((6.5*L8)-F21),0)</f>
        <v>38.818923794486977</v>
      </c>
      <c r="M21" s="62">
        <f ca="1">IF(E21&gt;7,((7.5*L8)-F21),0)</f>
        <v>46.818923794486977</v>
      </c>
      <c r="N21" s="62">
        <f ca="1">IF(E21&gt;8,((8.5*L8)-F21),0)</f>
        <v>54.818923794486977</v>
      </c>
      <c r="O21" s="62">
        <f ca="1">IF(E21&gt;9,((9.5*L8)-F21),0)</f>
        <v>62.818923794486977</v>
      </c>
      <c r="P21" s="21">
        <f ca="1">IF(E21&gt;10,((10.5*L8)-F21),0)</f>
        <v>70.818923794486977</v>
      </c>
      <c r="Q21" s="62">
        <f ca="1">IF(E21&gt;11,((11.5*L8)-F21),0)</f>
        <v>78.818923794486977</v>
      </c>
      <c r="R21" s="62">
        <f ca="1">IF(E21&gt;12,((12.5*L8)-F21),0)</f>
        <v>86.818923794486977</v>
      </c>
      <c r="S21" s="21">
        <f ca="1">IF(E21&gt;13,((13.5*L8)-F21),0)</f>
        <v>94.818923794486977</v>
      </c>
      <c r="T21" s="21">
        <f ca="1">(G17*(F21^3)/3)+(J17*D21*((G21^2)+(H21^2)+(I21^2)+(J21^2)+(K21^2)+(L21^2)+(M21^2)+(N21^2)+(O21^2)+(P21^2)+(Q21^2)+(R21^2)+(S21^2)))</f>
        <v>142846.63028619962</v>
      </c>
      <c r="U21" s="63">
        <f ca="1">MAX(G21:S21)</f>
        <v>94.818923794486977</v>
      </c>
      <c r="V21" s="64" t="str">
        <f ca="1">IF(F21&lt;H21,"safe","un safe")</f>
        <v>un safe</v>
      </c>
      <c r="W21" s="65">
        <f>ROUND((I17/L8),0)</f>
        <v>2</v>
      </c>
      <c r="Y21" s="215"/>
      <c r="Z21" s="216"/>
      <c r="AA21" s="217"/>
      <c r="AB21" s="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8" hidden="1" customHeight="1" x14ac:dyDescent="0.3">
      <c r="A22" s="1"/>
      <c r="B22" s="22"/>
      <c r="D22" s="236" t="s">
        <v>90</v>
      </c>
      <c r="E22" s="237"/>
      <c r="F22" s="238"/>
      <c r="H22" s="236" t="s">
        <v>91</v>
      </c>
      <c r="I22" s="237"/>
      <c r="J22" s="237"/>
      <c r="K22" s="237"/>
      <c r="L22" s="237"/>
      <c r="M22" s="237"/>
      <c r="N22" s="237"/>
      <c r="O22" s="238"/>
      <c r="Q22" s="236" t="s">
        <v>92</v>
      </c>
      <c r="R22" s="238"/>
      <c r="Y22" s="215"/>
      <c r="Z22" s="216"/>
      <c r="AA22" s="217"/>
      <c r="AB22" s="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8" hidden="1" customHeight="1" x14ac:dyDescent="0.3">
      <c r="A23" s="1"/>
      <c r="B23" s="22"/>
      <c r="D23" s="230"/>
      <c r="E23" s="207"/>
      <c r="F23" s="239"/>
      <c r="H23" s="230"/>
      <c r="I23" s="207"/>
      <c r="J23" s="207"/>
      <c r="K23" s="207"/>
      <c r="L23" s="207"/>
      <c r="M23" s="207"/>
      <c r="N23" s="207"/>
      <c r="O23" s="239"/>
      <c r="Q23" s="230"/>
      <c r="R23" s="239"/>
      <c r="Y23" s="215"/>
      <c r="Z23" s="216"/>
      <c r="AA23" s="217"/>
      <c r="AB23" s="7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8" hidden="1" customHeight="1" x14ac:dyDescent="0.3">
      <c r="A24" s="1"/>
      <c r="B24" s="22"/>
      <c r="D24" s="12" t="s">
        <v>93</v>
      </c>
      <c r="E24" s="15" t="s">
        <v>94</v>
      </c>
      <c r="F24" s="67" t="s">
        <v>95</v>
      </c>
      <c r="H24" s="12" t="s">
        <v>96</v>
      </c>
      <c r="I24" s="68" t="s">
        <v>97</v>
      </c>
      <c r="J24" s="69" t="s">
        <v>98</v>
      </c>
      <c r="K24" s="69" t="s">
        <v>99</v>
      </c>
      <c r="L24" s="69" t="s">
        <v>100</v>
      </c>
      <c r="M24" s="70" t="s">
        <v>101</v>
      </c>
      <c r="N24" s="71" t="s">
        <v>102</v>
      </c>
      <c r="O24" s="72" t="s">
        <v>103</v>
      </c>
      <c r="Q24" s="73" t="s">
        <v>104</v>
      </c>
      <c r="R24" s="74" t="s">
        <v>105</v>
      </c>
      <c r="Y24" s="215"/>
      <c r="Z24" s="216"/>
      <c r="AA24" s="217"/>
      <c r="AB24" s="7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8" hidden="1" customHeight="1" x14ac:dyDescent="0.3">
      <c r="A25" s="1"/>
      <c r="B25" s="22"/>
      <c r="D25" s="75" t="s">
        <v>26</v>
      </c>
      <c r="E25" s="21" t="s">
        <v>26</v>
      </c>
      <c r="F25" s="76" t="s">
        <v>26</v>
      </c>
      <c r="H25" s="75" t="s">
        <v>26</v>
      </c>
      <c r="I25" s="21" t="s">
        <v>27</v>
      </c>
      <c r="J25" s="21" t="s">
        <v>26</v>
      </c>
      <c r="K25" s="21" t="s">
        <v>10</v>
      </c>
      <c r="L25" s="21" t="s">
        <v>10</v>
      </c>
      <c r="M25" s="21" t="s">
        <v>10</v>
      </c>
      <c r="N25" s="21" t="s">
        <v>27</v>
      </c>
      <c r="O25" s="76" t="s">
        <v>26</v>
      </c>
      <c r="Q25" s="75" t="s">
        <v>27</v>
      </c>
      <c r="R25" s="76" t="s">
        <v>27</v>
      </c>
      <c r="Y25" s="215"/>
      <c r="Z25" s="216"/>
      <c r="AA25" s="217"/>
      <c r="AB25" s="7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8" hidden="1" customHeight="1" thickBot="1" x14ac:dyDescent="0.35">
      <c r="A26" s="1"/>
      <c r="B26" s="22"/>
      <c r="D26" s="77">
        <f>E8/(J17*E21)</f>
        <v>0</v>
      </c>
      <c r="E26" s="62">
        <f ca="1">(100*D8/T21)*D21*U21</f>
        <v>0.11984571604380743</v>
      </c>
      <c r="F26" s="76">
        <f>0.7*0.66*M8*D21</f>
        <v>21.205799999999996</v>
      </c>
      <c r="H26" s="75">
        <f>G8/(J17*E21)</f>
        <v>-1.2012499999999999E-2</v>
      </c>
      <c r="I26" s="78">
        <v>1</v>
      </c>
      <c r="J26" s="21">
        <f>0.6*0.6*M8*D21*I26</f>
        <v>16.523999999999997</v>
      </c>
      <c r="K26" s="21">
        <f>VLOOKUP(K8,bolts,3,FALSE)/10</f>
        <v>2.7</v>
      </c>
      <c r="L26" s="21">
        <f>MIN(M17,N17)</f>
        <v>2</v>
      </c>
      <c r="M26" s="21">
        <f>0.5*L8</f>
        <v>50</v>
      </c>
      <c r="N26" s="21">
        <f>IF(((0.8*M26)/K26)&gt;2.4,2.4,IF(((0.8*M26)/K26)&lt;1.2,1.2,((0.8*M26)/K26)))</f>
        <v>2.4</v>
      </c>
      <c r="O26" s="76">
        <f>0.7*K26*L26*N26*C5</f>
        <v>39.916800000000002</v>
      </c>
      <c r="Q26" s="77">
        <f ca="1">(((D26+E26)/F26)^2)+((H26/J26)^2)</f>
        <v>2.7402161234059408E-4</v>
      </c>
      <c r="R26" s="76">
        <v>1</v>
      </c>
      <c r="X26" s="10"/>
      <c r="Y26" s="215"/>
      <c r="Z26" s="216"/>
      <c r="AA26" s="217"/>
      <c r="AB26" s="7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8" hidden="1" customHeight="1" thickBot="1" x14ac:dyDescent="0.35">
      <c r="A27" s="1"/>
      <c r="B27" s="22"/>
      <c r="D27" s="79" t="str">
        <f>IF(D26&lt;F26,"safe","un safe")</f>
        <v>safe</v>
      </c>
      <c r="E27" s="79" t="str">
        <f ca="1">IF(E26&lt;F26,"safe","un safe")</f>
        <v>safe</v>
      </c>
      <c r="F27" s="80" t="s">
        <v>27</v>
      </c>
      <c r="H27" s="240" t="s">
        <v>106</v>
      </c>
      <c r="I27" s="241"/>
      <c r="J27" s="241"/>
      <c r="K27" s="241" t="s">
        <v>107</v>
      </c>
      <c r="L27" s="241"/>
      <c r="M27" s="241"/>
      <c r="N27" s="241"/>
      <c r="O27" s="242"/>
      <c r="Q27" s="81" t="str">
        <f ca="1">IF(Q26&lt;R26,"safe","un safe")</f>
        <v>safe</v>
      </c>
      <c r="R27" s="80" t="s">
        <v>27</v>
      </c>
      <c r="X27" s="10"/>
      <c r="Y27" s="215"/>
      <c r="Z27" s="216"/>
      <c r="AA27" s="217"/>
      <c r="AB27" s="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8" hidden="1" customHeight="1" thickBot="1" x14ac:dyDescent="0.35">
      <c r="A28" s="1"/>
      <c r="B28" s="51"/>
      <c r="C28" s="36"/>
      <c r="D28" s="36"/>
      <c r="E28" s="36"/>
      <c r="F28" s="36"/>
      <c r="G28" s="36"/>
      <c r="H28" s="243" t="str">
        <f>IF(H26&lt;J26,"safe","un safe")</f>
        <v>safe</v>
      </c>
      <c r="I28" s="244"/>
      <c r="J28" s="245"/>
      <c r="K28" s="243" t="str">
        <f>IF(H26&lt;O26,"safe","un safe")</f>
        <v>safe</v>
      </c>
      <c r="L28" s="244"/>
      <c r="M28" s="244"/>
      <c r="N28" s="244"/>
      <c r="O28" s="245"/>
      <c r="P28" s="36"/>
      <c r="Q28" s="36"/>
      <c r="R28" s="36"/>
      <c r="S28" s="36"/>
      <c r="T28" s="36"/>
      <c r="U28" s="36"/>
      <c r="V28" s="36"/>
      <c r="W28" s="36"/>
      <c r="X28" s="82"/>
      <c r="Y28" s="215"/>
      <c r="Z28" s="216"/>
      <c r="AA28" s="217"/>
      <c r="AB28" s="7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8" customHeight="1" x14ac:dyDescent="0.3">
      <c r="A29" s="1"/>
      <c r="B29" s="249" t="s">
        <v>108</v>
      </c>
      <c r="C29" s="210"/>
      <c r="D29" s="17" t="s">
        <v>70</v>
      </c>
      <c r="E29" s="83" t="s">
        <v>109</v>
      </c>
      <c r="F29" s="17" t="s">
        <v>110</v>
      </c>
      <c r="G29" s="16" t="s">
        <v>111</v>
      </c>
      <c r="H29" s="84" t="s">
        <v>73</v>
      </c>
      <c r="I29" s="84" t="s">
        <v>74</v>
      </c>
      <c r="J29" s="84" t="s">
        <v>112</v>
      </c>
      <c r="K29" s="84" t="s">
        <v>113</v>
      </c>
      <c r="L29" s="85" t="s">
        <v>114</v>
      </c>
      <c r="M29" s="17" t="s">
        <v>115</v>
      </c>
      <c r="N29" s="17" t="s">
        <v>102</v>
      </c>
      <c r="O29" s="17" t="s">
        <v>116</v>
      </c>
      <c r="P29" s="86" t="s">
        <v>99</v>
      </c>
      <c r="Q29" s="86" t="s">
        <v>100</v>
      </c>
      <c r="R29" s="83" t="s">
        <v>101</v>
      </c>
      <c r="S29" s="87" t="s">
        <v>102</v>
      </c>
      <c r="T29" s="16" t="s">
        <v>117</v>
      </c>
      <c r="U29" s="17" t="s">
        <v>118</v>
      </c>
      <c r="V29" s="16" t="s">
        <v>119</v>
      </c>
      <c r="W29" s="88" t="s">
        <v>97</v>
      </c>
      <c r="X29" s="58" t="s">
        <v>120</v>
      </c>
      <c r="Y29" s="215"/>
      <c r="Z29" s="216"/>
      <c r="AA29" s="217"/>
      <c r="AB29" s="7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8" customHeight="1" x14ac:dyDescent="0.3">
      <c r="A30" s="1"/>
      <c r="B30" s="231"/>
      <c r="C30" s="208"/>
      <c r="D30" s="21" t="s">
        <v>44</v>
      </c>
      <c r="E30" s="21" t="s">
        <v>27</v>
      </c>
      <c r="F30" s="21" t="s">
        <v>44</v>
      </c>
      <c r="G30" s="21" t="s">
        <v>45</v>
      </c>
      <c r="H30" s="21" t="s">
        <v>10</v>
      </c>
      <c r="I30" s="21" t="s">
        <v>10</v>
      </c>
      <c r="J30" s="21" t="s">
        <v>28</v>
      </c>
      <c r="K30" s="21" t="s">
        <v>28</v>
      </c>
      <c r="L30" s="21" t="s">
        <v>27</v>
      </c>
      <c r="M30" s="21" t="s">
        <v>10</v>
      </c>
      <c r="N30" s="21" t="s">
        <v>10</v>
      </c>
      <c r="O30" s="21" t="s">
        <v>10</v>
      </c>
      <c r="P30" s="21" t="s">
        <v>10</v>
      </c>
      <c r="Q30" s="21" t="s">
        <v>10</v>
      </c>
      <c r="R30" s="21" t="s">
        <v>10</v>
      </c>
      <c r="S30" s="21" t="s">
        <v>27</v>
      </c>
      <c r="T30" s="21" t="s">
        <v>121</v>
      </c>
      <c r="U30" s="21" t="s">
        <v>28</v>
      </c>
      <c r="V30" s="21" t="s">
        <v>122</v>
      </c>
      <c r="W30" s="21" t="s">
        <v>27</v>
      </c>
      <c r="X30" s="21" t="s">
        <v>27</v>
      </c>
      <c r="Y30" s="215"/>
      <c r="Z30" s="216"/>
      <c r="AA30" s="217"/>
      <c r="AB30" s="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8" customHeight="1" thickBot="1" x14ac:dyDescent="0.35">
      <c r="A31" s="1"/>
      <c r="B31" s="231"/>
      <c r="C31" s="211"/>
      <c r="D31" s="41">
        <f>VLOOKUP(K8,bolts,2,FALSE)</f>
        <v>4.59</v>
      </c>
      <c r="E31" s="89">
        <f>X31-1</f>
        <v>3</v>
      </c>
      <c r="F31" s="62">
        <f>G17*I17</f>
        <v>7008</v>
      </c>
      <c r="G31" s="21">
        <f>G17*(I17^3)/12</f>
        <v>28009224</v>
      </c>
      <c r="H31" s="62">
        <f>I17/2</f>
        <v>109.5</v>
      </c>
      <c r="I31" s="62">
        <f>H31-L8</f>
        <v>9.5</v>
      </c>
      <c r="J31" s="62">
        <f>(100*D8*H31)/G31</f>
        <v>2.2986610214549324E-2</v>
      </c>
      <c r="K31" s="21">
        <f>(100*D8*I31)/G31</f>
        <v>1.9942721190704892E-3</v>
      </c>
      <c r="L31" s="62">
        <f>J17</f>
        <v>4</v>
      </c>
      <c r="M31" s="62">
        <f>I12</f>
        <v>0.8</v>
      </c>
      <c r="N31" s="62">
        <f>0.5*L8</f>
        <v>50</v>
      </c>
      <c r="O31" s="21">
        <f>0.5*(L8-(2*M31)-E17)</f>
        <v>48.2</v>
      </c>
      <c r="P31" s="62">
        <f>VLOOKUP(K8,bolts,3,FALSE)/10</f>
        <v>2.7</v>
      </c>
      <c r="Q31" s="62">
        <f>MIN(M17,N17)</f>
        <v>2</v>
      </c>
      <c r="R31" s="62">
        <f>0.5*L8</f>
        <v>50</v>
      </c>
      <c r="S31" s="62">
        <f>IF(((0.8*R31)/P31)&gt;2.4,2.4,IF(((0.8*R31)/P31)&lt;1.2,1.2,((0.8*R31)/P31)))</f>
        <v>2.4</v>
      </c>
      <c r="T31" s="21">
        <f>IF(N8=8.8,(IF(C3=52,VLOOKUP(K8,bolts,4,FALSE)*0.7,VLOOKUP(K8,bolt2,5,FALSE)*0.7)),(IF(C3=52,VLOOKUP(K8,bolts,4,FALSE),VLOOKUP(K8,bolt2,5,FALSE))))</f>
        <v>9.25</v>
      </c>
      <c r="U31" s="21">
        <f>VLOOKUP(N8,grade,2,FALSE)</f>
        <v>9</v>
      </c>
      <c r="V31" s="21">
        <f>0.7*U31*D31</f>
        <v>28.916999999999998</v>
      </c>
      <c r="W31" s="31">
        <v>1</v>
      </c>
      <c r="X31" s="31">
        <v>4</v>
      </c>
      <c r="Y31" s="218"/>
      <c r="Z31" s="219"/>
      <c r="AA31" s="220"/>
      <c r="AB31" s="7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8" customHeight="1" thickBot="1" x14ac:dyDescent="0.35">
      <c r="A32" s="1"/>
      <c r="B32" s="22"/>
      <c r="C32" s="236" t="s">
        <v>90</v>
      </c>
      <c r="D32" s="237"/>
      <c r="E32" s="237"/>
      <c r="F32" s="238"/>
      <c r="H32" s="250" t="s">
        <v>123</v>
      </c>
      <c r="I32" s="251"/>
      <c r="J32" s="252"/>
      <c r="K32" s="10"/>
      <c r="L32" s="250" t="s">
        <v>124</v>
      </c>
      <c r="M32" s="251"/>
      <c r="N32" s="252"/>
      <c r="P32" s="236" t="s">
        <v>91</v>
      </c>
      <c r="Q32" s="237"/>
      <c r="R32" s="237"/>
      <c r="S32" s="238"/>
      <c r="W32" s="84" t="s">
        <v>125</v>
      </c>
      <c r="X32" s="84" t="s">
        <v>126</v>
      </c>
      <c r="Y32" s="218"/>
      <c r="Z32" s="219"/>
      <c r="AA32" s="220"/>
      <c r="AB32" s="7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8" customHeight="1" thickBot="1" x14ac:dyDescent="0.35">
      <c r="A33" s="1"/>
      <c r="B33" s="22"/>
      <c r="C33" s="230"/>
      <c r="D33" s="207"/>
      <c r="E33" s="207"/>
      <c r="F33" s="239"/>
      <c r="H33" s="253"/>
      <c r="I33" s="254"/>
      <c r="J33" s="255"/>
      <c r="K33" s="10"/>
      <c r="L33" s="253"/>
      <c r="M33" s="254"/>
      <c r="N33" s="255"/>
      <c r="P33" s="230"/>
      <c r="Q33" s="207"/>
      <c r="R33" s="207"/>
      <c r="S33" s="239"/>
      <c r="W33" s="21" t="s">
        <v>10</v>
      </c>
      <c r="X33" s="21" t="s">
        <v>28</v>
      </c>
      <c r="Y33" s="18"/>
      <c r="Z33" s="5"/>
      <c r="AA33" s="19"/>
      <c r="AB33" s="7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8" customHeight="1" x14ac:dyDescent="0.3">
      <c r="A34" s="1"/>
      <c r="B34" s="22"/>
      <c r="C34" s="256" t="s">
        <v>127</v>
      </c>
      <c r="D34" s="15" t="s">
        <v>128</v>
      </c>
      <c r="E34" s="15" t="s">
        <v>129</v>
      </c>
      <c r="F34" s="67" t="s">
        <v>130</v>
      </c>
      <c r="H34" s="256" t="s">
        <v>127</v>
      </c>
      <c r="I34" s="15" t="s">
        <v>131</v>
      </c>
      <c r="J34" s="67" t="s">
        <v>130</v>
      </c>
      <c r="L34" s="256" t="s">
        <v>127</v>
      </c>
      <c r="M34" s="15" t="s">
        <v>132</v>
      </c>
      <c r="N34" s="67" t="s">
        <v>130</v>
      </c>
      <c r="P34" s="256" t="s">
        <v>133</v>
      </c>
      <c r="Q34" s="15" t="s">
        <v>134</v>
      </c>
      <c r="R34" s="69" t="s">
        <v>135</v>
      </c>
      <c r="S34" s="72" t="s">
        <v>136</v>
      </c>
      <c r="T34" s="259" t="s">
        <v>137</v>
      </c>
      <c r="W34" s="21">
        <f>IF(X31=3,"-",(H31-(2*L8)))</f>
        <v>-90.5</v>
      </c>
      <c r="X34" s="21">
        <f>IF(X31=3,"-",((100*D8*W34)/G31))</f>
        <v>-1.8998065976408345E-2</v>
      </c>
      <c r="Y34" s="22"/>
      <c r="AA34" s="23"/>
      <c r="AB34" s="7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8" customHeight="1" x14ac:dyDescent="0.3">
      <c r="A35" s="1"/>
      <c r="B35" s="22"/>
      <c r="C35" s="256"/>
      <c r="D35" s="21" t="s">
        <v>26</v>
      </c>
      <c r="E35" s="21" t="s">
        <v>26</v>
      </c>
      <c r="F35" s="76" t="s">
        <v>138</v>
      </c>
      <c r="H35" s="256"/>
      <c r="I35" s="21" t="s">
        <v>139</v>
      </c>
      <c r="J35" s="76" t="s">
        <v>138</v>
      </c>
      <c r="L35" s="256"/>
      <c r="M35" s="21" t="s">
        <v>26</v>
      </c>
      <c r="N35" s="76" t="s">
        <v>138</v>
      </c>
      <c r="P35" s="256"/>
      <c r="Q35" s="21" t="s">
        <v>26</v>
      </c>
      <c r="R35" s="21" t="s">
        <v>26</v>
      </c>
      <c r="S35" s="76" t="s">
        <v>26</v>
      </c>
      <c r="T35" s="260"/>
      <c r="X35" s="23"/>
      <c r="Y35" s="22"/>
      <c r="AA35" s="23"/>
      <c r="AB35" s="7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8" customHeight="1" thickBot="1" x14ac:dyDescent="0.35">
      <c r="A36" s="1"/>
      <c r="B36" s="22"/>
      <c r="C36" s="256"/>
      <c r="D36" s="62">
        <f>(0.5*(J31+K31)*G17*L8)/L31</f>
        <v>9.9923529334479255</v>
      </c>
      <c r="E36" s="62">
        <f>((E8*G17*L8)/(G17*I17))/L31</f>
        <v>0</v>
      </c>
      <c r="F36" s="76">
        <f>0.7*0.8*M8*D31</f>
        <v>25.703999999999997</v>
      </c>
      <c r="H36" s="256"/>
      <c r="I36" s="62">
        <f>IF(((0.625*O31/N31)-(0.01*(M17^3)))*(MAX(D36:E36))&lt;0,0,((0.625*O31/N31)-(0.01*(M17^3)))*(MAX(D36:E36)))</f>
        <v>0</v>
      </c>
      <c r="J36" s="76">
        <f>0.7*0.8*M8*D31</f>
        <v>25.703999999999997</v>
      </c>
      <c r="L36" s="256"/>
      <c r="M36" s="62">
        <f>D36+E36+I36</f>
        <v>9.9923529334479255</v>
      </c>
      <c r="N36" s="76">
        <f>0.7*0.8*M8*D31</f>
        <v>25.703999999999997</v>
      </c>
      <c r="P36" s="256"/>
      <c r="Q36" s="62">
        <f>(G8/1.5)/L31</f>
        <v>-0.11211666666666666</v>
      </c>
      <c r="R36" s="21">
        <f>IF(E8=0,T31,S36)</f>
        <v>9.25</v>
      </c>
      <c r="S36" s="76">
        <f>(T31*(1-((MAX(E36,E42,E48))/V31)))</f>
        <v>9.25</v>
      </c>
      <c r="T36" s="260"/>
      <c r="X36" s="23"/>
      <c r="Y36" s="22"/>
      <c r="AA36" s="23"/>
      <c r="AB36" s="7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8" customHeight="1" thickBot="1" x14ac:dyDescent="0.35">
      <c r="A37" s="1"/>
      <c r="B37" s="22"/>
      <c r="C37" s="257"/>
      <c r="D37" s="79" t="str">
        <f>IF(D36&lt;F36,"safe","un safe")</f>
        <v>safe</v>
      </c>
      <c r="E37" s="79" t="str">
        <f>IF(E36&lt;F36,"safe","un safe")</f>
        <v>safe</v>
      </c>
      <c r="F37" s="80" t="s">
        <v>27</v>
      </c>
      <c r="H37" s="257"/>
      <c r="I37" s="79" t="str">
        <f>IF(I36&lt;J36,"safe","un safe")</f>
        <v>safe</v>
      </c>
      <c r="J37" s="80" t="s">
        <v>27</v>
      </c>
      <c r="K37" s="10"/>
      <c r="L37" s="257"/>
      <c r="M37" s="79" t="str">
        <f>IF(M36&lt;N36,"safe","un safe")</f>
        <v>safe</v>
      </c>
      <c r="N37" s="80" t="s">
        <v>27</v>
      </c>
      <c r="P37" s="258"/>
      <c r="Q37" s="79" t="str">
        <f>IF(Q36&lt;(MIN(R36:S36)),"safe","un safe")</f>
        <v>safe</v>
      </c>
      <c r="R37" s="90" t="s">
        <v>27</v>
      </c>
      <c r="S37" s="76" t="s">
        <v>27</v>
      </c>
      <c r="T37" s="260"/>
      <c r="X37" s="23"/>
      <c r="Y37" s="22"/>
      <c r="AA37" s="23"/>
      <c r="AB37" s="7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8" customHeight="1" x14ac:dyDescent="0.3">
      <c r="A38" s="1"/>
      <c r="B38" s="22"/>
      <c r="C38" s="236" t="s">
        <v>90</v>
      </c>
      <c r="D38" s="237"/>
      <c r="E38" s="237"/>
      <c r="F38" s="238"/>
      <c r="H38" s="250" t="s">
        <v>123</v>
      </c>
      <c r="I38" s="251"/>
      <c r="J38" s="252"/>
      <c r="K38" s="10"/>
      <c r="L38" s="250" t="s">
        <v>140</v>
      </c>
      <c r="M38" s="251"/>
      <c r="N38" s="252"/>
      <c r="P38" s="230" t="s">
        <v>91</v>
      </c>
      <c r="Q38" s="207"/>
      <c r="R38" s="207"/>
      <c r="S38" s="239"/>
      <c r="T38" s="260"/>
      <c r="X38" s="23"/>
      <c r="Y38" s="22"/>
      <c r="AA38" s="23"/>
      <c r="AB38" s="7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8" customHeight="1" x14ac:dyDescent="0.3">
      <c r="A39" s="1"/>
      <c r="B39" s="22"/>
      <c r="C39" s="230"/>
      <c r="D39" s="207"/>
      <c r="E39" s="207"/>
      <c r="F39" s="239"/>
      <c r="H39" s="253"/>
      <c r="I39" s="254"/>
      <c r="J39" s="255"/>
      <c r="K39" s="10"/>
      <c r="L39" s="253"/>
      <c r="M39" s="254"/>
      <c r="N39" s="255"/>
      <c r="P39" s="230"/>
      <c r="Q39" s="207"/>
      <c r="R39" s="207"/>
      <c r="S39" s="239"/>
      <c r="T39" s="260"/>
      <c r="X39" s="23"/>
      <c r="Y39" s="22"/>
      <c r="AA39" s="23"/>
      <c r="AB39" s="7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8" customHeight="1" x14ac:dyDescent="0.3">
      <c r="A40" s="1"/>
      <c r="B40" s="22"/>
      <c r="C40" s="256" t="s">
        <v>141</v>
      </c>
      <c r="D40" s="15" t="s">
        <v>128</v>
      </c>
      <c r="E40" s="15" t="s">
        <v>129</v>
      </c>
      <c r="F40" s="67" t="s">
        <v>130</v>
      </c>
      <c r="H40" s="256" t="s">
        <v>141</v>
      </c>
      <c r="I40" s="15" t="s">
        <v>142</v>
      </c>
      <c r="J40" s="67" t="s">
        <v>130</v>
      </c>
      <c r="K40" s="10"/>
      <c r="L40" s="256" t="s">
        <v>141</v>
      </c>
      <c r="M40" s="15" t="s">
        <v>132</v>
      </c>
      <c r="N40" s="67" t="s">
        <v>130</v>
      </c>
      <c r="P40" s="256" t="s">
        <v>143</v>
      </c>
      <c r="Q40" s="15" t="s">
        <v>134</v>
      </c>
      <c r="R40" s="69" t="s">
        <v>98</v>
      </c>
      <c r="S40" s="72" t="s">
        <v>103</v>
      </c>
      <c r="T40" s="260"/>
      <c r="X40" s="23"/>
      <c r="Y40" s="22"/>
      <c r="AA40" s="23"/>
      <c r="AB40" s="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8" customHeight="1" x14ac:dyDescent="0.3">
      <c r="A41" s="1"/>
      <c r="B41" s="22"/>
      <c r="C41" s="256"/>
      <c r="D41" s="21" t="s">
        <v>26</v>
      </c>
      <c r="E41" s="21" t="s">
        <v>26</v>
      </c>
      <c r="F41" s="76" t="s">
        <v>138</v>
      </c>
      <c r="H41" s="256"/>
      <c r="I41" s="21" t="s">
        <v>26</v>
      </c>
      <c r="J41" s="76" t="s">
        <v>138</v>
      </c>
      <c r="K41" s="10"/>
      <c r="L41" s="256"/>
      <c r="M41" s="21" t="s">
        <v>26</v>
      </c>
      <c r="N41" s="76" t="s">
        <v>138</v>
      </c>
      <c r="P41" s="256"/>
      <c r="Q41" s="21" t="s">
        <v>26</v>
      </c>
      <c r="R41" s="21" t="s">
        <v>26</v>
      </c>
      <c r="S41" s="76" t="s">
        <v>144</v>
      </c>
      <c r="T41" s="260"/>
      <c r="X41" s="23"/>
      <c r="Y41" s="22"/>
      <c r="AA41" s="23"/>
      <c r="AB41" s="7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8" customHeight="1" thickBot="1" x14ac:dyDescent="0.35">
      <c r="A42" s="1"/>
      <c r="B42" s="9"/>
      <c r="C42" s="256"/>
      <c r="D42" s="62">
        <f>IF(X31=3,(((0.5*K31)*((0.5*I17)-L8)*G17)/L31),(((K31+X34)/2)*(G17*L8/L31)))</f>
        <v>-6.8015175429351427</v>
      </c>
      <c r="E42" s="62">
        <f>IF(X31=3,(((E8*G17*((0.5*I17)-L8))/(I17*G17))/L31),((E8*L8*G17/(G17*I17))/L31))</f>
        <v>0</v>
      </c>
      <c r="F42" s="76">
        <f>0.7*0.8*M8*D31</f>
        <v>25.703999999999997</v>
      </c>
      <c r="G42" s="10"/>
      <c r="H42" s="256"/>
      <c r="I42" s="62">
        <f>IF(((0.625*O31/N31)-(0.01*(M17^3)))*(MAX(D42:E42))&lt;0,0,((0.625*O31/N31)-(0.01*(M17^3)))*(MAX(D42:E42)))</f>
        <v>0</v>
      </c>
      <c r="J42" s="91">
        <f>0.7*0.8*M8*D31</f>
        <v>25.703999999999997</v>
      </c>
      <c r="K42" s="10"/>
      <c r="L42" s="256"/>
      <c r="M42" s="62">
        <f>D42+E42+I42</f>
        <v>-6.8015175429351427</v>
      </c>
      <c r="N42" s="91">
        <f>0.7*0.8*M8*D31</f>
        <v>25.703999999999997</v>
      </c>
      <c r="O42" s="10"/>
      <c r="P42" s="256"/>
      <c r="Q42" s="62">
        <f>G8/(X31*L31)</f>
        <v>-4.2043749999999998E-2</v>
      </c>
      <c r="R42" s="21">
        <f>0.6*0.6*W31*D31*M8</f>
        <v>16.523999999999997</v>
      </c>
      <c r="S42" s="76">
        <f>0.7*P31*Q31*S31*C5</f>
        <v>39.916800000000002</v>
      </c>
      <c r="T42" s="260"/>
      <c r="U42" s="10"/>
      <c r="V42" s="10"/>
      <c r="W42" s="10"/>
      <c r="X42" s="11"/>
      <c r="Y42" s="22"/>
      <c r="AA42" s="23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thickBot="1" x14ac:dyDescent="0.35">
      <c r="A43" s="1"/>
      <c r="B43" s="9"/>
      <c r="C43" s="257"/>
      <c r="D43" s="79" t="str">
        <f>IF(D42&lt;F42,"safe","un safe")</f>
        <v>safe</v>
      </c>
      <c r="E43" s="79" t="str">
        <f>IF(E42&lt;F42,"safe","un safe")</f>
        <v>safe</v>
      </c>
      <c r="F43" s="80" t="s">
        <v>27</v>
      </c>
      <c r="G43" s="10"/>
      <c r="H43" s="257"/>
      <c r="I43" s="79" t="str">
        <f>IF(I42&lt;J42,"safe","un safe")</f>
        <v>safe</v>
      </c>
      <c r="J43" s="80" t="s">
        <v>27</v>
      </c>
      <c r="K43" s="10"/>
      <c r="L43" s="257"/>
      <c r="M43" s="79" t="str">
        <f>IF(M42&lt;N42,"safe","un safe")</f>
        <v>safe</v>
      </c>
      <c r="N43" s="80" t="s">
        <v>27</v>
      </c>
      <c r="O43" s="10"/>
      <c r="P43" s="257"/>
      <c r="Q43" s="79" t="str">
        <f>IF(Q42&lt;(MIN(R42:S42)),"safe","un safe")</f>
        <v>safe</v>
      </c>
      <c r="R43" s="92" t="s">
        <v>27</v>
      </c>
      <c r="S43" s="57" t="s">
        <v>27</v>
      </c>
      <c r="T43" s="261"/>
      <c r="U43" s="10"/>
      <c r="V43" s="10"/>
      <c r="W43" s="10"/>
      <c r="X43" s="11"/>
      <c r="Y43" s="22"/>
      <c r="AA43" s="23"/>
      <c r="AB43" s="7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8" customHeight="1" x14ac:dyDescent="0.3">
      <c r="A44" s="1"/>
      <c r="B44" s="9"/>
      <c r="C44" s="236" t="s">
        <v>90</v>
      </c>
      <c r="D44" s="237"/>
      <c r="E44" s="237"/>
      <c r="F44" s="238"/>
      <c r="G44" s="10"/>
      <c r="H44" s="250" t="s">
        <v>123</v>
      </c>
      <c r="I44" s="251"/>
      <c r="J44" s="252"/>
      <c r="K44" s="10"/>
      <c r="L44" s="250" t="s">
        <v>145</v>
      </c>
      <c r="M44" s="251"/>
      <c r="N44" s="252"/>
      <c r="O44" s="10"/>
      <c r="P44" s="236" t="s">
        <v>91</v>
      </c>
      <c r="Q44" s="237"/>
      <c r="R44" s="237"/>
      <c r="S44" s="238"/>
      <c r="T44" s="10"/>
      <c r="U44" s="10"/>
      <c r="V44" s="10"/>
      <c r="W44" s="10"/>
      <c r="X44" s="11"/>
      <c r="Y44" s="22"/>
      <c r="AA44" s="23"/>
      <c r="AB44" s="7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8" customHeight="1" thickBot="1" x14ac:dyDescent="0.35">
      <c r="A45" s="1"/>
      <c r="B45" s="9"/>
      <c r="C45" s="230"/>
      <c r="D45" s="207"/>
      <c r="E45" s="207"/>
      <c r="F45" s="239"/>
      <c r="G45" s="10"/>
      <c r="H45" s="253"/>
      <c r="I45" s="254"/>
      <c r="J45" s="255"/>
      <c r="K45" s="10"/>
      <c r="L45" s="253"/>
      <c r="M45" s="254"/>
      <c r="N45" s="255"/>
      <c r="O45" s="10"/>
      <c r="P45" s="230"/>
      <c r="Q45" s="207"/>
      <c r="R45" s="207"/>
      <c r="S45" s="239"/>
      <c r="T45" s="10"/>
      <c r="U45" s="10"/>
      <c r="V45" s="10"/>
      <c r="W45" s="10"/>
      <c r="X45" s="11"/>
      <c r="Y45" s="22"/>
      <c r="AA45" s="23"/>
      <c r="AB45" s="7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8" customHeight="1" x14ac:dyDescent="0.3">
      <c r="A46" s="1"/>
      <c r="B46" s="9"/>
      <c r="C46" s="256" t="s">
        <v>146</v>
      </c>
      <c r="D46" s="15" t="s">
        <v>128</v>
      </c>
      <c r="E46" s="15" t="s">
        <v>129</v>
      </c>
      <c r="F46" s="67" t="s">
        <v>130</v>
      </c>
      <c r="G46" s="10"/>
      <c r="H46" s="256" t="s">
        <v>146</v>
      </c>
      <c r="I46" s="15" t="s">
        <v>142</v>
      </c>
      <c r="J46" s="67" t="s">
        <v>130</v>
      </c>
      <c r="K46" s="10"/>
      <c r="L46" s="256" t="s">
        <v>146</v>
      </c>
      <c r="M46" s="15" t="s">
        <v>132</v>
      </c>
      <c r="N46" s="67" t="s">
        <v>130</v>
      </c>
      <c r="O46" s="10"/>
      <c r="P46" s="256" t="s">
        <v>143</v>
      </c>
      <c r="Q46" s="15" t="s">
        <v>134</v>
      </c>
      <c r="R46" s="69" t="s">
        <v>135</v>
      </c>
      <c r="S46" s="72" t="s">
        <v>136</v>
      </c>
      <c r="T46" s="262" t="s">
        <v>147</v>
      </c>
      <c r="U46" s="10"/>
      <c r="V46" s="10"/>
      <c r="W46" s="10"/>
      <c r="X46" s="11"/>
      <c r="Y46" s="22"/>
      <c r="AA46" s="23"/>
      <c r="AB46" s="7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8" customHeight="1" x14ac:dyDescent="0.3">
      <c r="A47" s="1"/>
      <c r="B47" s="9"/>
      <c r="C47" s="256"/>
      <c r="D47" s="21" t="s">
        <v>26</v>
      </c>
      <c r="E47" s="21" t="s">
        <v>26</v>
      </c>
      <c r="F47" s="76" t="str">
        <f>IF(X31=3,"-","eq(8-11)")</f>
        <v>eq(8-11)</v>
      </c>
      <c r="G47" s="10"/>
      <c r="H47" s="256"/>
      <c r="I47" s="21" t="s">
        <v>26</v>
      </c>
      <c r="J47" s="76" t="str">
        <f>IF(X31=3,"-","eq(8-11)")</f>
        <v>eq(8-11)</v>
      </c>
      <c r="K47" s="10"/>
      <c r="L47" s="256"/>
      <c r="M47" s="21" t="s">
        <v>26</v>
      </c>
      <c r="N47" s="76" t="str">
        <f>IF(X31=3,"-","eq(8-11)")</f>
        <v>eq(8-11)</v>
      </c>
      <c r="O47" s="10"/>
      <c r="P47" s="256"/>
      <c r="Q47" s="21" t="s">
        <v>26</v>
      </c>
      <c r="R47" s="21" t="s">
        <v>26</v>
      </c>
      <c r="S47" s="76" t="s">
        <v>26</v>
      </c>
      <c r="T47" s="263"/>
      <c r="U47" s="10"/>
      <c r="V47" s="10"/>
      <c r="W47" s="10"/>
      <c r="X47" s="11"/>
      <c r="Y47" s="22"/>
      <c r="AA47" s="23"/>
      <c r="AB47" s="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8" customHeight="1" thickBot="1" x14ac:dyDescent="0.35">
      <c r="A48" s="1"/>
      <c r="B48" s="9"/>
      <c r="C48" s="256"/>
      <c r="D48" s="62">
        <f>IF(X31=3,"-",((X34)/2)*((G17*W34)/L31))</f>
        <v>6.8772998834598207</v>
      </c>
      <c r="E48" s="62">
        <f>IF(X31=3,"-",(((E8*W34*G17)/(G17*I17))/L31))</f>
        <v>0</v>
      </c>
      <c r="F48" s="76">
        <f>IF(X31=3,"-",(0.7*0.8*M8*D31))</f>
        <v>25.703999999999997</v>
      </c>
      <c r="G48" s="10"/>
      <c r="H48" s="256"/>
      <c r="I48" s="62">
        <f>IF(X31=3,"-",0)</f>
        <v>0</v>
      </c>
      <c r="J48" s="76">
        <f>IF(X31=3,"-",(0.7*0.8*M8*D31))</f>
        <v>25.703999999999997</v>
      </c>
      <c r="K48" s="10"/>
      <c r="L48" s="256"/>
      <c r="M48" s="62">
        <f>IF(X31=3,"-",(D48+E48+I48))</f>
        <v>6.8772998834598207</v>
      </c>
      <c r="N48" s="76">
        <f>IF(X31=3,"-",(0.7*0.8*M8*D31))</f>
        <v>25.703999999999997</v>
      </c>
      <c r="O48" s="10"/>
      <c r="P48" s="256"/>
      <c r="Q48" s="62">
        <f>G8/L31</f>
        <v>-0.16817499999999999</v>
      </c>
      <c r="R48" s="21">
        <f>IF(E8=0,1.125*T31,S48)</f>
        <v>10.40625</v>
      </c>
      <c r="S48" s="76">
        <f>(1.125*T31*(1-((MAX(E36,E42,E48))/V31)))</f>
        <v>10.40625</v>
      </c>
      <c r="T48" s="263"/>
      <c r="U48" s="10"/>
      <c r="V48" s="10"/>
      <c r="W48" s="10"/>
      <c r="X48" s="11"/>
      <c r="Y48" s="22"/>
      <c r="AA48" s="23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8" customHeight="1" thickBot="1" x14ac:dyDescent="0.35">
      <c r="A49" s="1"/>
      <c r="B49" s="9"/>
      <c r="C49" s="257"/>
      <c r="D49" s="79" t="str">
        <f>IF(D48="-","-",IF(D48&lt;F48,"safe","un safe"))</f>
        <v>safe</v>
      </c>
      <c r="E49" s="79" t="str">
        <f>IF(E48="-","-",(IF(E48&lt;F48,"safe","un safe")))</f>
        <v>safe</v>
      </c>
      <c r="F49" s="80" t="s">
        <v>27</v>
      </c>
      <c r="G49" s="10"/>
      <c r="H49" s="257"/>
      <c r="I49" s="79" t="str">
        <f>IF(X31=3,"-",(IF(I48&lt;J48,"safe","un safe")))</f>
        <v>safe</v>
      </c>
      <c r="J49" s="80" t="s">
        <v>27</v>
      </c>
      <c r="K49" s="10"/>
      <c r="L49" s="257"/>
      <c r="M49" s="79" t="str">
        <f>IF(X31=3,"-",(IF(M48&lt;N48,"safe","un safe")))</f>
        <v>safe</v>
      </c>
      <c r="N49" s="80" t="s">
        <v>27</v>
      </c>
      <c r="O49" s="10"/>
      <c r="P49" s="258"/>
      <c r="Q49" s="79" t="str">
        <f>IF(Q48&lt;(MIN(R36:S36)),"safe","un safe")</f>
        <v>safe</v>
      </c>
      <c r="R49" s="90" t="s">
        <v>27</v>
      </c>
      <c r="S49" s="76" t="s">
        <v>27</v>
      </c>
      <c r="T49" s="263"/>
      <c r="U49" s="10"/>
      <c r="V49" s="10"/>
      <c r="W49" s="10"/>
      <c r="X49" s="11"/>
      <c r="Y49" s="22"/>
      <c r="AA49" s="23"/>
      <c r="AB49" s="7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8" customHeight="1" x14ac:dyDescent="0.3">
      <c r="A50" s="1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30" t="s">
        <v>91</v>
      </c>
      <c r="Q50" s="207"/>
      <c r="R50" s="207"/>
      <c r="S50" s="239"/>
      <c r="T50" s="263"/>
      <c r="U50" s="10"/>
      <c r="V50" s="10"/>
      <c r="W50" s="10"/>
      <c r="X50" s="11"/>
      <c r="Y50" s="22"/>
      <c r="AA50" s="23"/>
      <c r="AB50" s="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8" customHeight="1" x14ac:dyDescent="0.3">
      <c r="A51" s="1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30"/>
      <c r="Q51" s="207"/>
      <c r="R51" s="207"/>
      <c r="S51" s="239"/>
      <c r="T51" s="263"/>
      <c r="U51" s="10"/>
      <c r="V51" s="10"/>
      <c r="W51" s="10"/>
      <c r="X51" s="11"/>
      <c r="Y51" s="22"/>
      <c r="AA51" s="23"/>
      <c r="AB51" s="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8" customHeight="1" x14ac:dyDescent="0.3">
      <c r="A52" s="1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56" t="s">
        <v>148</v>
      </c>
      <c r="Q52" s="15" t="s">
        <v>134</v>
      </c>
      <c r="R52" s="265" t="s">
        <v>103</v>
      </c>
      <c r="S52" s="266"/>
      <c r="T52" s="263"/>
      <c r="U52" s="10"/>
      <c r="V52" s="10"/>
      <c r="W52" s="10"/>
      <c r="X52" s="11"/>
      <c r="Y52" s="22"/>
      <c r="AA52" s="23"/>
      <c r="AB52" s="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8" customHeight="1" x14ac:dyDescent="0.3">
      <c r="A53" s="1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256"/>
      <c r="Q53" s="21" t="s">
        <v>26</v>
      </c>
      <c r="R53" s="267" t="s">
        <v>144</v>
      </c>
      <c r="S53" s="268"/>
      <c r="T53" s="263"/>
      <c r="U53" s="10"/>
      <c r="V53" s="10"/>
      <c r="W53" s="10"/>
      <c r="X53" s="11"/>
      <c r="Y53" s="22"/>
      <c r="AA53" s="23"/>
      <c r="AB53" s="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8" customHeight="1" thickBot="1" x14ac:dyDescent="0.35">
      <c r="A54" s="1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56"/>
      <c r="Q54" s="62">
        <f>G8/L31</f>
        <v>-0.16817499999999999</v>
      </c>
      <c r="R54" s="267">
        <f>0.7*P31*Q31*S31*C5</f>
        <v>39.916800000000002</v>
      </c>
      <c r="S54" s="268"/>
      <c r="T54" s="263"/>
      <c r="U54" s="10"/>
      <c r="V54" s="10"/>
      <c r="W54" s="10"/>
      <c r="X54" s="11"/>
      <c r="Y54" s="22"/>
      <c r="AA54" s="23"/>
      <c r="AB54" s="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8" customHeight="1" thickBot="1" x14ac:dyDescent="0.35">
      <c r="A55" s="1"/>
      <c r="B55" s="9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257"/>
      <c r="Q55" s="79" t="str">
        <f>IF(Q54&lt;(R54),"safe","un safe")</f>
        <v>safe</v>
      </c>
      <c r="R55" s="269" t="s">
        <v>27</v>
      </c>
      <c r="S55" s="270"/>
      <c r="T55" s="264"/>
      <c r="U55" s="82"/>
      <c r="V55" s="82"/>
      <c r="W55" s="82"/>
      <c r="X55" s="94"/>
      <c r="Y55" s="22"/>
      <c r="AA55" s="23"/>
      <c r="AB55" s="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8" customHeight="1" thickBot="1" x14ac:dyDescent="0.35">
      <c r="A56" s="1"/>
      <c r="B56" s="271"/>
      <c r="C56" s="272"/>
      <c r="D56" s="272"/>
      <c r="E56" s="272"/>
      <c r="F56" s="272"/>
      <c r="G56" s="272"/>
      <c r="H56" s="272"/>
      <c r="I56" s="272"/>
      <c r="J56" s="272"/>
      <c r="K56" s="225" t="s">
        <v>149</v>
      </c>
      <c r="L56" s="225"/>
      <c r="M56" s="225"/>
      <c r="N56" s="225"/>
      <c r="O56" s="272"/>
      <c r="P56" s="272"/>
      <c r="Q56" s="272"/>
      <c r="R56" s="272"/>
      <c r="S56" s="272"/>
      <c r="T56" s="273"/>
      <c r="U56" s="273"/>
      <c r="V56" s="272"/>
      <c r="W56" s="272"/>
      <c r="X56" s="274"/>
      <c r="Y56" s="22"/>
      <c r="AA56" s="23"/>
      <c r="AB56" s="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8" customHeight="1" thickBot="1" x14ac:dyDescent="0.35">
      <c r="A57" s="1"/>
      <c r="B57" s="250" t="s">
        <v>150</v>
      </c>
      <c r="C57" s="275"/>
      <c r="D57" s="58" t="s">
        <v>151</v>
      </c>
      <c r="E57" s="58" t="s">
        <v>152</v>
      </c>
      <c r="F57" s="58" t="s">
        <v>153</v>
      </c>
      <c r="G57" s="58" t="s">
        <v>154</v>
      </c>
      <c r="H57" s="58" t="s">
        <v>155</v>
      </c>
      <c r="I57" s="95" t="s">
        <v>156</v>
      </c>
      <c r="J57" s="66" t="s">
        <v>157</v>
      </c>
      <c r="K57" s="66" t="s">
        <v>158</v>
      </c>
      <c r="L57" s="66" t="s">
        <v>159</v>
      </c>
      <c r="M57" s="58" t="s">
        <v>160</v>
      </c>
      <c r="N57" s="58" t="s">
        <v>161</v>
      </c>
      <c r="O57" s="58" t="s">
        <v>162</v>
      </c>
      <c r="P57" s="278" t="s">
        <v>163</v>
      </c>
      <c r="Q57" s="278"/>
      <c r="R57" s="58" t="s">
        <v>164</v>
      </c>
      <c r="S57" s="58" t="s">
        <v>165</v>
      </c>
      <c r="T57" s="15" t="s">
        <v>166</v>
      </c>
      <c r="U57" s="15" t="s">
        <v>167</v>
      </c>
      <c r="V57" s="96" t="s">
        <v>168</v>
      </c>
      <c r="W57" s="58" t="s">
        <v>169</v>
      </c>
      <c r="X57" s="22"/>
      <c r="Z57" s="23"/>
      <c r="AA57" s="7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8" ht="18" customHeight="1" thickBot="1" x14ac:dyDescent="0.35">
      <c r="A58" s="1"/>
      <c r="B58" s="276"/>
      <c r="C58" s="277"/>
      <c r="D58" s="21" t="s">
        <v>27</v>
      </c>
      <c r="E58" s="21" t="s">
        <v>10</v>
      </c>
      <c r="F58" s="21" t="s">
        <v>10</v>
      </c>
      <c r="G58" s="21" t="s">
        <v>10</v>
      </c>
      <c r="H58" s="21" t="s">
        <v>26</v>
      </c>
      <c r="I58" s="21" t="s">
        <v>27</v>
      </c>
      <c r="J58" s="21" t="s">
        <v>10</v>
      </c>
      <c r="K58" s="21" t="s">
        <v>10</v>
      </c>
      <c r="L58" s="21" t="s">
        <v>10</v>
      </c>
      <c r="M58" s="21" t="s">
        <v>10</v>
      </c>
      <c r="N58" s="21" t="s">
        <v>28</v>
      </c>
      <c r="O58" s="63" t="s">
        <v>26</v>
      </c>
      <c r="P58" s="279" t="str">
        <f>IF((I59*O59)&lt;H59,"un safe","safe")</f>
        <v>safe</v>
      </c>
      <c r="Q58" s="280"/>
      <c r="R58" s="65" t="s">
        <v>44</v>
      </c>
      <c r="S58" s="21" t="s">
        <v>10</v>
      </c>
      <c r="T58" s="21" t="s">
        <v>10</v>
      </c>
      <c r="U58" s="21" t="s">
        <v>10</v>
      </c>
      <c r="V58" s="97" t="s">
        <v>170</v>
      </c>
      <c r="W58" s="62" t="s">
        <v>171</v>
      </c>
      <c r="X58" s="22"/>
      <c r="Z58" s="23"/>
      <c r="AA58" s="7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8" ht="18" customHeight="1" thickBot="1" x14ac:dyDescent="0.35">
      <c r="A59" s="1"/>
      <c r="B59" s="276"/>
      <c r="C59" s="277"/>
      <c r="D59" s="27" t="s">
        <v>172</v>
      </c>
      <c r="E59" s="34">
        <f>D12</f>
        <v>94</v>
      </c>
      <c r="F59" s="21">
        <f>H12</f>
        <v>2</v>
      </c>
      <c r="G59" s="21">
        <f>E59-F59</f>
        <v>92</v>
      </c>
      <c r="H59" s="21">
        <f>(100*D8)/G59</f>
        <v>63.910771739130439</v>
      </c>
      <c r="I59" s="21">
        <v>0.95</v>
      </c>
      <c r="J59" s="21">
        <f>N17</f>
        <v>2</v>
      </c>
      <c r="K59" s="21">
        <f>O17</f>
        <v>0.8</v>
      </c>
      <c r="L59" s="21">
        <f>M17</f>
        <v>6</v>
      </c>
      <c r="M59" s="21">
        <f>IF(D59="built up",(J59*2),(2*J59))</f>
        <v>4</v>
      </c>
      <c r="N59" s="21">
        <f>C4</f>
        <v>2.8</v>
      </c>
      <c r="O59" s="63">
        <f>(F59+(2*L59)+(5*M59))*K59*N59</f>
        <v>76.16</v>
      </c>
      <c r="P59" s="281"/>
      <c r="Q59" s="282"/>
      <c r="R59" s="98" t="str">
        <f>IF(P58="un safe",(((E17*F17)-((E17+(2*M17)+(5*M59))*K59))/2),"-")</f>
        <v>-</v>
      </c>
      <c r="S59" s="21" t="str">
        <f>IF(P58="un safe",((Q17-O17)/2),"-")</f>
        <v>-</v>
      </c>
      <c r="T59" s="21" t="str">
        <f>IF(P58="un safe",(R59/S59),"-")</f>
        <v>-</v>
      </c>
      <c r="U59" s="21" t="b">
        <f>IF(T59&lt;F59,F59)</f>
        <v>0</v>
      </c>
      <c r="V59" s="99" t="str">
        <f>IF(P58="un safe",(IF(((S59+(K59/2))&lt;(F17/3)),"un safe","safe")),"-")</f>
        <v>-</v>
      </c>
      <c r="W59" s="81" t="str">
        <f>IF(P58="un safe",(IF(((U59)&lt;(F59/2)),"un safe","safe")),"-")</f>
        <v>-</v>
      </c>
      <c r="X59" s="22"/>
      <c r="Z59" s="23"/>
      <c r="AA59" s="7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8" ht="18" customHeight="1" thickBot="1" x14ac:dyDescent="0.35">
      <c r="A60" s="1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22"/>
      <c r="AA60" s="23"/>
      <c r="AB60" s="7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8" customHeight="1" thickBot="1" x14ac:dyDescent="0.35">
      <c r="A61" s="1"/>
      <c r="B61" s="250" t="s">
        <v>173</v>
      </c>
      <c r="C61" s="275"/>
      <c r="D61" s="66" t="s">
        <v>157</v>
      </c>
      <c r="E61" s="58" t="s">
        <v>174</v>
      </c>
      <c r="F61" s="58" t="s">
        <v>152</v>
      </c>
      <c r="G61" s="58" t="s">
        <v>153</v>
      </c>
      <c r="H61" s="58" t="s">
        <v>154</v>
      </c>
      <c r="I61" s="58" t="s">
        <v>175</v>
      </c>
      <c r="J61" s="95" t="s">
        <v>156</v>
      </c>
      <c r="K61" s="58" t="s">
        <v>176</v>
      </c>
      <c r="L61" s="58" t="s">
        <v>162</v>
      </c>
      <c r="M61" s="278" t="s">
        <v>177</v>
      </c>
      <c r="N61" s="278"/>
      <c r="O61" s="58" t="s">
        <v>164</v>
      </c>
      <c r="P61" s="58" t="s">
        <v>165</v>
      </c>
      <c r="Q61" s="100" t="s">
        <v>166</v>
      </c>
      <c r="R61" s="101" t="s">
        <v>178</v>
      </c>
      <c r="S61" s="96" t="s">
        <v>168</v>
      </c>
      <c r="T61" s="58" t="s">
        <v>169</v>
      </c>
      <c r="U61" s="10"/>
      <c r="V61" s="10"/>
      <c r="W61" s="10"/>
      <c r="Z61" s="2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8" ht="18" customHeight="1" thickBot="1" x14ac:dyDescent="0.35">
      <c r="A62" s="1"/>
      <c r="B62" s="276"/>
      <c r="C62" s="277"/>
      <c r="D62" s="21" t="s">
        <v>10</v>
      </c>
      <c r="E62" s="21" t="s">
        <v>28</v>
      </c>
      <c r="F62" s="21" t="s">
        <v>10</v>
      </c>
      <c r="G62" s="21" t="s">
        <v>10</v>
      </c>
      <c r="H62" s="21" t="s">
        <v>10</v>
      </c>
      <c r="I62" s="21" t="s">
        <v>26</v>
      </c>
      <c r="J62" s="21" t="s">
        <v>27</v>
      </c>
      <c r="K62" s="21" t="s">
        <v>10</v>
      </c>
      <c r="L62" s="63" t="s">
        <v>26</v>
      </c>
      <c r="M62" s="279" t="str">
        <f>IF((J63*L63)&lt;I63,"un safe","safe")</f>
        <v>un safe</v>
      </c>
      <c r="N62" s="280"/>
      <c r="O62" s="65" t="s">
        <v>44</v>
      </c>
      <c r="P62" s="21" t="s">
        <v>10</v>
      </c>
      <c r="Q62" s="63" t="s">
        <v>10</v>
      </c>
      <c r="R62" s="102" t="s">
        <v>10</v>
      </c>
      <c r="S62" s="97" t="s">
        <v>170</v>
      </c>
      <c r="T62" s="62" t="s">
        <v>171</v>
      </c>
      <c r="U62" s="10"/>
      <c r="V62" s="10"/>
      <c r="W62" s="10"/>
      <c r="Z62" s="2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8" ht="18" customHeight="1" thickBot="1" x14ac:dyDescent="0.35">
      <c r="A63" s="1"/>
      <c r="B63" s="283"/>
      <c r="C63" s="284"/>
      <c r="D63" s="56">
        <f>N17</f>
        <v>2</v>
      </c>
      <c r="E63" s="56">
        <f>C4</f>
        <v>2.8</v>
      </c>
      <c r="F63" s="103">
        <f>D12</f>
        <v>94</v>
      </c>
      <c r="G63" s="56">
        <f>H12</f>
        <v>2</v>
      </c>
      <c r="H63" s="56">
        <f>F63-G63</f>
        <v>92</v>
      </c>
      <c r="I63" s="56">
        <f>(100*D8)/H63</f>
        <v>63.910771739130439</v>
      </c>
      <c r="J63" s="56">
        <v>0.85</v>
      </c>
      <c r="K63" s="56">
        <f>N17</f>
        <v>2</v>
      </c>
      <c r="L63" s="104">
        <f>6.25*E63*(K63^2)</f>
        <v>70</v>
      </c>
      <c r="M63" s="281"/>
      <c r="N63" s="282"/>
      <c r="O63" s="105">
        <f>IF(M62="un safe",((I63-(J63*L63))/(2*E63)),"-")</f>
        <v>0.78763781055900706</v>
      </c>
      <c r="P63" s="56">
        <f>IF(M62="un safe",((Q17-O17)/2),"-")</f>
        <v>14.6</v>
      </c>
      <c r="Q63" s="104">
        <f>IF(M62="un safe",(O63/P63),"-")</f>
        <v>5.394779524376761E-2</v>
      </c>
      <c r="R63" s="106" t="b">
        <f>IF(T59&lt;F59,F59)</f>
        <v>0</v>
      </c>
      <c r="S63" s="99" t="str">
        <f>IF(M62="un safe",(IF(((P63+(O17/2))&lt;(F17/3)),"un safe","safe")),"-")</f>
        <v>safe</v>
      </c>
      <c r="T63" s="81" t="str">
        <f>IF(M62="un safe",(IF(((R63)&lt;(G63/2)),"un safe","safe")),"-")</f>
        <v>safe</v>
      </c>
      <c r="U63" s="10"/>
      <c r="V63" s="10"/>
      <c r="W63" s="10"/>
      <c r="Z63" s="2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8" ht="18" customHeight="1" thickBot="1" x14ac:dyDescent="0.35">
      <c r="A64" s="1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22"/>
      <c r="AA64" s="23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8" customHeight="1" thickBot="1" x14ac:dyDescent="0.35">
      <c r="A65" s="1"/>
      <c r="B65" s="250" t="s">
        <v>179</v>
      </c>
      <c r="C65" s="275"/>
      <c r="D65" s="66" t="s">
        <v>158</v>
      </c>
      <c r="E65" s="58" t="s">
        <v>180</v>
      </c>
      <c r="F65" s="58" t="s">
        <v>161</v>
      </c>
      <c r="G65" s="58" t="s">
        <v>152</v>
      </c>
      <c r="H65" s="58" t="s">
        <v>153</v>
      </c>
      <c r="I65" s="58" t="s">
        <v>154</v>
      </c>
      <c r="J65" s="58" t="s">
        <v>239</v>
      </c>
      <c r="K65" s="58" t="s">
        <v>236</v>
      </c>
      <c r="L65" s="278" t="s">
        <v>237</v>
      </c>
      <c r="M65" s="278"/>
      <c r="N65" s="58"/>
      <c r="O65" s="107" t="s">
        <v>238</v>
      </c>
      <c r="P65" s="195"/>
      <c r="Q65" s="195"/>
      <c r="R65" s="195"/>
      <c r="S65" s="195"/>
      <c r="T65" s="10"/>
      <c r="U65" s="10"/>
      <c r="V65" s="10"/>
      <c r="W65" s="10"/>
      <c r="X65" s="11"/>
      <c r="Y65" s="22"/>
      <c r="AA65" s="23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8" customHeight="1" x14ac:dyDescent="0.3">
      <c r="A66" s="1"/>
      <c r="B66" s="276"/>
      <c r="C66" s="277"/>
      <c r="D66" s="21" t="s">
        <v>10</v>
      </c>
      <c r="E66" s="21" t="s">
        <v>10</v>
      </c>
      <c r="F66" s="21" t="s">
        <v>28</v>
      </c>
      <c r="G66" s="21" t="s">
        <v>10</v>
      </c>
      <c r="H66" s="21" t="s">
        <v>10</v>
      </c>
      <c r="I66" s="21" t="s">
        <v>10</v>
      </c>
      <c r="J66" s="21" t="s">
        <v>26</v>
      </c>
      <c r="K66" s="63" t="s">
        <v>26</v>
      </c>
      <c r="L66" s="279" t="str">
        <f>IF(K67&lt;J67,"un safe","safe")</f>
        <v>safe</v>
      </c>
      <c r="M66" s="285"/>
      <c r="N66" s="21"/>
      <c r="O66" s="196" t="s">
        <v>10</v>
      </c>
      <c r="T66" s="10"/>
      <c r="U66" s="10"/>
      <c r="V66" s="10"/>
      <c r="W66" s="10"/>
      <c r="X66" s="11"/>
      <c r="Y66" s="22"/>
      <c r="AA66" s="23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8" customHeight="1" thickBot="1" x14ac:dyDescent="0.35">
      <c r="A67" s="1"/>
      <c r="B67" s="283"/>
      <c r="C67" s="284"/>
      <c r="D67" s="56">
        <f>O17</f>
        <v>0.8</v>
      </c>
      <c r="E67" s="103">
        <f>P17</f>
        <v>64</v>
      </c>
      <c r="F67" s="56">
        <f>C4</f>
        <v>2.8</v>
      </c>
      <c r="G67" s="103">
        <f>D17</f>
        <v>94</v>
      </c>
      <c r="H67" s="56">
        <f>E17</f>
        <v>2</v>
      </c>
      <c r="I67" s="56">
        <f>G67-H67</f>
        <v>92</v>
      </c>
      <c r="J67" s="56">
        <f>100*D8/I67</f>
        <v>63.910771739130439</v>
      </c>
      <c r="K67" s="104">
        <f>0.7*0.363*(Q5+O67)^2*(1+3*((K5/P5)*((Q5+O67)/(S5))^1.5))*((2100*C4*S5)/(Q5+O67))^0.5</f>
        <v>72.226986809948514</v>
      </c>
      <c r="L67" s="281"/>
      <c r="M67" s="286"/>
      <c r="N67" s="103"/>
      <c r="O67" s="198">
        <v>1</v>
      </c>
      <c r="P67" s="51"/>
      <c r="Q67" s="36"/>
      <c r="R67" s="197"/>
      <c r="S67" s="36"/>
      <c r="T67" s="82"/>
      <c r="U67" s="82"/>
      <c r="V67" s="82"/>
      <c r="W67" s="82"/>
      <c r="X67" s="94"/>
      <c r="Y67" s="51"/>
      <c r="Z67" s="36"/>
      <c r="AA67" s="5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x14ac:dyDescent="0.3">
      <c r="A105" s="1"/>
      <c r="B105" s="1"/>
      <c r="C105" s="1"/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1">
        <v>8</v>
      </c>
      <c r="L105" s="1">
        <v>9</v>
      </c>
      <c r="M105" s="1">
        <v>10</v>
      </c>
      <c r="N105" s="1">
        <v>11</v>
      </c>
      <c r="O105" s="1">
        <v>12</v>
      </c>
      <c r="P105" s="1">
        <v>13</v>
      </c>
      <c r="Q105" s="1">
        <v>14</v>
      </c>
      <c r="R105" s="1">
        <v>15</v>
      </c>
      <c r="S105" s="1">
        <v>16</v>
      </c>
      <c r="T105" s="1">
        <v>17</v>
      </c>
      <c r="U105" s="1">
        <v>18</v>
      </c>
      <c r="V105" s="1">
        <v>19</v>
      </c>
      <c r="W105" s="1">
        <v>20</v>
      </c>
      <c r="X105" s="1">
        <v>21</v>
      </c>
      <c r="Y105" s="1">
        <v>22</v>
      </c>
      <c r="Z105" s="1">
        <v>23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x14ac:dyDescent="0.3">
      <c r="A106" s="1"/>
      <c r="B106" s="1"/>
      <c r="C106" s="1"/>
      <c r="D106" s="287" t="s">
        <v>181</v>
      </c>
      <c r="E106" s="287" t="s">
        <v>182</v>
      </c>
      <c r="F106" s="287" t="s">
        <v>183</v>
      </c>
      <c r="G106" s="287" t="s">
        <v>184</v>
      </c>
      <c r="H106" s="287" t="s">
        <v>185</v>
      </c>
      <c r="I106" s="287"/>
      <c r="J106" s="287"/>
      <c r="K106" s="287"/>
      <c r="L106" s="287"/>
      <c r="M106" s="287"/>
      <c r="N106" s="287"/>
      <c r="O106" s="287" t="s">
        <v>186</v>
      </c>
      <c r="P106" s="287"/>
      <c r="Q106" s="287"/>
      <c r="R106" s="287" t="s">
        <v>187</v>
      </c>
      <c r="S106" s="287"/>
      <c r="T106" s="287"/>
      <c r="U106" s="300" t="s">
        <v>188</v>
      </c>
      <c r="V106" s="300"/>
      <c r="W106" s="301" t="s">
        <v>189</v>
      </c>
      <c r="X106" s="302"/>
      <c r="Y106" s="303" t="s">
        <v>190</v>
      </c>
      <c r="Z106" s="303" t="s">
        <v>191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5.6" x14ac:dyDescent="0.3">
      <c r="A107" s="1"/>
      <c r="B107" s="1"/>
      <c r="C107" s="1"/>
      <c r="D107" s="287"/>
      <c r="E107" s="287"/>
      <c r="F107" s="287"/>
      <c r="G107" s="287"/>
      <c r="H107" s="108" t="s">
        <v>3</v>
      </c>
      <c r="I107" s="108" t="s">
        <v>116</v>
      </c>
      <c r="J107" s="108" t="s">
        <v>192</v>
      </c>
      <c r="K107" s="108" t="s">
        <v>26</v>
      </c>
      <c r="L107" s="108" t="s">
        <v>193</v>
      </c>
      <c r="M107" s="108" t="s">
        <v>194</v>
      </c>
      <c r="N107" s="108" t="s">
        <v>195</v>
      </c>
      <c r="O107" s="108" t="s">
        <v>196</v>
      </c>
      <c r="P107" s="108" t="s">
        <v>197</v>
      </c>
      <c r="Q107" s="108" t="s">
        <v>198</v>
      </c>
      <c r="R107" s="108" t="s">
        <v>199</v>
      </c>
      <c r="S107" s="108" t="s">
        <v>200</v>
      </c>
      <c r="T107" s="108" t="s">
        <v>201</v>
      </c>
      <c r="U107" s="108" t="s">
        <v>202</v>
      </c>
      <c r="V107" s="108" t="s">
        <v>203</v>
      </c>
      <c r="W107" s="108" t="s">
        <v>204</v>
      </c>
      <c r="X107" s="108" t="s">
        <v>205</v>
      </c>
      <c r="Y107" s="303"/>
      <c r="Z107" s="30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5.6" x14ac:dyDescent="0.3">
      <c r="A108" s="1"/>
      <c r="B108" s="1"/>
      <c r="C108" s="1"/>
      <c r="D108" s="287"/>
      <c r="E108" s="108" t="s">
        <v>206</v>
      </c>
      <c r="F108" s="108" t="s">
        <v>207</v>
      </c>
      <c r="G108" s="108" t="s">
        <v>207</v>
      </c>
      <c r="H108" s="110" t="s">
        <v>208</v>
      </c>
      <c r="I108" s="110" t="s">
        <v>208</v>
      </c>
      <c r="J108" s="110" t="s">
        <v>208</v>
      </c>
      <c r="K108" s="110" t="s">
        <v>208</v>
      </c>
      <c r="L108" s="110" t="s">
        <v>208</v>
      </c>
      <c r="M108" s="110" t="s">
        <v>208</v>
      </c>
      <c r="N108" s="110" t="s">
        <v>208</v>
      </c>
      <c r="O108" s="108" t="s">
        <v>209</v>
      </c>
      <c r="P108" s="108" t="s">
        <v>210</v>
      </c>
      <c r="Q108" s="108" t="s">
        <v>10</v>
      </c>
      <c r="R108" s="108" t="s">
        <v>209</v>
      </c>
      <c r="S108" s="108" t="s">
        <v>210</v>
      </c>
      <c r="T108" s="108" t="s">
        <v>10</v>
      </c>
      <c r="U108" s="108" t="s">
        <v>208</v>
      </c>
      <c r="V108" s="108" t="s">
        <v>208</v>
      </c>
      <c r="W108" s="108" t="s">
        <v>211</v>
      </c>
      <c r="X108" s="108" t="s">
        <v>212</v>
      </c>
      <c r="Y108" s="108" t="s">
        <v>213</v>
      </c>
      <c r="Z108" s="109" t="s">
        <v>208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x14ac:dyDescent="0.3">
      <c r="A109" s="1"/>
      <c r="B109" s="1"/>
      <c r="C109" s="1"/>
      <c r="D109" s="111">
        <v>80</v>
      </c>
      <c r="E109" s="112">
        <v>6</v>
      </c>
      <c r="F109" s="112">
        <v>7.64</v>
      </c>
      <c r="G109" s="112">
        <v>2.6447999999999996</v>
      </c>
      <c r="H109" s="113">
        <v>80</v>
      </c>
      <c r="I109" s="113">
        <v>46</v>
      </c>
      <c r="J109" s="114">
        <v>3.8</v>
      </c>
      <c r="K109" s="114">
        <v>5.2</v>
      </c>
      <c r="L109" s="113">
        <v>4.9999999999999991</v>
      </c>
      <c r="M109" s="114">
        <v>10.199999999999999</v>
      </c>
      <c r="N109" s="114">
        <v>59.6</v>
      </c>
      <c r="O109" s="114">
        <v>80.099999999999994</v>
      </c>
      <c r="P109" s="114">
        <v>20</v>
      </c>
      <c r="Q109" s="112">
        <v>3.24</v>
      </c>
      <c r="R109" s="113">
        <v>8.49</v>
      </c>
      <c r="S109" s="112">
        <v>3.69</v>
      </c>
      <c r="T109" s="112">
        <v>1.05</v>
      </c>
      <c r="U109" s="112" t="s">
        <v>214</v>
      </c>
      <c r="V109" s="112" t="s">
        <v>214</v>
      </c>
      <c r="W109" s="112">
        <v>32.799999999999997</v>
      </c>
      <c r="X109" s="112">
        <v>54.8</v>
      </c>
      <c r="Y109" s="109">
        <f t="shared" ref="Y109:Y126" si="0">I109*K109</f>
        <v>239.20000000000002</v>
      </c>
      <c r="Z109" s="109">
        <f t="shared" ref="Z109:Z126" si="1">H109-(2*K109)</f>
        <v>69.599999999999994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x14ac:dyDescent="0.3">
      <c r="A110" s="1"/>
      <c r="B110" s="1"/>
      <c r="C110" s="1"/>
      <c r="D110" s="111">
        <v>100</v>
      </c>
      <c r="E110" s="112">
        <v>8.1</v>
      </c>
      <c r="F110" s="112">
        <v>10.3</v>
      </c>
      <c r="G110" s="112">
        <v>3.6325999999999992</v>
      </c>
      <c r="H110" s="113">
        <v>100</v>
      </c>
      <c r="I110" s="113">
        <v>55</v>
      </c>
      <c r="J110" s="114">
        <v>4.0999999999999996</v>
      </c>
      <c r="K110" s="114">
        <v>5.7</v>
      </c>
      <c r="L110" s="113">
        <v>6.9999999999999991</v>
      </c>
      <c r="M110" s="114">
        <v>12.7</v>
      </c>
      <c r="N110" s="114">
        <v>74.599999999999994</v>
      </c>
      <c r="O110" s="113">
        <v>171</v>
      </c>
      <c r="P110" s="114">
        <v>34.200000000000003</v>
      </c>
      <c r="Q110" s="112">
        <v>4.07</v>
      </c>
      <c r="R110" s="113">
        <v>15.9</v>
      </c>
      <c r="S110" s="113">
        <v>5.79</v>
      </c>
      <c r="T110" s="112">
        <v>1.24</v>
      </c>
      <c r="U110" s="112" t="s">
        <v>214</v>
      </c>
      <c r="V110" s="112" t="s">
        <v>214</v>
      </c>
      <c r="W110" s="112">
        <v>40</v>
      </c>
      <c r="X110" s="112">
        <v>49.5</v>
      </c>
      <c r="Y110" s="109">
        <f t="shared" si="0"/>
        <v>313.5</v>
      </c>
      <c r="Z110" s="109">
        <f t="shared" si="1"/>
        <v>88.6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x14ac:dyDescent="0.3">
      <c r="A111" s="1"/>
      <c r="B111" s="1">
        <v>37</v>
      </c>
      <c r="C111" s="1"/>
      <c r="D111" s="111">
        <v>120</v>
      </c>
      <c r="E111" s="112">
        <v>10.4</v>
      </c>
      <c r="F111" s="112">
        <v>13.2</v>
      </c>
      <c r="G111" s="112">
        <v>4.7256000000000009</v>
      </c>
      <c r="H111" s="113">
        <v>120</v>
      </c>
      <c r="I111" s="113">
        <v>64</v>
      </c>
      <c r="J111" s="114">
        <v>4.4000000000000004</v>
      </c>
      <c r="K111" s="114">
        <v>6.3</v>
      </c>
      <c r="L111" s="113">
        <v>7.0000000000000009</v>
      </c>
      <c r="M111" s="114">
        <v>13.3</v>
      </c>
      <c r="N111" s="114">
        <v>93.4</v>
      </c>
      <c r="O111" s="113">
        <v>318</v>
      </c>
      <c r="P111" s="114">
        <v>53</v>
      </c>
      <c r="Q111" s="112">
        <v>4.9000000000000004</v>
      </c>
      <c r="R111" s="113">
        <v>27.7</v>
      </c>
      <c r="S111" s="113">
        <v>8.65</v>
      </c>
      <c r="T111" s="112">
        <v>1.45</v>
      </c>
      <c r="U111" s="113">
        <v>36</v>
      </c>
      <c r="V111" s="112" t="s">
        <v>215</v>
      </c>
      <c r="W111" s="112">
        <v>47.5</v>
      </c>
      <c r="X111" s="112">
        <v>45.6</v>
      </c>
      <c r="Y111" s="109">
        <f t="shared" si="0"/>
        <v>403.2</v>
      </c>
      <c r="Z111" s="109">
        <f t="shared" si="1"/>
        <v>107.4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x14ac:dyDescent="0.3">
      <c r="A112" s="1"/>
      <c r="B112" s="1">
        <v>44</v>
      </c>
      <c r="C112" s="1"/>
      <c r="D112" s="111">
        <v>140</v>
      </c>
      <c r="E112" s="112">
        <v>12.9</v>
      </c>
      <c r="F112" s="112">
        <v>16.399999999999999</v>
      </c>
      <c r="G112" s="112">
        <v>5.9314</v>
      </c>
      <c r="H112" s="113">
        <v>140</v>
      </c>
      <c r="I112" s="113">
        <v>73</v>
      </c>
      <c r="J112" s="114">
        <v>4.7</v>
      </c>
      <c r="K112" s="114">
        <v>6.9</v>
      </c>
      <c r="L112" s="113">
        <v>7</v>
      </c>
      <c r="M112" s="114">
        <v>13.9</v>
      </c>
      <c r="N112" s="114">
        <v>112.2</v>
      </c>
      <c r="O112" s="113">
        <v>541</v>
      </c>
      <c r="P112" s="114">
        <v>77.3</v>
      </c>
      <c r="Q112" s="112">
        <v>5.74</v>
      </c>
      <c r="R112" s="113">
        <v>44.9</v>
      </c>
      <c r="S112" s="113">
        <v>12.3</v>
      </c>
      <c r="T112" s="112">
        <v>1.65</v>
      </c>
      <c r="U112" s="113">
        <v>38</v>
      </c>
      <c r="V112" s="112" t="s">
        <v>215</v>
      </c>
      <c r="W112" s="112">
        <v>55.1</v>
      </c>
      <c r="X112" s="112">
        <v>42.6</v>
      </c>
      <c r="Y112" s="109">
        <f t="shared" si="0"/>
        <v>503.70000000000005</v>
      </c>
      <c r="Z112" s="109">
        <f t="shared" si="1"/>
        <v>126.2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x14ac:dyDescent="0.3">
      <c r="A113" s="1"/>
      <c r="B113" s="1">
        <v>52</v>
      </c>
      <c r="C113" s="1"/>
      <c r="D113" s="111">
        <v>160</v>
      </c>
      <c r="E113" s="112">
        <v>15.8</v>
      </c>
      <c r="F113" s="112">
        <v>20.100000000000001</v>
      </c>
      <c r="G113" s="112">
        <v>7.26</v>
      </c>
      <c r="H113" s="113">
        <v>160</v>
      </c>
      <c r="I113" s="113">
        <v>82</v>
      </c>
      <c r="J113" s="114">
        <v>5</v>
      </c>
      <c r="K113" s="114">
        <v>7.4</v>
      </c>
      <c r="L113" s="113">
        <v>8.9999999999999982</v>
      </c>
      <c r="M113" s="114">
        <v>16.399999999999999</v>
      </c>
      <c r="N113" s="114">
        <v>127.2</v>
      </c>
      <c r="O113" s="113">
        <v>869</v>
      </c>
      <c r="P113" s="113">
        <v>109</v>
      </c>
      <c r="Q113" s="112">
        <v>6.58</v>
      </c>
      <c r="R113" s="113">
        <v>68.3</v>
      </c>
      <c r="S113" s="113">
        <v>16.7</v>
      </c>
      <c r="T113" s="112">
        <v>1.84</v>
      </c>
      <c r="U113" s="113">
        <v>44</v>
      </c>
      <c r="V113" s="112" t="s">
        <v>216</v>
      </c>
      <c r="W113" s="112">
        <v>62.3</v>
      </c>
      <c r="X113" s="112">
        <v>39.4</v>
      </c>
      <c r="Y113" s="109">
        <f t="shared" si="0"/>
        <v>606.80000000000007</v>
      </c>
      <c r="Z113" s="109">
        <f t="shared" si="1"/>
        <v>145.19999999999999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x14ac:dyDescent="0.3">
      <c r="A114" s="1"/>
      <c r="B114" s="1"/>
      <c r="C114" s="1"/>
      <c r="D114" s="111">
        <v>180</v>
      </c>
      <c r="E114" s="112">
        <v>18.8</v>
      </c>
      <c r="F114" s="112">
        <v>23.9</v>
      </c>
      <c r="G114" s="112">
        <v>8.6920000000000002</v>
      </c>
      <c r="H114" s="113">
        <v>180</v>
      </c>
      <c r="I114" s="113">
        <v>91</v>
      </c>
      <c r="J114" s="114">
        <v>5.3</v>
      </c>
      <c r="K114" s="114">
        <v>8</v>
      </c>
      <c r="L114" s="113">
        <v>9</v>
      </c>
      <c r="M114" s="114">
        <v>17</v>
      </c>
      <c r="N114" s="114">
        <v>146</v>
      </c>
      <c r="O114" s="113">
        <v>1320</v>
      </c>
      <c r="P114" s="113">
        <v>146</v>
      </c>
      <c r="Q114" s="112">
        <v>7.42</v>
      </c>
      <c r="R114" s="113">
        <v>101</v>
      </c>
      <c r="S114" s="113">
        <v>22.2</v>
      </c>
      <c r="T114" s="112">
        <v>2.0499999999999998</v>
      </c>
      <c r="U114" s="113">
        <v>50</v>
      </c>
      <c r="V114" s="112" t="s">
        <v>216</v>
      </c>
      <c r="W114" s="112">
        <v>69.8</v>
      </c>
      <c r="X114" s="112">
        <v>37.1</v>
      </c>
      <c r="Y114" s="109">
        <f t="shared" si="0"/>
        <v>728</v>
      </c>
      <c r="Z114" s="109">
        <f t="shared" si="1"/>
        <v>164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x14ac:dyDescent="0.3">
      <c r="A115" s="1"/>
      <c r="B115" s="1"/>
      <c r="C115" s="1"/>
      <c r="D115" s="111">
        <v>200</v>
      </c>
      <c r="E115" s="112">
        <v>22.4</v>
      </c>
      <c r="F115" s="112">
        <v>28.5</v>
      </c>
      <c r="G115" s="112">
        <v>10.247999999999999</v>
      </c>
      <c r="H115" s="113">
        <v>200</v>
      </c>
      <c r="I115" s="113">
        <v>100</v>
      </c>
      <c r="J115" s="114">
        <v>5.6</v>
      </c>
      <c r="K115" s="114">
        <v>8.5</v>
      </c>
      <c r="L115" s="113">
        <v>12</v>
      </c>
      <c r="M115" s="114">
        <v>20.5</v>
      </c>
      <c r="N115" s="114">
        <v>159</v>
      </c>
      <c r="O115" s="113">
        <v>1940</v>
      </c>
      <c r="P115" s="113">
        <v>194</v>
      </c>
      <c r="Q115" s="112">
        <v>8.26</v>
      </c>
      <c r="R115" s="113">
        <v>142</v>
      </c>
      <c r="S115" s="113">
        <v>28.5</v>
      </c>
      <c r="T115" s="112">
        <v>2.2400000000000002</v>
      </c>
      <c r="U115" s="113">
        <v>56</v>
      </c>
      <c r="V115" s="112" t="s">
        <v>216</v>
      </c>
      <c r="W115" s="112">
        <v>76.8</v>
      </c>
      <c r="X115" s="112">
        <v>34.299999999999997</v>
      </c>
      <c r="Y115" s="109">
        <f t="shared" si="0"/>
        <v>850</v>
      </c>
      <c r="Z115" s="109">
        <f t="shared" si="1"/>
        <v>183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x14ac:dyDescent="0.3">
      <c r="A116" s="1"/>
      <c r="B116" s="1" t="s">
        <v>67</v>
      </c>
      <c r="C116" s="1"/>
      <c r="D116" s="111">
        <v>220</v>
      </c>
      <c r="E116" s="112">
        <v>26.2</v>
      </c>
      <c r="F116" s="112">
        <v>33.4</v>
      </c>
      <c r="G116" s="112">
        <v>11.894400000000001</v>
      </c>
      <c r="H116" s="113">
        <v>220</v>
      </c>
      <c r="I116" s="113">
        <v>110</v>
      </c>
      <c r="J116" s="114">
        <v>5.9</v>
      </c>
      <c r="K116" s="114">
        <v>9.1999999999999993</v>
      </c>
      <c r="L116" s="113">
        <v>12</v>
      </c>
      <c r="M116" s="114">
        <v>21.2</v>
      </c>
      <c r="N116" s="114">
        <v>177.6</v>
      </c>
      <c r="O116" s="113">
        <v>2770</v>
      </c>
      <c r="P116" s="113">
        <v>252</v>
      </c>
      <c r="Q116" s="112">
        <v>9.11</v>
      </c>
      <c r="R116" s="113">
        <v>205</v>
      </c>
      <c r="S116" s="113">
        <v>37.299999999999997</v>
      </c>
      <c r="T116" s="112">
        <v>2.48</v>
      </c>
      <c r="U116" s="113">
        <v>60</v>
      </c>
      <c r="V116" s="112" t="s">
        <v>29</v>
      </c>
      <c r="W116" s="112">
        <v>84.8</v>
      </c>
      <c r="X116" s="112">
        <v>32.4</v>
      </c>
      <c r="Y116" s="109">
        <f t="shared" si="0"/>
        <v>1011.9999999999999</v>
      </c>
      <c r="Z116" s="109">
        <f t="shared" si="1"/>
        <v>201.6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x14ac:dyDescent="0.3">
      <c r="A117" s="1"/>
      <c r="B117" s="1" t="s">
        <v>217</v>
      </c>
      <c r="C117" s="1"/>
      <c r="D117" s="111">
        <v>240</v>
      </c>
      <c r="E117" s="112">
        <v>30.7</v>
      </c>
      <c r="F117" s="112">
        <v>39.1</v>
      </c>
      <c r="G117" s="112">
        <v>13.664800000000001</v>
      </c>
      <c r="H117" s="113">
        <v>240</v>
      </c>
      <c r="I117" s="113">
        <v>120</v>
      </c>
      <c r="J117" s="114">
        <v>6.2</v>
      </c>
      <c r="K117" s="114">
        <v>9.8000000000000007</v>
      </c>
      <c r="L117" s="113">
        <v>15</v>
      </c>
      <c r="M117" s="114">
        <v>24.8</v>
      </c>
      <c r="N117" s="114">
        <v>190.4</v>
      </c>
      <c r="O117" s="113">
        <v>3890</v>
      </c>
      <c r="P117" s="113">
        <v>324</v>
      </c>
      <c r="Q117" s="112">
        <v>9.9700000000000006</v>
      </c>
      <c r="R117" s="113">
        <v>284</v>
      </c>
      <c r="S117" s="113">
        <v>47.3</v>
      </c>
      <c r="T117" s="112">
        <v>2.69</v>
      </c>
      <c r="U117" s="113">
        <v>68</v>
      </c>
      <c r="V117" s="112" t="s">
        <v>29</v>
      </c>
      <c r="W117" s="112">
        <v>92.2</v>
      </c>
      <c r="X117" s="112">
        <v>30</v>
      </c>
      <c r="Y117" s="109">
        <f t="shared" si="0"/>
        <v>1176</v>
      </c>
      <c r="Z117" s="109">
        <f t="shared" si="1"/>
        <v>220.4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x14ac:dyDescent="0.3">
      <c r="A118" s="1"/>
      <c r="B118" s="1"/>
      <c r="C118" s="1"/>
      <c r="D118" s="111">
        <v>270</v>
      </c>
      <c r="E118" s="112">
        <v>36.1</v>
      </c>
      <c r="F118" s="112">
        <v>45.9</v>
      </c>
      <c r="G118" s="112">
        <v>16.473600000000001</v>
      </c>
      <c r="H118" s="113">
        <v>270</v>
      </c>
      <c r="I118" s="113">
        <v>135</v>
      </c>
      <c r="J118" s="114">
        <v>6.6</v>
      </c>
      <c r="K118" s="114">
        <v>10.199999999999999</v>
      </c>
      <c r="L118" s="113">
        <v>15</v>
      </c>
      <c r="M118" s="114">
        <v>25.2</v>
      </c>
      <c r="N118" s="114">
        <v>219.6</v>
      </c>
      <c r="O118" s="113">
        <v>5790</v>
      </c>
      <c r="P118" s="113">
        <v>429</v>
      </c>
      <c r="Q118" s="112">
        <v>11.2</v>
      </c>
      <c r="R118" s="113">
        <v>420</v>
      </c>
      <c r="S118" s="113">
        <v>62.2</v>
      </c>
      <c r="T118" s="112">
        <v>3.02</v>
      </c>
      <c r="U118" s="113">
        <v>72</v>
      </c>
      <c r="V118" s="112" t="s">
        <v>218</v>
      </c>
      <c r="W118" s="112">
        <v>104</v>
      </c>
      <c r="X118" s="112">
        <v>28.8</v>
      </c>
      <c r="Y118" s="109">
        <f t="shared" si="0"/>
        <v>1377</v>
      </c>
      <c r="Z118" s="109">
        <f t="shared" si="1"/>
        <v>249.6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x14ac:dyDescent="0.3">
      <c r="A119" s="1"/>
      <c r="B119" s="1"/>
      <c r="C119" s="1"/>
      <c r="D119" s="111">
        <v>300</v>
      </c>
      <c r="E119" s="112">
        <v>42.2</v>
      </c>
      <c r="F119" s="112">
        <v>53.8</v>
      </c>
      <c r="G119" s="112">
        <v>19.7806</v>
      </c>
      <c r="H119" s="113">
        <v>300</v>
      </c>
      <c r="I119" s="113">
        <v>150</v>
      </c>
      <c r="J119" s="114">
        <v>7.1</v>
      </c>
      <c r="K119" s="114">
        <v>10.7</v>
      </c>
      <c r="L119" s="113">
        <v>15</v>
      </c>
      <c r="M119" s="114">
        <v>25.7</v>
      </c>
      <c r="N119" s="114">
        <v>248.6</v>
      </c>
      <c r="O119" s="113">
        <v>8360</v>
      </c>
      <c r="P119" s="113">
        <v>557</v>
      </c>
      <c r="Q119" s="112">
        <v>12.5</v>
      </c>
      <c r="R119" s="113">
        <v>604</v>
      </c>
      <c r="S119" s="113">
        <v>80.5</v>
      </c>
      <c r="T119" s="112">
        <v>3.35</v>
      </c>
      <c r="U119" s="113">
        <v>80</v>
      </c>
      <c r="V119" s="112" t="s">
        <v>218</v>
      </c>
      <c r="W119" s="112">
        <v>116</v>
      </c>
      <c r="X119" s="112">
        <v>27.5</v>
      </c>
      <c r="Y119" s="109">
        <f t="shared" si="0"/>
        <v>1605</v>
      </c>
      <c r="Z119" s="109">
        <f t="shared" si="1"/>
        <v>278.60000000000002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x14ac:dyDescent="0.3">
      <c r="A120" s="1"/>
      <c r="B120" s="1"/>
      <c r="C120" s="1"/>
      <c r="D120" s="111">
        <v>330</v>
      </c>
      <c r="E120" s="112">
        <v>49.1</v>
      </c>
      <c r="F120" s="112">
        <v>62.6</v>
      </c>
      <c r="G120" s="112">
        <v>23.024999999999999</v>
      </c>
      <c r="H120" s="113">
        <v>330</v>
      </c>
      <c r="I120" s="113">
        <v>160</v>
      </c>
      <c r="J120" s="114">
        <v>7.5</v>
      </c>
      <c r="K120" s="114">
        <v>11.5</v>
      </c>
      <c r="L120" s="113">
        <v>18</v>
      </c>
      <c r="M120" s="114">
        <v>29.5</v>
      </c>
      <c r="N120" s="114">
        <v>271</v>
      </c>
      <c r="O120" s="113">
        <v>11770</v>
      </c>
      <c r="P120" s="113">
        <v>713</v>
      </c>
      <c r="Q120" s="112">
        <v>13.7</v>
      </c>
      <c r="R120" s="113">
        <v>788</v>
      </c>
      <c r="S120" s="113">
        <v>98.5</v>
      </c>
      <c r="T120" s="112">
        <v>3.55</v>
      </c>
      <c r="U120" s="113">
        <v>86</v>
      </c>
      <c r="V120" s="112" t="s">
        <v>219</v>
      </c>
      <c r="W120" s="112">
        <v>125</v>
      </c>
      <c r="X120" s="112">
        <v>25.5</v>
      </c>
      <c r="Y120" s="109">
        <f t="shared" si="0"/>
        <v>1840</v>
      </c>
      <c r="Z120" s="109">
        <f t="shared" si="1"/>
        <v>307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x14ac:dyDescent="0.3">
      <c r="A121" s="1"/>
      <c r="B121" s="1" t="s">
        <v>220</v>
      </c>
      <c r="C121" s="1"/>
      <c r="D121" s="111">
        <v>360</v>
      </c>
      <c r="E121" s="112">
        <v>57.1</v>
      </c>
      <c r="F121" s="112">
        <v>72.7</v>
      </c>
      <c r="G121" s="112">
        <v>26.768000000000001</v>
      </c>
      <c r="H121" s="113">
        <v>360</v>
      </c>
      <c r="I121" s="113">
        <v>170</v>
      </c>
      <c r="J121" s="114">
        <v>8</v>
      </c>
      <c r="K121" s="114">
        <v>12.7</v>
      </c>
      <c r="L121" s="113">
        <v>18</v>
      </c>
      <c r="M121" s="114">
        <v>30.7</v>
      </c>
      <c r="N121" s="114">
        <v>298.60000000000002</v>
      </c>
      <c r="O121" s="113">
        <v>16270</v>
      </c>
      <c r="P121" s="113">
        <v>904</v>
      </c>
      <c r="Q121" s="112">
        <v>15</v>
      </c>
      <c r="R121" s="113">
        <v>1040</v>
      </c>
      <c r="S121" s="113">
        <v>123</v>
      </c>
      <c r="T121" s="112">
        <v>3.79</v>
      </c>
      <c r="U121" s="113">
        <v>90</v>
      </c>
      <c r="V121" s="112" t="s">
        <v>219</v>
      </c>
      <c r="W121" s="112">
        <v>135</v>
      </c>
      <c r="X121" s="112">
        <v>23.6</v>
      </c>
      <c r="Y121" s="109">
        <f t="shared" si="0"/>
        <v>2159</v>
      </c>
      <c r="Z121" s="109">
        <f t="shared" si="1"/>
        <v>334.6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x14ac:dyDescent="0.3">
      <c r="A122" s="1"/>
      <c r="B122" s="1" t="s">
        <v>172</v>
      </c>
      <c r="C122" s="1"/>
      <c r="D122" s="111">
        <v>400</v>
      </c>
      <c r="E122" s="112">
        <v>66.3</v>
      </c>
      <c r="F122" s="112">
        <v>84.5</v>
      </c>
      <c r="G122" s="112">
        <v>32.077999999999996</v>
      </c>
      <c r="H122" s="113">
        <v>400</v>
      </c>
      <c r="I122" s="113">
        <v>180</v>
      </c>
      <c r="J122" s="114">
        <v>8.6</v>
      </c>
      <c r="K122" s="114">
        <v>13.5</v>
      </c>
      <c r="L122" s="113">
        <v>21</v>
      </c>
      <c r="M122" s="114">
        <v>34.5</v>
      </c>
      <c r="N122" s="114">
        <v>331</v>
      </c>
      <c r="O122" s="113">
        <v>23130</v>
      </c>
      <c r="P122" s="113">
        <v>1160</v>
      </c>
      <c r="Q122" s="112">
        <v>16.5</v>
      </c>
      <c r="R122" s="113">
        <v>1320</v>
      </c>
      <c r="S122" s="113">
        <v>146</v>
      </c>
      <c r="T122" s="112">
        <v>3.95</v>
      </c>
      <c r="U122" s="113">
        <v>96</v>
      </c>
      <c r="V122" s="112" t="s">
        <v>221</v>
      </c>
      <c r="W122" s="112">
        <v>147</v>
      </c>
      <c r="X122" s="112">
        <v>22.2</v>
      </c>
      <c r="Y122" s="109">
        <f t="shared" si="0"/>
        <v>2430</v>
      </c>
      <c r="Z122" s="109">
        <f t="shared" si="1"/>
        <v>373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x14ac:dyDescent="0.3">
      <c r="A123" s="1"/>
      <c r="B123" s="1"/>
      <c r="C123" s="1"/>
      <c r="D123" s="111">
        <v>450</v>
      </c>
      <c r="E123" s="112">
        <v>77.599999999999994</v>
      </c>
      <c r="F123" s="112">
        <v>98.8</v>
      </c>
      <c r="G123" s="112">
        <v>39.555199999999999</v>
      </c>
      <c r="H123" s="113">
        <v>450</v>
      </c>
      <c r="I123" s="113">
        <v>190</v>
      </c>
      <c r="J123" s="114">
        <v>9.4</v>
      </c>
      <c r="K123" s="114">
        <v>14.6</v>
      </c>
      <c r="L123" s="113">
        <v>21</v>
      </c>
      <c r="M123" s="114">
        <v>35.6</v>
      </c>
      <c r="N123" s="114">
        <v>378.8</v>
      </c>
      <c r="O123" s="113">
        <v>33740</v>
      </c>
      <c r="P123" s="113">
        <v>1500</v>
      </c>
      <c r="Q123" s="112">
        <v>18.5</v>
      </c>
      <c r="R123" s="113">
        <v>1680</v>
      </c>
      <c r="S123" s="113">
        <v>176</v>
      </c>
      <c r="T123" s="112">
        <v>4.12</v>
      </c>
      <c r="U123" s="113">
        <v>106</v>
      </c>
      <c r="V123" s="112" t="s">
        <v>221</v>
      </c>
      <c r="W123" s="112">
        <v>161</v>
      </c>
      <c r="X123" s="112">
        <v>20.7</v>
      </c>
      <c r="Y123" s="109">
        <f t="shared" si="0"/>
        <v>2774</v>
      </c>
      <c r="Z123" s="109">
        <f t="shared" si="1"/>
        <v>420.8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x14ac:dyDescent="0.3">
      <c r="A124" s="1"/>
      <c r="B124" s="1"/>
      <c r="C124" s="1"/>
      <c r="D124" s="111">
        <v>500</v>
      </c>
      <c r="E124" s="112">
        <v>90.7</v>
      </c>
      <c r="F124" s="112">
        <v>116</v>
      </c>
      <c r="G124" s="112">
        <v>47.735999999999997</v>
      </c>
      <c r="H124" s="113">
        <v>500</v>
      </c>
      <c r="I124" s="113">
        <v>200</v>
      </c>
      <c r="J124" s="114">
        <v>10.199999999999999</v>
      </c>
      <c r="K124" s="114">
        <v>16</v>
      </c>
      <c r="L124" s="113">
        <v>21</v>
      </c>
      <c r="M124" s="114">
        <v>37</v>
      </c>
      <c r="N124" s="114">
        <v>426</v>
      </c>
      <c r="O124" s="113">
        <v>48200</v>
      </c>
      <c r="P124" s="113">
        <v>1930</v>
      </c>
      <c r="Q124" s="112">
        <v>20.399999999999999</v>
      </c>
      <c r="R124" s="113">
        <v>2140</v>
      </c>
      <c r="S124" s="113">
        <v>214</v>
      </c>
      <c r="T124" s="112">
        <v>4.3099999999999996</v>
      </c>
      <c r="U124" s="113">
        <v>110</v>
      </c>
      <c r="V124" s="112" t="s">
        <v>221</v>
      </c>
      <c r="W124" s="112">
        <v>174</v>
      </c>
      <c r="X124" s="112">
        <v>19.2</v>
      </c>
      <c r="Y124" s="109">
        <f t="shared" si="0"/>
        <v>3200</v>
      </c>
      <c r="Z124" s="109">
        <f t="shared" si="1"/>
        <v>468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x14ac:dyDescent="0.3">
      <c r="A125" s="1"/>
      <c r="B125" s="1"/>
      <c r="C125" s="1"/>
      <c r="D125" s="111">
        <v>550</v>
      </c>
      <c r="E125" s="112">
        <v>106</v>
      </c>
      <c r="F125" s="112">
        <v>134</v>
      </c>
      <c r="G125" s="112">
        <v>57.2316</v>
      </c>
      <c r="H125" s="113">
        <v>550</v>
      </c>
      <c r="I125" s="113">
        <v>210</v>
      </c>
      <c r="J125" s="114">
        <v>11.1</v>
      </c>
      <c r="K125" s="114">
        <v>17.2</v>
      </c>
      <c r="L125" s="113">
        <v>24.000000000000004</v>
      </c>
      <c r="M125" s="114">
        <v>41.2</v>
      </c>
      <c r="N125" s="114">
        <v>467.6</v>
      </c>
      <c r="O125" s="113">
        <v>67120</v>
      </c>
      <c r="P125" s="113">
        <v>2440</v>
      </c>
      <c r="Q125" s="112">
        <v>22.3</v>
      </c>
      <c r="R125" s="113">
        <v>2670</v>
      </c>
      <c r="S125" s="113">
        <v>254</v>
      </c>
      <c r="T125" s="112">
        <v>4.45</v>
      </c>
      <c r="U125" s="113">
        <v>120</v>
      </c>
      <c r="V125" s="112" t="s">
        <v>221</v>
      </c>
      <c r="W125" s="112">
        <v>188</v>
      </c>
      <c r="X125" s="112">
        <v>17.7</v>
      </c>
      <c r="Y125" s="109">
        <f t="shared" si="0"/>
        <v>3612</v>
      </c>
      <c r="Z125" s="109">
        <f t="shared" si="1"/>
        <v>515.6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x14ac:dyDescent="0.3">
      <c r="A126" s="1"/>
      <c r="B126" s="1"/>
      <c r="C126" s="1"/>
      <c r="D126" s="111">
        <v>600</v>
      </c>
      <c r="E126" s="112">
        <v>122</v>
      </c>
      <c r="F126" s="112">
        <v>156</v>
      </c>
      <c r="G126" s="112">
        <v>67.44</v>
      </c>
      <c r="H126" s="113">
        <v>600</v>
      </c>
      <c r="I126" s="113">
        <v>220</v>
      </c>
      <c r="J126" s="114">
        <v>12</v>
      </c>
      <c r="K126" s="114">
        <v>19</v>
      </c>
      <c r="L126" s="113">
        <v>24</v>
      </c>
      <c r="M126" s="114">
        <v>43</v>
      </c>
      <c r="N126" s="114">
        <v>514</v>
      </c>
      <c r="O126" s="113">
        <v>92080</v>
      </c>
      <c r="P126" s="113">
        <v>3070</v>
      </c>
      <c r="Q126" s="112">
        <v>24.3</v>
      </c>
      <c r="R126" s="113">
        <v>3390</v>
      </c>
      <c r="S126" s="113">
        <v>308</v>
      </c>
      <c r="T126" s="112">
        <v>4.66</v>
      </c>
      <c r="U126" s="113">
        <v>120</v>
      </c>
      <c r="V126" s="112" t="s">
        <v>221</v>
      </c>
      <c r="W126" s="112">
        <v>202</v>
      </c>
      <c r="X126" s="112">
        <v>16.600000000000001</v>
      </c>
      <c r="Y126" s="109">
        <f t="shared" si="0"/>
        <v>4180</v>
      </c>
      <c r="Z126" s="109">
        <f t="shared" si="1"/>
        <v>562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x14ac:dyDescent="0.3">
      <c r="A128" s="1"/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x14ac:dyDescent="0.3">
      <c r="A129" s="1"/>
      <c r="B129" s="1">
        <v>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x14ac:dyDescent="0.3">
      <c r="A130" s="1"/>
      <c r="B130" s="1">
        <v>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x14ac:dyDescent="0.3">
      <c r="A131" s="1"/>
      <c r="B131" s="1">
        <v>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23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5" thickBot="1" x14ac:dyDescent="0.35">
      <c r="A140" s="1"/>
      <c r="B140" s="1"/>
      <c r="C140" s="1"/>
      <c r="D140" s="1"/>
      <c r="E140" s="1">
        <v>1</v>
      </c>
      <c r="F140" s="1">
        <v>2</v>
      </c>
      <c r="G140" s="1">
        <v>3</v>
      </c>
      <c r="H140" s="1">
        <v>4</v>
      </c>
      <c r="I140" s="1">
        <v>5</v>
      </c>
      <c r="J140" s="1">
        <v>6</v>
      </c>
      <c r="K140" s="1">
        <v>7</v>
      </c>
      <c r="L140" s="1">
        <v>8</v>
      </c>
      <c r="M140" s="1">
        <v>9</v>
      </c>
      <c r="N140" s="1">
        <v>10</v>
      </c>
      <c r="O140" s="1">
        <v>11</v>
      </c>
      <c r="P140" s="1">
        <v>12</v>
      </c>
      <c r="Q140" s="1">
        <v>13</v>
      </c>
      <c r="R140" s="1">
        <v>14</v>
      </c>
      <c r="S140" s="1">
        <v>15</v>
      </c>
      <c r="T140" s="1">
        <v>16</v>
      </c>
      <c r="U140" s="1">
        <v>17</v>
      </c>
      <c r="V140" s="1">
        <v>18</v>
      </c>
      <c r="W140" s="1">
        <v>19</v>
      </c>
      <c r="X140" s="1">
        <v>20</v>
      </c>
      <c r="Y140" s="1">
        <v>21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5.6" thickTop="1" thickBot="1" x14ac:dyDescent="0.35">
      <c r="A141" s="1"/>
      <c r="B141" s="1"/>
      <c r="C141" s="1"/>
      <c r="D141" s="1"/>
      <c r="E141" s="288" t="s">
        <v>181</v>
      </c>
      <c r="F141" s="290" t="s">
        <v>182</v>
      </c>
      <c r="G141" s="290" t="s">
        <v>183</v>
      </c>
      <c r="H141" s="290" t="s">
        <v>184</v>
      </c>
      <c r="I141" s="292" t="s">
        <v>222</v>
      </c>
      <c r="J141" s="293"/>
      <c r="K141" s="293"/>
      <c r="L141" s="293"/>
      <c r="M141" s="293"/>
      <c r="N141" s="293"/>
      <c r="O141" s="294"/>
      <c r="P141" s="290" t="s">
        <v>186</v>
      </c>
      <c r="Q141" s="290"/>
      <c r="R141" s="290"/>
      <c r="S141" s="290" t="s">
        <v>187</v>
      </c>
      <c r="T141" s="290"/>
      <c r="U141" s="290"/>
      <c r="V141" s="295" t="s">
        <v>188</v>
      </c>
      <c r="W141" s="296"/>
      <c r="X141" s="297"/>
      <c r="Y141" s="298" t="s">
        <v>189</v>
      </c>
      <c r="Z141" s="299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6.2" thickBot="1" x14ac:dyDescent="0.35">
      <c r="A142" s="1"/>
      <c r="B142" s="1"/>
      <c r="C142" s="1"/>
      <c r="D142" s="1"/>
      <c r="E142" s="289"/>
      <c r="F142" s="291"/>
      <c r="G142" s="291"/>
      <c r="H142" s="291"/>
      <c r="I142" s="115" t="s">
        <v>3</v>
      </c>
      <c r="J142" s="115" t="s">
        <v>116</v>
      </c>
      <c r="K142" s="115" t="s">
        <v>192</v>
      </c>
      <c r="L142" s="115" t="s">
        <v>26</v>
      </c>
      <c r="M142" s="115" t="s">
        <v>193</v>
      </c>
      <c r="N142" s="115" t="s">
        <v>194</v>
      </c>
      <c r="O142" s="115" t="s">
        <v>195</v>
      </c>
      <c r="P142" s="115" t="s">
        <v>196</v>
      </c>
      <c r="Q142" s="115" t="s">
        <v>197</v>
      </c>
      <c r="R142" s="115" t="s">
        <v>198</v>
      </c>
      <c r="S142" s="115" t="s">
        <v>199</v>
      </c>
      <c r="T142" s="115" t="s">
        <v>200</v>
      </c>
      <c r="U142" s="115" t="s">
        <v>201</v>
      </c>
      <c r="V142" s="116" t="s">
        <v>202</v>
      </c>
      <c r="W142" s="117" t="s">
        <v>223</v>
      </c>
      <c r="X142" s="117" t="s">
        <v>203</v>
      </c>
      <c r="Y142" s="117" t="s">
        <v>204</v>
      </c>
      <c r="Z142" s="118" t="s">
        <v>205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6.2" thickBot="1" x14ac:dyDescent="0.35">
      <c r="A143" s="1"/>
      <c r="B143" s="1"/>
      <c r="C143" s="1"/>
      <c r="D143" s="1"/>
      <c r="E143" s="289"/>
      <c r="F143" s="115" t="s">
        <v>206</v>
      </c>
      <c r="G143" s="115" t="s">
        <v>207</v>
      </c>
      <c r="H143" s="115" t="s">
        <v>207</v>
      </c>
      <c r="I143" s="115" t="s">
        <v>208</v>
      </c>
      <c r="J143" s="115" t="s">
        <v>208</v>
      </c>
      <c r="K143" s="115" t="s">
        <v>208</v>
      </c>
      <c r="L143" s="115" t="s">
        <v>208</v>
      </c>
      <c r="M143" s="115" t="s">
        <v>208</v>
      </c>
      <c r="N143" s="115" t="s">
        <v>208</v>
      </c>
      <c r="O143" s="115" t="s">
        <v>208</v>
      </c>
      <c r="P143" s="115" t="s">
        <v>209</v>
      </c>
      <c r="Q143" s="115" t="s">
        <v>210</v>
      </c>
      <c r="R143" s="115" t="s">
        <v>10</v>
      </c>
      <c r="S143" s="115" t="s">
        <v>209</v>
      </c>
      <c r="T143" s="115" t="s">
        <v>210</v>
      </c>
      <c r="U143" s="115" t="s">
        <v>10</v>
      </c>
      <c r="V143" s="115" t="s">
        <v>208</v>
      </c>
      <c r="W143" s="115" t="s">
        <v>208</v>
      </c>
      <c r="X143" s="115" t="s">
        <v>208</v>
      </c>
      <c r="Y143" s="115" t="s">
        <v>211</v>
      </c>
      <c r="Z143" s="119" t="s">
        <v>212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x14ac:dyDescent="0.3">
      <c r="A144" s="1"/>
      <c r="B144" s="1"/>
      <c r="C144" s="1"/>
      <c r="D144" s="1"/>
      <c r="E144" s="120">
        <v>100</v>
      </c>
      <c r="F144" s="121">
        <v>20.399999999999999</v>
      </c>
      <c r="G144" s="122">
        <v>26</v>
      </c>
      <c r="H144" s="123">
        <v>4.8</v>
      </c>
      <c r="I144" s="124">
        <v>100</v>
      </c>
      <c r="J144" s="125">
        <v>100</v>
      </c>
      <c r="K144" s="122">
        <v>6</v>
      </c>
      <c r="L144" s="122">
        <v>10</v>
      </c>
      <c r="M144" s="125">
        <v>12</v>
      </c>
      <c r="N144" s="122">
        <v>22</v>
      </c>
      <c r="O144" s="126">
        <v>56</v>
      </c>
      <c r="P144" s="127">
        <v>450</v>
      </c>
      <c r="Q144" s="128">
        <v>89.9</v>
      </c>
      <c r="R144" s="123">
        <v>4.16</v>
      </c>
      <c r="S144" s="129">
        <v>167</v>
      </c>
      <c r="T144" s="128">
        <v>33.5</v>
      </c>
      <c r="U144" s="130">
        <v>2.5299999999999998</v>
      </c>
      <c r="V144" s="124">
        <v>56</v>
      </c>
      <c r="W144" s="125" t="s">
        <v>214</v>
      </c>
      <c r="X144" s="130" t="s">
        <v>216</v>
      </c>
      <c r="Y144" s="131">
        <v>56.7</v>
      </c>
      <c r="Z144" s="132">
        <v>27.8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x14ac:dyDescent="0.3">
      <c r="A145" s="1"/>
      <c r="B145" s="1"/>
      <c r="C145" s="1"/>
      <c r="D145" s="1"/>
      <c r="E145" s="133">
        <v>120</v>
      </c>
      <c r="F145" s="134">
        <v>26.7</v>
      </c>
      <c r="G145" s="114">
        <v>34</v>
      </c>
      <c r="H145" s="135">
        <v>6.37</v>
      </c>
      <c r="I145" s="136">
        <v>120</v>
      </c>
      <c r="J145" s="137">
        <v>120</v>
      </c>
      <c r="K145" s="114">
        <v>6.5</v>
      </c>
      <c r="L145" s="114">
        <v>11</v>
      </c>
      <c r="M145" s="137">
        <v>12</v>
      </c>
      <c r="N145" s="114">
        <v>23</v>
      </c>
      <c r="O145" s="138">
        <v>74</v>
      </c>
      <c r="P145" s="139">
        <v>864</v>
      </c>
      <c r="Q145" s="113">
        <v>144</v>
      </c>
      <c r="R145" s="135">
        <v>5.04</v>
      </c>
      <c r="S145" s="140">
        <v>318</v>
      </c>
      <c r="T145" s="113">
        <v>52.9</v>
      </c>
      <c r="U145" s="141">
        <v>3.06</v>
      </c>
      <c r="V145" s="136">
        <v>66</v>
      </c>
      <c r="W145" s="137" t="s">
        <v>214</v>
      </c>
      <c r="X145" s="141" t="s">
        <v>29</v>
      </c>
      <c r="Y145" s="142">
        <v>68.599999999999994</v>
      </c>
      <c r="Z145" s="143">
        <v>25.7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x14ac:dyDescent="0.3">
      <c r="A146" s="1"/>
      <c r="B146" s="1"/>
      <c r="C146" s="1"/>
      <c r="D146" s="1"/>
      <c r="E146" s="133">
        <v>140</v>
      </c>
      <c r="F146" s="134">
        <v>33.700000000000003</v>
      </c>
      <c r="G146" s="114">
        <v>43</v>
      </c>
      <c r="H146" s="135">
        <v>8.120000000000001</v>
      </c>
      <c r="I146" s="136">
        <v>140</v>
      </c>
      <c r="J146" s="137">
        <v>140</v>
      </c>
      <c r="K146" s="114">
        <v>7</v>
      </c>
      <c r="L146" s="114">
        <v>12</v>
      </c>
      <c r="M146" s="137">
        <v>12</v>
      </c>
      <c r="N146" s="114">
        <v>24</v>
      </c>
      <c r="O146" s="138">
        <v>92</v>
      </c>
      <c r="P146" s="139">
        <v>1510</v>
      </c>
      <c r="Q146" s="113">
        <v>216</v>
      </c>
      <c r="R146" s="135">
        <v>5.93</v>
      </c>
      <c r="S146" s="140">
        <v>550</v>
      </c>
      <c r="T146" s="113">
        <v>78.5</v>
      </c>
      <c r="U146" s="141">
        <v>3.58</v>
      </c>
      <c r="V146" s="136">
        <v>76</v>
      </c>
      <c r="W146" s="137" t="s">
        <v>214</v>
      </c>
      <c r="X146" s="141" t="s">
        <v>218</v>
      </c>
      <c r="Y146" s="142">
        <v>80.5</v>
      </c>
      <c r="Z146" s="143">
        <v>23.8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x14ac:dyDescent="0.3">
      <c r="A147" s="1"/>
      <c r="B147" s="1"/>
      <c r="C147" s="1"/>
      <c r="D147" s="1"/>
      <c r="E147" s="133">
        <v>160</v>
      </c>
      <c r="F147" s="134">
        <v>42.6</v>
      </c>
      <c r="G147" s="114">
        <v>54.3</v>
      </c>
      <c r="H147" s="135">
        <v>10.72</v>
      </c>
      <c r="I147" s="136">
        <v>160</v>
      </c>
      <c r="J147" s="137">
        <v>160</v>
      </c>
      <c r="K147" s="114">
        <v>8</v>
      </c>
      <c r="L147" s="114">
        <v>13</v>
      </c>
      <c r="M147" s="137">
        <v>15</v>
      </c>
      <c r="N147" s="114">
        <v>28</v>
      </c>
      <c r="O147" s="138">
        <v>104</v>
      </c>
      <c r="P147" s="139">
        <v>2490</v>
      </c>
      <c r="Q147" s="113">
        <v>311</v>
      </c>
      <c r="R147" s="135">
        <v>6.78</v>
      </c>
      <c r="S147" s="140">
        <v>889</v>
      </c>
      <c r="T147" s="113">
        <v>111</v>
      </c>
      <c r="U147" s="141">
        <v>4.05</v>
      </c>
      <c r="V147" s="136">
        <v>86</v>
      </c>
      <c r="W147" s="137" t="s">
        <v>214</v>
      </c>
      <c r="X147" s="141" t="s">
        <v>218</v>
      </c>
      <c r="Y147" s="142">
        <v>91.8</v>
      </c>
      <c r="Z147" s="143">
        <v>21.5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x14ac:dyDescent="0.3">
      <c r="A148" s="1"/>
      <c r="B148" s="1"/>
      <c r="C148" s="1"/>
      <c r="D148" s="1"/>
      <c r="E148" s="133">
        <v>180</v>
      </c>
      <c r="F148" s="134">
        <v>51.2</v>
      </c>
      <c r="G148" s="114">
        <v>65.3</v>
      </c>
      <c r="H148" s="135">
        <v>12.920000000000002</v>
      </c>
      <c r="I148" s="136">
        <v>180</v>
      </c>
      <c r="J148" s="137">
        <v>180</v>
      </c>
      <c r="K148" s="114">
        <v>8.5</v>
      </c>
      <c r="L148" s="114">
        <v>14</v>
      </c>
      <c r="M148" s="137">
        <v>15</v>
      </c>
      <c r="N148" s="114">
        <v>29</v>
      </c>
      <c r="O148" s="138">
        <v>122</v>
      </c>
      <c r="P148" s="139">
        <v>3830</v>
      </c>
      <c r="Q148" s="113">
        <v>426</v>
      </c>
      <c r="R148" s="135">
        <v>7.66</v>
      </c>
      <c r="S148" s="140">
        <v>1360</v>
      </c>
      <c r="T148" s="113">
        <v>151</v>
      </c>
      <c r="U148" s="141">
        <v>4.57</v>
      </c>
      <c r="V148" s="136">
        <v>100</v>
      </c>
      <c r="W148" s="137" t="s">
        <v>214</v>
      </c>
      <c r="X148" s="141" t="s">
        <v>219</v>
      </c>
      <c r="Y148" s="142">
        <v>104</v>
      </c>
      <c r="Z148" s="143">
        <v>20.3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5" thickBot="1" x14ac:dyDescent="0.35">
      <c r="A149" s="1"/>
      <c r="B149" s="1"/>
      <c r="C149" s="1"/>
      <c r="D149" s="1"/>
      <c r="E149" s="144">
        <v>200</v>
      </c>
      <c r="F149" s="145">
        <v>61.3</v>
      </c>
      <c r="G149" s="146">
        <v>78.099999999999994</v>
      </c>
      <c r="H149" s="147">
        <v>15.299999999999999</v>
      </c>
      <c r="I149" s="148">
        <v>200</v>
      </c>
      <c r="J149" s="149">
        <v>200</v>
      </c>
      <c r="K149" s="146">
        <v>9</v>
      </c>
      <c r="L149" s="146">
        <v>15</v>
      </c>
      <c r="M149" s="149">
        <v>18</v>
      </c>
      <c r="N149" s="146">
        <v>33</v>
      </c>
      <c r="O149" s="150">
        <v>134</v>
      </c>
      <c r="P149" s="151">
        <v>5700</v>
      </c>
      <c r="Q149" s="152">
        <v>570</v>
      </c>
      <c r="R149" s="147">
        <v>8.5399999999999991</v>
      </c>
      <c r="S149" s="153">
        <v>2000</v>
      </c>
      <c r="T149" s="152">
        <v>200</v>
      </c>
      <c r="U149" s="154">
        <v>5.07</v>
      </c>
      <c r="V149" s="148">
        <v>110</v>
      </c>
      <c r="W149" s="149" t="s">
        <v>214</v>
      </c>
      <c r="X149" s="154" t="s">
        <v>219</v>
      </c>
      <c r="Y149" s="155">
        <v>115</v>
      </c>
      <c r="Z149" s="156">
        <v>18.8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x14ac:dyDescent="0.3">
      <c r="A150" s="1"/>
      <c r="B150" s="1"/>
      <c r="C150" s="1"/>
      <c r="D150" s="1"/>
      <c r="E150" s="120">
        <v>220</v>
      </c>
      <c r="F150" s="121">
        <v>71.5</v>
      </c>
      <c r="G150" s="122">
        <v>91</v>
      </c>
      <c r="H150" s="123">
        <v>17.86</v>
      </c>
      <c r="I150" s="124">
        <v>220</v>
      </c>
      <c r="J150" s="125">
        <v>220</v>
      </c>
      <c r="K150" s="122">
        <v>9.5</v>
      </c>
      <c r="L150" s="122">
        <v>16</v>
      </c>
      <c r="M150" s="125">
        <v>18</v>
      </c>
      <c r="N150" s="122">
        <v>34</v>
      </c>
      <c r="O150" s="126">
        <v>152</v>
      </c>
      <c r="P150" s="127">
        <v>8090</v>
      </c>
      <c r="Q150" s="128">
        <v>736</v>
      </c>
      <c r="R150" s="123">
        <v>9.43</v>
      </c>
      <c r="S150" s="129">
        <v>2840</v>
      </c>
      <c r="T150" s="128">
        <v>258</v>
      </c>
      <c r="U150" s="130">
        <v>5.59</v>
      </c>
      <c r="V150" s="124">
        <v>120</v>
      </c>
      <c r="W150" s="125" t="s">
        <v>214</v>
      </c>
      <c r="X150" s="130" t="s">
        <v>219</v>
      </c>
      <c r="Y150" s="131">
        <v>127</v>
      </c>
      <c r="Z150" s="132">
        <v>17.8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x14ac:dyDescent="0.3">
      <c r="A151" s="1"/>
      <c r="B151" s="1"/>
      <c r="C151" s="1"/>
      <c r="D151" s="1"/>
      <c r="E151" s="133">
        <v>240</v>
      </c>
      <c r="F151" s="134">
        <v>83.2</v>
      </c>
      <c r="G151" s="113">
        <v>106</v>
      </c>
      <c r="H151" s="135">
        <v>20.6</v>
      </c>
      <c r="I151" s="136">
        <v>240</v>
      </c>
      <c r="J151" s="137">
        <v>240</v>
      </c>
      <c r="K151" s="114">
        <v>10</v>
      </c>
      <c r="L151" s="114">
        <v>17</v>
      </c>
      <c r="M151" s="137">
        <v>21</v>
      </c>
      <c r="N151" s="114">
        <v>38</v>
      </c>
      <c r="O151" s="138">
        <v>164</v>
      </c>
      <c r="P151" s="139">
        <v>11260</v>
      </c>
      <c r="Q151" s="113">
        <v>938</v>
      </c>
      <c r="R151" s="135">
        <v>10.3</v>
      </c>
      <c r="S151" s="140">
        <v>3920</v>
      </c>
      <c r="T151" s="113">
        <v>327</v>
      </c>
      <c r="U151" s="141">
        <v>6.08</v>
      </c>
      <c r="V151" s="136">
        <v>90</v>
      </c>
      <c r="W151" s="137">
        <v>40</v>
      </c>
      <c r="X151" s="141" t="s">
        <v>218</v>
      </c>
      <c r="Y151" s="142">
        <v>138</v>
      </c>
      <c r="Z151" s="143">
        <v>16.600000000000001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x14ac:dyDescent="0.3">
      <c r="A152" s="1"/>
      <c r="B152" s="1"/>
      <c r="C152" s="1"/>
      <c r="D152" s="1"/>
      <c r="E152" s="133">
        <v>260</v>
      </c>
      <c r="F152" s="134">
        <v>93</v>
      </c>
      <c r="G152" s="113">
        <v>118</v>
      </c>
      <c r="H152" s="135">
        <v>22.5</v>
      </c>
      <c r="I152" s="136">
        <v>260</v>
      </c>
      <c r="J152" s="137">
        <v>260</v>
      </c>
      <c r="K152" s="114">
        <v>10</v>
      </c>
      <c r="L152" s="114">
        <v>17.5</v>
      </c>
      <c r="M152" s="137">
        <v>24</v>
      </c>
      <c r="N152" s="114">
        <v>41.5</v>
      </c>
      <c r="O152" s="138">
        <v>177</v>
      </c>
      <c r="P152" s="139">
        <v>14920</v>
      </c>
      <c r="Q152" s="113">
        <v>1150</v>
      </c>
      <c r="R152" s="135">
        <v>11.2</v>
      </c>
      <c r="S152" s="140">
        <v>5130</v>
      </c>
      <c r="T152" s="113">
        <v>395</v>
      </c>
      <c r="U152" s="141">
        <v>6.58</v>
      </c>
      <c r="V152" s="136">
        <v>95</v>
      </c>
      <c r="W152" s="137">
        <v>40</v>
      </c>
      <c r="X152" s="141" t="s">
        <v>218</v>
      </c>
      <c r="Y152" s="142">
        <v>150</v>
      </c>
      <c r="Z152" s="143">
        <v>16.100000000000001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x14ac:dyDescent="0.3">
      <c r="A153" s="1"/>
      <c r="B153" s="1"/>
      <c r="C153" s="1"/>
      <c r="D153" s="1"/>
      <c r="E153" s="133">
        <v>280</v>
      </c>
      <c r="F153" s="139">
        <v>103</v>
      </c>
      <c r="G153" s="113">
        <v>131</v>
      </c>
      <c r="H153" s="135">
        <v>25.619999999999997</v>
      </c>
      <c r="I153" s="136">
        <v>280</v>
      </c>
      <c r="J153" s="137">
        <v>280</v>
      </c>
      <c r="K153" s="114">
        <v>10.5</v>
      </c>
      <c r="L153" s="114">
        <v>18</v>
      </c>
      <c r="M153" s="137">
        <v>24</v>
      </c>
      <c r="N153" s="114">
        <v>42</v>
      </c>
      <c r="O153" s="138">
        <v>196</v>
      </c>
      <c r="P153" s="139">
        <v>19270</v>
      </c>
      <c r="Q153" s="113">
        <v>1380</v>
      </c>
      <c r="R153" s="135">
        <v>12.1</v>
      </c>
      <c r="S153" s="140">
        <v>6590</v>
      </c>
      <c r="T153" s="113">
        <v>471</v>
      </c>
      <c r="U153" s="141">
        <v>7.09</v>
      </c>
      <c r="V153" s="136">
        <v>110</v>
      </c>
      <c r="W153" s="137">
        <v>40</v>
      </c>
      <c r="X153" s="141" t="s">
        <v>218</v>
      </c>
      <c r="Y153" s="142">
        <v>162</v>
      </c>
      <c r="Z153" s="143">
        <v>15.7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5" thickBot="1" x14ac:dyDescent="0.35">
      <c r="A154" s="1"/>
      <c r="B154" s="1"/>
      <c r="C154" s="1"/>
      <c r="D154" s="1"/>
      <c r="E154" s="144">
        <v>300</v>
      </c>
      <c r="F154" s="151">
        <v>117</v>
      </c>
      <c r="G154" s="152">
        <v>149</v>
      </c>
      <c r="H154" s="147">
        <v>28.82</v>
      </c>
      <c r="I154" s="148">
        <v>300</v>
      </c>
      <c r="J154" s="149">
        <v>300</v>
      </c>
      <c r="K154" s="146">
        <v>11</v>
      </c>
      <c r="L154" s="146">
        <v>19</v>
      </c>
      <c r="M154" s="149">
        <v>27</v>
      </c>
      <c r="N154" s="146">
        <v>46</v>
      </c>
      <c r="O154" s="150">
        <v>208</v>
      </c>
      <c r="P154" s="151">
        <v>25170</v>
      </c>
      <c r="Q154" s="152">
        <v>1680</v>
      </c>
      <c r="R154" s="147">
        <v>13</v>
      </c>
      <c r="S154" s="153">
        <v>8560</v>
      </c>
      <c r="T154" s="152">
        <v>571</v>
      </c>
      <c r="U154" s="154">
        <v>7.58</v>
      </c>
      <c r="V154" s="148">
        <v>120</v>
      </c>
      <c r="W154" s="149">
        <v>50</v>
      </c>
      <c r="X154" s="154" t="s">
        <v>219</v>
      </c>
      <c r="Y154" s="155">
        <v>173</v>
      </c>
      <c r="Z154" s="156">
        <v>14.8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x14ac:dyDescent="0.3">
      <c r="A155" s="1"/>
      <c r="B155" s="1"/>
      <c r="C155" s="1"/>
      <c r="D155" s="1"/>
      <c r="E155" s="120">
        <v>320</v>
      </c>
      <c r="F155" s="127">
        <v>127</v>
      </c>
      <c r="G155" s="128">
        <v>161</v>
      </c>
      <c r="H155" s="123">
        <v>32.085000000000001</v>
      </c>
      <c r="I155" s="124">
        <v>320</v>
      </c>
      <c r="J155" s="125">
        <v>300</v>
      </c>
      <c r="K155" s="122">
        <v>11.5</v>
      </c>
      <c r="L155" s="122">
        <v>20.5</v>
      </c>
      <c r="M155" s="125">
        <v>27</v>
      </c>
      <c r="N155" s="122">
        <v>47.5</v>
      </c>
      <c r="O155" s="126">
        <v>225</v>
      </c>
      <c r="P155" s="127">
        <v>30820</v>
      </c>
      <c r="Q155" s="128">
        <v>1930</v>
      </c>
      <c r="R155" s="123">
        <v>13.8</v>
      </c>
      <c r="S155" s="129">
        <v>9240</v>
      </c>
      <c r="T155" s="128">
        <v>616</v>
      </c>
      <c r="U155" s="130">
        <v>7.57</v>
      </c>
      <c r="V155" s="124">
        <v>120</v>
      </c>
      <c r="W155" s="125">
        <v>50</v>
      </c>
      <c r="X155" s="130" t="s">
        <v>219</v>
      </c>
      <c r="Y155" s="131">
        <v>177</v>
      </c>
      <c r="Z155" s="132">
        <v>13.9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x14ac:dyDescent="0.3">
      <c r="A156" s="1"/>
      <c r="B156" s="1"/>
      <c r="C156" s="1"/>
      <c r="D156" s="1"/>
      <c r="E156" s="133">
        <v>340</v>
      </c>
      <c r="F156" s="139">
        <v>134</v>
      </c>
      <c r="G156" s="113">
        <v>171</v>
      </c>
      <c r="H156" s="135">
        <v>35.64</v>
      </c>
      <c r="I156" s="136">
        <v>340</v>
      </c>
      <c r="J156" s="137">
        <v>300</v>
      </c>
      <c r="K156" s="114">
        <v>12</v>
      </c>
      <c r="L156" s="114">
        <v>21.5</v>
      </c>
      <c r="M156" s="137">
        <v>27</v>
      </c>
      <c r="N156" s="114">
        <v>48.5</v>
      </c>
      <c r="O156" s="138">
        <v>243</v>
      </c>
      <c r="P156" s="139">
        <v>36660</v>
      </c>
      <c r="Q156" s="113">
        <v>2160</v>
      </c>
      <c r="R156" s="135">
        <v>14.6</v>
      </c>
      <c r="S156" s="140">
        <v>9690</v>
      </c>
      <c r="T156" s="113">
        <v>646</v>
      </c>
      <c r="U156" s="141">
        <v>7.53</v>
      </c>
      <c r="V156" s="136">
        <v>120</v>
      </c>
      <c r="W156" s="137">
        <v>50</v>
      </c>
      <c r="X156" s="141" t="s">
        <v>219</v>
      </c>
      <c r="Y156" s="142">
        <v>181</v>
      </c>
      <c r="Z156" s="143">
        <v>13.5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x14ac:dyDescent="0.3">
      <c r="A157" s="1"/>
      <c r="B157" s="1"/>
      <c r="C157" s="1"/>
      <c r="D157" s="1"/>
      <c r="E157" s="133">
        <v>360</v>
      </c>
      <c r="F157" s="139">
        <v>142</v>
      </c>
      <c r="G157" s="113">
        <v>181</v>
      </c>
      <c r="H157" s="135">
        <v>39.375</v>
      </c>
      <c r="I157" s="136">
        <v>360</v>
      </c>
      <c r="J157" s="137">
        <v>300</v>
      </c>
      <c r="K157" s="114">
        <v>12.5</v>
      </c>
      <c r="L157" s="114">
        <v>22.5</v>
      </c>
      <c r="M157" s="137">
        <v>27</v>
      </c>
      <c r="N157" s="114">
        <v>49.5</v>
      </c>
      <c r="O157" s="138">
        <v>261</v>
      </c>
      <c r="P157" s="139">
        <v>43190</v>
      </c>
      <c r="Q157" s="113">
        <v>2400</v>
      </c>
      <c r="R157" s="135">
        <v>15.5</v>
      </c>
      <c r="S157" s="140">
        <v>10140</v>
      </c>
      <c r="T157" s="113">
        <v>676</v>
      </c>
      <c r="U157" s="141">
        <v>7.49</v>
      </c>
      <c r="V157" s="136">
        <v>120</v>
      </c>
      <c r="W157" s="137">
        <v>50</v>
      </c>
      <c r="X157" s="141" t="s">
        <v>219</v>
      </c>
      <c r="Y157" s="142">
        <v>185</v>
      </c>
      <c r="Z157" s="143">
        <v>13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5" thickBot="1" x14ac:dyDescent="0.35">
      <c r="A158" s="1"/>
      <c r="B158" s="1"/>
      <c r="C158" s="1"/>
      <c r="D158" s="1"/>
      <c r="E158" s="144">
        <v>400</v>
      </c>
      <c r="F158" s="151">
        <v>155</v>
      </c>
      <c r="G158" s="152">
        <v>198</v>
      </c>
      <c r="H158" s="147">
        <v>47.52</v>
      </c>
      <c r="I158" s="148">
        <v>400</v>
      </c>
      <c r="J158" s="149">
        <v>300</v>
      </c>
      <c r="K158" s="146">
        <v>13.5</v>
      </c>
      <c r="L158" s="146">
        <v>24</v>
      </c>
      <c r="M158" s="149">
        <v>27</v>
      </c>
      <c r="N158" s="146">
        <v>51</v>
      </c>
      <c r="O158" s="150">
        <v>298</v>
      </c>
      <c r="P158" s="151">
        <v>57680</v>
      </c>
      <c r="Q158" s="152">
        <v>2880</v>
      </c>
      <c r="R158" s="147">
        <v>17.100000000000001</v>
      </c>
      <c r="S158" s="153">
        <v>10820</v>
      </c>
      <c r="T158" s="152">
        <v>721</v>
      </c>
      <c r="U158" s="154">
        <v>7.4</v>
      </c>
      <c r="V158" s="148">
        <v>120</v>
      </c>
      <c r="W158" s="149">
        <v>50</v>
      </c>
      <c r="X158" s="154" t="s">
        <v>219</v>
      </c>
      <c r="Y158" s="155">
        <v>193</v>
      </c>
      <c r="Z158" s="156">
        <v>12.4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x14ac:dyDescent="0.3">
      <c r="A159" s="1"/>
      <c r="B159" s="1"/>
      <c r="C159" s="1"/>
      <c r="D159" s="1"/>
      <c r="E159" s="157">
        <v>450</v>
      </c>
      <c r="F159" s="158">
        <v>171</v>
      </c>
      <c r="G159" s="159">
        <v>218</v>
      </c>
      <c r="H159" s="160">
        <v>55.720000000000006</v>
      </c>
      <c r="I159" s="161">
        <v>450</v>
      </c>
      <c r="J159" s="162">
        <v>300</v>
      </c>
      <c r="K159" s="163">
        <v>14</v>
      </c>
      <c r="L159" s="163">
        <v>26</v>
      </c>
      <c r="M159" s="162">
        <v>27</v>
      </c>
      <c r="N159" s="163">
        <v>53</v>
      </c>
      <c r="O159" s="164">
        <v>344</v>
      </c>
      <c r="P159" s="165">
        <v>79890</v>
      </c>
      <c r="Q159" s="166">
        <v>3550</v>
      </c>
      <c r="R159" s="167">
        <v>19.100000000000001</v>
      </c>
      <c r="S159" s="168">
        <v>11720</v>
      </c>
      <c r="T159" s="166">
        <v>781</v>
      </c>
      <c r="U159" s="169">
        <v>7.33</v>
      </c>
      <c r="V159" s="161">
        <v>120</v>
      </c>
      <c r="W159" s="162">
        <v>50</v>
      </c>
      <c r="X159" s="170" t="s">
        <v>219</v>
      </c>
      <c r="Y159" s="171">
        <v>203</v>
      </c>
      <c r="Z159" s="172">
        <v>11.9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x14ac:dyDescent="0.3">
      <c r="A160" s="1"/>
      <c r="B160" s="1"/>
      <c r="C160" s="1"/>
      <c r="D160" s="1"/>
      <c r="E160" s="133">
        <v>500</v>
      </c>
      <c r="F160" s="139">
        <v>187</v>
      </c>
      <c r="G160" s="113">
        <v>239</v>
      </c>
      <c r="H160" s="135">
        <v>64.38</v>
      </c>
      <c r="I160" s="136">
        <v>500</v>
      </c>
      <c r="J160" s="137">
        <v>300</v>
      </c>
      <c r="K160" s="114">
        <v>14.5</v>
      </c>
      <c r="L160" s="114">
        <v>28</v>
      </c>
      <c r="M160" s="137">
        <v>27</v>
      </c>
      <c r="N160" s="114">
        <v>55</v>
      </c>
      <c r="O160" s="138">
        <v>390</v>
      </c>
      <c r="P160" s="173">
        <v>107200</v>
      </c>
      <c r="Q160" s="174">
        <v>4290</v>
      </c>
      <c r="R160" s="175">
        <v>21.2</v>
      </c>
      <c r="S160" s="176">
        <v>12620</v>
      </c>
      <c r="T160" s="174">
        <v>842</v>
      </c>
      <c r="U160" s="177">
        <v>7.27</v>
      </c>
      <c r="V160" s="136">
        <v>120</v>
      </c>
      <c r="W160" s="137">
        <v>50</v>
      </c>
      <c r="X160" s="141" t="s">
        <v>219</v>
      </c>
      <c r="Y160" s="142">
        <v>212</v>
      </c>
      <c r="Z160" s="143">
        <v>11.3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/>
      <c r="B161" s="1"/>
      <c r="C161" s="1"/>
      <c r="D161" s="1"/>
      <c r="E161" s="133">
        <v>550</v>
      </c>
      <c r="F161" s="139">
        <v>199</v>
      </c>
      <c r="G161" s="113">
        <v>254</v>
      </c>
      <c r="H161" s="135">
        <v>73.8</v>
      </c>
      <c r="I161" s="136">
        <v>550</v>
      </c>
      <c r="J161" s="137">
        <v>300</v>
      </c>
      <c r="K161" s="114">
        <v>15</v>
      </c>
      <c r="L161" s="114">
        <v>29</v>
      </c>
      <c r="M161" s="137">
        <v>27</v>
      </c>
      <c r="N161" s="114">
        <v>56</v>
      </c>
      <c r="O161" s="138">
        <v>438</v>
      </c>
      <c r="P161" s="173">
        <v>136700</v>
      </c>
      <c r="Q161" s="174">
        <v>4970</v>
      </c>
      <c r="R161" s="175">
        <v>23.2</v>
      </c>
      <c r="S161" s="176">
        <v>13080</v>
      </c>
      <c r="T161" s="174">
        <v>872</v>
      </c>
      <c r="U161" s="177">
        <v>7.17</v>
      </c>
      <c r="V161" s="136">
        <v>120</v>
      </c>
      <c r="W161" s="137">
        <v>50</v>
      </c>
      <c r="X161" s="141" t="s">
        <v>219</v>
      </c>
      <c r="Y161" s="142">
        <v>222</v>
      </c>
      <c r="Z161" s="143">
        <v>12.2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/>
      <c r="B162" s="1"/>
      <c r="C162" s="1"/>
      <c r="D162" s="1"/>
      <c r="E162" s="133">
        <v>600</v>
      </c>
      <c r="F162" s="139">
        <v>212</v>
      </c>
      <c r="G162" s="113">
        <v>270</v>
      </c>
      <c r="H162" s="135">
        <v>83.7</v>
      </c>
      <c r="I162" s="136">
        <v>600</v>
      </c>
      <c r="J162" s="137">
        <v>300</v>
      </c>
      <c r="K162" s="114">
        <v>15.5</v>
      </c>
      <c r="L162" s="114">
        <v>30</v>
      </c>
      <c r="M162" s="137">
        <v>27</v>
      </c>
      <c r="N162" s="114">
        <v>57</v>
      </c>
      <c r="O162" s="138">
        <v>486</v>
      </c>
      <c r="P162" s="173">
        <v>171000</v>
      </c>
      <c r="Q162" s="174">
        <v>5700</v>
      </c>
      <c r="R162" s="175">
        <v>25.2</v>
      </c>
      <c r="S162" s="176">
        <v>13530</v>
      </c>
      <c r="T162" s="174">
        <v>902</v>
      </c>
      <c r="U162" s="177">
        <v>7.08</v>
      </c>
      <c r="V162" s="136">
        <v>120</v>
      </c>
      <c r="W162" s="137">
        <v>50</v>
      </c>
      <c r="X162" s="141" t="s">
        <v>219</v>
      </c>
      <c r="Y162" s="142">
        <v>232</v>
      </c>
      <c r="Z162" s="143">
        <v>11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5" thickBot="1" x14ac:dyDescent="0.35">
      <c r="A163" s="1"/>
      <c r="B163" s="1"/>
      <c r="C163" s="1"/>
      <c r="D163" s="1"/>
      <c r="E163" s="144">
        <v>650</v>
      </c>
      <c r="F163" s="151">
        <v>225</v>
      </c>
      <c r="G163" s="152">
        <v>286</v>
      </c>
      <c r="H163" s="147">
        <v>94.08</v>
      </c>
      <c r="I163" s="148">
        <v>650</v>
      </c>
      <c r="J163" s="149">
        <v>300</v>
      </c>
      <c r="K163" s="146">
        <v>16</v>
      </c>
      <c r="L163" s="146">
        <v>31</v>
      </c>
      <c r="M163" s="149">
        <v>27</v>
      </c>
      <c r="N163" s="146">
        <v>58</v>
      </c>
      <c r="O163" s="150">
        <v>534</v>
      </c>
      <c r="P163" s="151">
        <v>210600</v>
      </c>
      <c r="Q163" s="152">
        <v>6480</v>
      </c>
      <c r="R163" s="147">
        <v>27.1</v>
      </c>
      <c r="S163" s="153">
        <v>13980</v>
      </c>
      <c r="T163" s="152">
        <v>932</v>
      </c>
      <c r="U163" s="154">
        <v>6.99</v>
      </c>
      <c r="V163" s="148">
        <v>120</v>
      </c>
      <c r="W163" s="149">
        <v>50</v>
      </c>
      <c r="X163" s="154" t="s">
        <v>219</v>
      </c>
      <c r="Y163" s="155">
        <v>242</v>
      </c>
      <c r="Z163" s="156">
        <v>10.8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/>
      <c r="B164" s="1"/>
      <c r="C164" s="1"/>
      <c r="D164" s="1"/>
      <c r="E164" s="120">
        <v>700</v>
      </c>
      <c r="F164" s="158">
        <v>241</v>
      </c>
      <c r="G164" s="159">
        <v>306</v>
      </c>
      <c r="H164" s="178">
        <v>108.12</v>
      </c>
      <c r="I164" s="161">
        <v>700</v>
      </c>
      <c r="J164" s="162">
        <v>300</v>
      </c>
      <c r="K164" s="163">
        <v>17</v>
      </c>
      <c r="L164" s="163">
        <v>32</v>
      </c>
      <c r="M164" s="162">
        <v>27</v>
      </c>
      <c r="N164" s="163">
        <v>59</v>
      </c>
      <c r="O164" s="164">
        <v>582</v>
      </c>
      <c r="P164" s="165">
        <v>256900</v>
      </c>
      <c r="Q164" s="166">
        <v>7340</v>
      </c>
      <c r="R164" s="167">
        <v>29</v>
      </c>
      <c r="S164" s="168">
        <v>14440</v>
      </c>
      <c r="T164" s="166">
        <v>963</v>
      </c>
      <c r="U164" s="169">
        <v>6.87</v>
      </c>
      <c r="V164" s="161">
        <v>120</v>
      </c>
      <c r="W164" s="162">
        <v>50</v>
      </c>
      <c r="X164" s="170" t="s">
        <v>219</v>
      </c>
      <c r="Y164" s="171">
        <v>252</v>
      </c>
      <c r="Z164" s="172">
        <v>10.5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/>
      <c r="B165" s="1"/>
      <c r="C165" s="1"/>
      <c r="D165" s="1"/>
      <c r="E165" s="133">
        <v>800</v>
      </c>
      <c r="F165" s="139">
        <v>262</v>
      </c>
      <c r="G165" s="113">
        <v>334</v>
      </c>
      <c r="H165" s="179">
        <v>128.45000000000002</v>
      </c>
      <c r="I165" s="136">
        <v>800</v>
      </c>
      <c r="J165" s="137">
        <v>300</v>
      </c>
      <c r="K165" s="114">
        <v>17.5</v>
      </c>
      <c r="L165" s="114">
        <v>33</v>
      </c>
      <c r="M165" s="137">
        <v>30</v>
      </c>
      <c r="N165" s="114">
        <v>63</v>
      </c>
      <c r="O165" s="138">
        <v>674</v>
      </c>
      <c r="P165" s="173">
        <v>359100</v>
      </c>
      <c r="Q165" s="174">
        <v>9890</v>
      </c>
      <c r="R165" s="175">
        <v>32.799999999999997</v>
      </c>
      <c r="S165" s="176">
        <v>14900</v>
      </c>
      <c r="T165" s="174">
        <v>994</v>
      </c>
      <c r="U165" s="177">
        <v>6.68</v>
      </c>
      <c r="V165" s="136">
        <v>120</v>
      </c>
      <c r="W165" s="137">
        <v>50</v>
      </c>
      <c r="X165" s="141" t="s">
        <v>219</v>
      </c>
      <c r="Y165" s="142">
        <v>271</v>
      </c>
      <c r="Z165" s="143">
        <v>10.4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/>
      <c r="B166" s="1"/>
      <c r="C166" s="1"/>
      <c r="D166" s="1"/>
      <c r="E166" s="133">
        <v>900</v>
      </c>
      <c r="F166" s="139">
        <v>291</v>
      </c>
      <c r="G166" s="113">
        <v>371</v>
      </c>
      <c r="H166" s="179">
        <v>153.55000000000001</v>
      </c>
      <c r="I166" s="136">
        <v>900</v>
      </c>
      <c r="J166" s="137">
        <v>300</v>
      </c>
      <c r="K166" s="114">
        <v>18.5</v>
      </c>
      <c r="L166" s="114">
        <v>35</v>
      </c>
      <c r="M166" s="137">
        <v>30</v>
      </c>
      <c r="N166" s="114">
        <v>65</v>
      </c>
      <c r="O166" s="138">
        <v>770</v>
      </c>
      <c r="P166" s="173">
        <v>494100</v>
      </c>
      <c r="Q166" s="174">
        <v>10980</v>
      </c>
      <c r="R166" s="175">
        <v>36.5</v>
      </c>
      <c r="S166" s="176">
        <v>15820</v>
      </c>
      <c r="T166" s="174">
        <v>1050</v>
      </c>
      <c r="U166" s="177">
        <v>6.53</v>
      </c>
      <c r="V166" s="136">
        <v>120</v>
      </c>
      <c r="W166" s="137">
        <v>50</v>
      </c>
      <c r="X166" s="141" t="s">
        <v>219</v>
      </c>
      <c r="Y166" s="142">
        <v>291</v>
      </c>
      <c r="Z166" s="143">
        <v>10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5" thickBot="1" x14ac:dyDescent="0.35">
      <c r="A167" s="1"/>
      <c r="B167" s="1"/>
      <c r="C167" s="1"/>
      <c r="D167" s="1"/>
      <c r="E167" s="180">
        <v>1000</v>
      </c>
      <c r="F167" s="181">
        <v>314</v>
      </c>
      <c r="G167" s="182">
        <v>400</v>
      </c>
      <c r="H167" s="183">
        <v>176.32</v>
      </c>
      <c r="I167" s="184">
        <v>1000</v>
      </c>
      <c r="J167" s="185">
        <v>300</v>
      </c>
      <c r="K167" s="186">
        <v>19</v>
      </c>
      <c r="L167" s="186">
        <v>36</v>
      </c>
      <c r="M167" s="185">
        <v>30</v>
      </c>
      <c r="N167" s="186">
        <v>66</v>
      </c>
      <c r="O167" s="187">
        <v>868</v>
      </c>
      <c r="P167" s="181">
        <v>644700</v>
      </c>
      <c r="Q167" s="182">
        <v>12890</v>
      </c>
      <c r="R167" s="188">
        <v>40.1</v>
      </c>
      <c r="S167" s="189">
        <v>16280</v>
      </c>
      <c r="T167" s="182">
        <v>1090</v>
      </c>
      <c r="U167" s="190">
        <v>6.38</v>
      </c>
      <c r="V167" s="184">
        <v>120</v>
      </c>
      <c r="W167" s="185">
        <v>50</v>
      </c>
      <c r="X167" s="190" t="s">
        <v>219</v>
      </c>
      <c r="Y167" s="191">
        <v>311</v>
      </c>
      <c r="Z167" s="192">
        <v>9.9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5" thickTop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x14ac:dyDescent="0.3">
      <c r="A172" s="1"/>
      <c r="B172" s="1"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x14ac:dyDescent="0.3">
      <c r="A173" s="1"/>
      <c r="B173" s="1">
        <v>2</v>
      </c>
      <c r="C173" s="1"/>
      <c r="D173" s="1">
        <f ca="1">F21</f>
        <v>13.181076205513026</v>
      </c>
      <c r="E173" s="1"/>
      <c r="F173" s="1"/>
      <c r="G173" s="1"/>
      <c r="H173" s="109" t="s">
        <v>17</v>
      </c>
      <c r="I173" s="109" t="s">
        <v>224</v>
      </c>
      <c r="J173" s="193" t="s">
        <v>225</v>
      </c>
      <c r="K173" s="109" t="s">
        <v>226</v>
      </c>
      <c r="L173" s="1"/>
      <c r="M173" s="1"/>
      <c r="N173" s="1"/>
      <c r="O173" s="1"/>
      <c r="P173" s="109" t="s">
        <v>17</v>
      </c>
      <c r="Q173" s="109" t="s">
        <v>224</v>
      </c>
      <c r="R173" s="109" t="s">
        <v>225</v>
      </c>
      <c r="S173" s="109" t="s">
        <v>226</v>
      </c>
      <c r="T173" s="109" t="s">
        <v>227</v>
      </c>
      <c r="U173" s="109"/>
      <c r="V173" s="109"/>
      <c r="W173" s="109"/>
      <c r="X173" s="10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x14ac:dyDescent="0.3">
      <c r="A174" s="1"/>
      <c r="B174" s="1">
        <v>3</v>
      </c>
      <c r="C174" s="1"/>
      <c r="D174" s="1"/>
      <c r="E174" s="1"/>
      <c r="F174" s="1"/>
      <c r="G174" s="1"/>
      <c r="H174" s="109" t="s">
        <v>216</v>
      </c>
      <c r="I174" s="109">
        <v>0.84</v>
      </c>
      <c r="J174" s="109">
        <v>12</v>
      </c>
      <c r="K174" s="194">
        <v>2.11</v>
      </c>
      <c r="L174" s="1"/>
      <c r="M174" s="1"/>
      <c r="N174" s="1"/>
      <c r="O174" s="1"/>
      <c r="P174" s="109" t="s">
        <v>216</v>
      </c>
      <c r="Q174" s="109">
        <v>0.84</v>
      </c>
      <c r="R174" s="109">
        <v>12</v>
      </c>
      <c r="S174" s="109">
        <v>2.11</v>
      </c>
      <c r="T174" s="109">
        <v>1.69</v>
      </c>
      <c r="U174" s="109"/>
      <c r="V174" s="109"/>
      <c r="W174" s="109"/>
      <c r="X174" s="10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x14ac:dyDescent="0.3">
      <c r="A175" s="1"/>
      <c r="B175" s="1">
        <v>4</v>
      </c>
      <c r="C175" s="1"/>
      <c r="D175" s="1"/>
      <c r="E175" s="1"/>
      <c r="F175" s="1"/>
      <c r="G175" s="1"/>
      <c r="H175" s="109" t="s">
        <v>29</v>
      </c>
      <c r="I175" s="109">
        <v>1.57</v>
      </c>
      <c r="J175" s="109">
        <v>16</v>
      </c>
      <c r="K175" s="109">
        <v>3.95</v>
      </c>
      <c r="L175" s="1"/>
      <c r="M175" s="1"/>
      <c r="N175" s="1"/>
      <c r="O175" s="1"/>
      <c r="P175" s="109" t="s">
        <v>29</v>
      </c>
      <c r="Q175" s="109">
        <v>1.57</v>
      </c>
      <c r="R175" s="109">
        <v>16</v>
      </c>
      <c r="S175" s="109">
        <v>3.95</v>
      </c>
      <c r="T175" s="109">
        <v>3.16</v>
      </c>
      <c r="U175" s="109"/>
      <c r="V175" s="109"/>
      <c r="W175" s="109"/>
      <c r="X175" s="10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x14ac:dyDescent="0.3">
      <c r="A176" s="1"/>
      <c r="B176" s="1">
        <v>5</v>
      </c>
      <c r="C176" s="1"/>
      <c r="D176" s="1"/>
      <c r="E176" s="1"/>
      <c r="F176" s="1"/>
      <c r="G176" s="1"/>
      <c r="H176" s="109" t="s">
        <v>218</v>
      </c>
      <c r="I176" s="109">
        <v>2.4500000000000002</v>
      </c>
      <c r="J176" s="109">
        <v>20</v>
      </c>
      <c r="K176" s="109">
        <v>8.17</v>
      </c>
      <c r="L176" s="1"/>
      <c r="M176" s="1"/>
      <c r="N176" s="1"/>
      <c r="O176" s="1"/>
      <c r="P176" s="109" t="s">
        <v>218</v>
      </c>
      <c r="Q176" s="109">
        <v>2.4500000000000002</v>
      </c>
      <c r="R176" s="109">
        <v>20</v>
      </c>
      <c r="S176" s="109">
        <v>8.17</v>
      </c>
      <c r="T176" s="109">
        <v>4.93</v>
      </c>
      <c r="U176" s="109"/>
      <c r="V176" s="109"/>
      <c r="W176" s="109"/>
      <c r="X176" s="10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x14ac:dyDescent="0.3">
      <c r="A177" s="1"/>
      <c r="B177" s="1">
        <v>6</v>
      </c>
      <c r="C177" s="1"/>
      <c r="D177" s="1"/>
      <c r="E177" s="1"/>
      <c r="F177" s="1"/>
      <c r="G177" s="1"/>
      <c r="H177" s="109" t="s">
        <v>228</v>
      </c>
      <c r="I177" s="109">
        <v>3.03</v>
      </c>
      <c r="J177" s="109">
        <v>22</v>
      </c>
      <c r="K177" s="109">
        <v>7.63</v>
      </c>
      <c r="L177" s="1"/>
      <c r="M177" s="1"/>
      <c r="N177" s="1"/>
      <c r="O177" s="1"/>
      <c r="P177" s="109" t="s">
        <v>228</v>
      </c>
      <c r="Q177" s="109">
        <v>3.03</v>
      </c>
      <c r="R177" s="109">
        <v>22</v>
      </c>
      <c r="S177" s="109">
        <v>7.63</v>
      </c>
      <c r="T177" s="109">
        <v>8.1</v>
      </c>
      <c r="U177" s="109"/>
      <c r="V177" s="109"/>
      <c r="W177" s="109"/>
      <c r="X177" s="10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x14ac:dyDescent="0.3">
      <c r="A178" s="1"/>
      <c r="B178" s="1">
        <v>7</v>
      </c>
      <c r="C178" s="1"/>
      <c r="D178" s="1"/>
      <c r="E178" s="1"/>
      <c r="F178" s="1"/>
      <c r="G178" s="1"/>
      <c r="H178" s="109" t="s">
        <v>219</v>
      </c>
      <c r="I178" s="109">
        <v>3.53</v>
      </c>
      <c r="J178" s="109">
        <v>24</v>
      </c>
      <c r="K178" s="109">
        <v>8.89</v>
      </c>
      <c r="L178" s="1"/>
      <c r="M178" s="1"/>
      <c r="N178" s="1"/>
      <c r="O178" s="1"/>
      <c r="P178" s="109" t="s">
        <v>219</v>
      </c>
      <c r="Q178" s="109">
        <v>3.53</v>
      </c>
      <c r="R178" s="109">
        <v>24</v>
      </c>
      <c r="S178" s="109">
        <v>8.89</v>
      </c>
      <c r="T178" s="109">
        <v>7.11</v>
      </c>
      <c r="U178" s="109"/>
      <c r="V178" s="109"/>
      <c r="W178" s="109"/>
      <c r="X178" s="10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x14ac:dyDescent="0.3">
      <c r="A179" s="1"/>
      <c r="B179" s="1">
        <v>8</v>
      </c>
      <c r="C179" s="1"/>
      <c r="D179" s="1"/>
      <c r="E179" s="1"/>
      <c r="F179" s="1"/>
      <c r="G179" s="1"/>
      <c r="H179" s="109" t="s">
        <v>221</v>
      </c>
      <c r="I179" s="109">
        <v>4.59</v>
      </c>
      <c r="J179" s="109">
        <v>27</v>
      </c>
      <c r="K179" s="109">
        <v>11.56</v>
      </c>
      <c r="L179" s="1"/>
      <c r="M179" s="1"/>
      <c r="N179" s="1"/>
      <c r="O179" s="1"/>
      <c r="P179" s="109" t="s">
        <v>221</v>
      </c>
      <c r="Q179" s="109">
        <v>4.59</v>
      </c>
      <c r="R179" s="109">
        <v>27</v>
      </c>
      <c r="S179" s="109">
        <v>11.56</v>
      </c>
      <c r="T179" s="109">
        <v>9.25</v>
      </c>
      <c r="U179" s="109"/>
      <c r="V179" s="109"/>
      <c r="W179" s="109"/>
      <c r="X179" s="10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x14ac:dyDescent="0.3">
      <c r="A180" s="1"/>
      <c r="B180" s="1">
        <v>9</v>
      </c>
      <c r="C180" s="1"/>
      <c r="D180" s="1"/>
      <c r="E180" s="1"/>
      <c r="F180" s="1"/>
      <c r="G180" s="1"/>
      <c r="H180" s="109" t="s">
        <v>229</v>
      </c>
      <c r="I180" s="109">
        <v>5.61</v>
      </c>
      <c r="J180" s="109">
        <v>30</v>
      </c>
      <c r="K180" s="109">
        <v>14.13</v>
      </c>
      <c r="L180" s="1"/>
      <c r="M180" s="1"/>
      <c r="N180" s="1"/>
      <c r="O180" s="1"/>
      <c r="P180" s="109" t="s">
        <v>229</v>
      </c>
      <c r="Q180" s="109">
        <v>5.61</v>
      </c>
      <c r="R180" s="109">
        <v>30</v>
      </c>
      <c r="S180" s="109">
        <v>14.13</v>
      </c>
      <c r="T180" s="109">
        <v>11.3</v>
      </c>
      <c r="U180" s="109"/>
      <c r="V180" s="109"/>
      <c r="W180" s="109"/>
      <c r="X180" s="10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x14ac:dyDescent="0.3">
      <c r="A181" s="1"/>
      <c r="B181" s="1">
        <v>10</v>
      </c>
      <c r="C181" s="1"/>
      <c r="D181" s="1"/>
      <c r="E181" s="1"/>
      <c r="F181" s="1"/>
      <c r="G181" s="1"/>
      <c r="H181" s="109" t="s">
        <v>230</v>
      </c>
      <c r="I181" s="109">
        <v>8.17</v>
      </c>
      <c r="J181" s="109">
        <v>36</v>
      </c>
      <c r="K181" s="109">
        <v>20.58</v>
      </c>
      <c r="L181" s="1"/>
      <c r="M181" s="1"/>
      <c r="N181" s="1"/>
      <c r="O181" s="1"/>
      <c r="P181" s="109" t="s">
        <v>230</v>
      </c>
      <c r="Q181" s="109">
        <v>8.17</v>
      </c>
      <c r="R181" s="109">
        <v>36</v>
      </c>
      <c r="S181" s="109">
        <v>20.58</v>
      </c>
      <c r="T181" s="109">
        <v>18.47</v>
      </c>
      <c r="U181" s="109"/>
      <c r="V181" s="109"/>
      <c r="W181" s="109"/>
      <c r="X181" s="10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x14ac:dyDescent="0.3">
      <c r="A182" s="1"/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x14ac:dyDescent="0.3">
      <c r="A183" s="1"/>
      <c r="B183" s="1">
        <v>12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x14ac:dyDescent="0.3">
      <c r="A184" s="1"/>
      <c r="B184" s="1">
        <v>13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x14ac:dyDescent="0.3">
      <c r="A185" s="1"/>
      <c r="B185" s="1">
        <v>14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09" t="s">
        <v>21</v>
      </c>
      <c r="Q186" s="109" t="s">
        <v>231</v>
      </c>
      <c r="R186" s="109" t="s">
        <v>232</v>
      </c>
      <c r="S186" s="109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09">
        <v>4.5999999999999996</v>
      </c>
      <c r="Q187" s="109">
        <v>2.4</v>
      </c>
      <c r="R187" s="109">
        <v>4</v>
      </c>
      <c r="S187" s="109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09">
        <v>4.8</v>
      </c>
      <c r="Q188" s="109">
        <v>3.2</v>
      </c>
      <c r="R188" s="109">
        <v>4</v>
      </c>
      <c r="S188" s="10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09">
        <v>5.6</v>
      </c>
      <c r="Q189" s="109">
        <v>3</v>
      </c>
      <c r="R189" s="109">
        <v>5</v>
      </c>
      <c r="S189" s="10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09">
        <v>5.8</v>
      </c>
      <c r="Q190" s="109">
        <v>4</v>
      </c>
      <c r="R190" s="109">
        <v>5</v>
      </c>
      <c r="S190" s="109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09">
        <v>6.8</v>
      </c>
      <c r="Q191" s="109">
        <v>4.8</v>
      </c>
      <c r="R191" s="109">
        <v>6</v>
      </c>
      <c r="S191" s="109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09">
        <v>8.8000000000000007</v>
      </c>
      <c r="Q192" s="109">
        <v>6.4</v>
      </c>
      <c r="R192" s="109">
        <v>8</v>
      </c>
      <c r="S192" s="109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09">
        <v>10.9</v>
      </c>
      <c r="Q193" s="109">
        <v>9</v>
      </c>
      <c r="R193" s="109">
        <v>10</v>
      </c>
      <c r="S193" s="10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x14ac:dyDescent="0.3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</sheetData>
  <mergeCells count="93">
    <mergeCell ref="P141:R141"/>
    <mergeCell ref="S141:U141"/>
    <mergeCell ref="V141:X141"/>
    <mergeCell ref="Y141:Z141"/>
    <mergeCell ref="R106:T106"/>
    <mergeCell ref="U106:V106"/>
    <mergeCell ref="W106:X106"/>
    <mergeCell ref="Y106:Y107"/>
    <mergeCell ref="Z106:Z107"/>
    <mergeCell ref="O106:Q106"/>
    <mergeCell ref="E141:E143"/>
    <mergeCell ref="F141:F142"/>
    <mergeCell ref="G141:G142"/>
    <mergeCell ref="H141:H142"/>
    <mergeCell ref="I141:O141"/>
    <mergeCell ref="D106:D108"/>
    <mergeCell ref="E106:E107"/>
    <mergeCell ref="F106:F107"/>
    <mergeCell ref="G106:G107"/>
    <mergeCell ref="H106:N106"/>
    <mergeCell ref="B61:C63"/>
    <mergeCell ref="M61:N61"/>
    <mergeCell ref="M62:N63"/>
    <mergeCell ref="B65:C67"/>
    <mergeCell ref="L65:M65"/>
    <mergeCell ref="L66:M67"/>
    <mergeCell ref="B56:J56"/>
    <mergeCell ref="K56:N56"/>
    <mergeCell ref="O56:X56"/>
    <mergeCell ref="B57:C59"/>
    <mergeCell ref="P57:Q57"/>
    <mergeCell ref="P58:Q59"/>
    <mergeCell ref="T46:T55"/>
    <mergeCell ref="P50:S51"/>
    <mergeCell ref="P52:P55"/>
    <mergeCell ref="R52:S52"/>
    <mergeCell ref="R53:S53"/>
    <mergeCell ref="R54:S54"/>
    <mergeCell ref="R55:S55"/>
    <mergeCell ref="C44:F45"/>
    <mergeCell ref="H44:J45"/>
    <mergeCell ref="L44:N45"/>
    <mergeCell ref="P44:S45"/>
    <mergeCell ref="C46:C49"/>
    <mergeCell ref="H46:H49"/>
    <mergeCell ref="L46:L49"/>
    <mergeCell ref="P46:P49"/>
    <mergeCell ref="T34:T43"/>
    <mergeCell ref="C38:F39"/>
    <mergeCell ref="H38:J39"/>
    <mergeCell ref="L38:N39"/>
    <mergeCell ref="P38:S39"/>
    <mergeCell ref="C40:C43"/>
    <mergeCell ref="H40:H43"/>
    <mergeCell ref="L40:L43"/>
    <mergeCell ref="P40:P43"/>
    <mergeCell ref="L32:N33"/>
    <mergeCell ref="P32:S33"/>
    <mergeCell ref="C34:C37"/>
    <mergeCell ref="H34:H37"/>
    <mergeCell ref="L34:L37"/>
    <mergeCell ref="P34:P37"/>
    <mergeCell ref="Y32:AA32"/>
    <mergeCell ref="D22:F23"/>
    <mergeCell ref="H22:O23"/>
    <mergeCell ref="Q22:R23"/>
    <mergeCell ref="H27:J27"/>
    <mergeCell ref="K27:O27"/>
    <mergeCell ref="H28:J28"/>
    <mergeCell ref="K28:O28"/>
    <mergeCell ref="Y17:AA31"/>
    <mergeCell ref="B18:J18"/>
    <mergeCell ref="K18:N18"/>
    <mergeCell ref="O18:X18"/>
    <mergeCell ref="B19:C21"/>
    <mergeCell ref="B29:C31"/>
    <mergeCell ref="C32:F33"/>
    <mergeCell ref="H32:J33"/>
    <mergeCell ref="D1:E1"/>
    <mergeCell ref="J1:O2"/>
    <mergeCell ref="E3:F5"/>
    <mergeCell ref="M3:N5"/>
    <mergeCell ref="Y3:AA16"/>
    <mergeCell ref="M10:N13"/>
    <mergeCell ref="B14:J14"/>
    <mergeCell ref="K14:N14"/>
    <mergeCell ref="O14:X14"/>
    <mergeCell ref="B15:C17"/>
    <mergeCell ref="B6:C8"/>
    <mergeCell ref="I6:J8"/>
    <mergeCell ref="B9:J9"/>
    <mergeCell ref="K9:N9"/>
    <mergeCell ref="B10:C12"/>
  </mergeCells>
  <dataValidations count="7">
    <dataValidation type="list" allowBlank="1" showInputMessage="1" showErrorMessage="1" sqref="C3" xr:uid="{00000000-0002-0000-0000-000000000000}">
      <formula1>$B$111:$B$113</formula1>
    </dataValidation>
    <dataValidation type="list" allowBlank="1" showInputMessage="1" showErrorMessage="1" sqref="K17" xr:uid="{00000000-0002-0000-0000-000001000000}">
      <formula1>$B$116:$B$117</formula1>
    </dataValidation>
    <dataValidation type="list" allowBlank="1" showInputMessage="1" showErrorMessage="1" sqref="K8" xr:uid="{00000000-0002-0000-0000-000002000000}">
      <formula1>$H$174:$H$181</formula1>
    </dataValidation>
    <dataValidation type="list" allowBlank="1" showInputMessage="1" showErrorMessage="1" sqref="E21" xr:uid="{00000000-0002-0000-0000-000003000000}">
      <formula1>$B$172:$B$185</formula1>
    </dataValidation>
    <dataValidation type="list" allowBlank="1" showInputMessage="1" showErrorMessage="1" sqref="N8" xr:uid="{00000000-0002-0000-0000-000004000000}">
      <formula1>$P$187:$P$193</formula1>
    </dataValidation>
    <dataValidation type="list" allowBlank="1" showInputMessage="1" showErrorMessage="1" sqref="D59" xr:uid="{00000000-0002-0000-0000-000005000000}">
      <formula1>$B$121:$B$122</formula1>
    </dataValidation>
    <dataValidation type="list" allowBlank="1" showInputMessage="1" showErrorMessage="1" sqref="X31" xr:uid="{00000000-0002-0000-0000-000006000000}">
      <formula1>$B$130:$B$131</formula1>
    </dataValidation>
  </dataValidations>
  <printOptions horizontalCentered="1" verticalCentered="1"/>
  <pageMargins left="0.2" right="0.2" top="0.2" bottom="0.2" header="0.2" footer="0.2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C-EGL4_CONN</vt:lpstr>
      <vt:lpstr>'C-EGL4_CONN'!bolt2</vt:lpstr>
      <vt:lpstr>'C-EGL4_CONN'!bolts</vt:lpstr>
      <vt:lpstr>'C-EGL4_CONN'!grade</vt:lpstr>
      <vt:lpstr>'C-EGL4_CONN'!HEB</vt:lpstr>
      <vt:lpstr>'C-EGL4_CONN'!Print_Area</vt:lpstr>
      <vt:lpstr>'C-EGL4_CONN'!table</vt:lpstr>
      <vt:lpstr>'C-EGL4_CONN'!table2</vt:lpstr>
      <vt:lpstr>'C-EGL4_CONN'!table3</vt:lpstr>
      <vt:lpstr>'C-EGL4_CONN'!y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2023-01-27T12:53:11Z</dcterms:modified>
</cp:coreProperties>
</file>