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FCF806D0-AD26-4707-A8D1-21318AD52D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LUSHED-EXTENDED CONN" sheetId="3" r:id="rId1"/>
  </sheets>
  <externalReferences>
    <externalReference r:id="rId2"/>
  </externalReferences>
  <definedNames>
    <definedName name="bolt2">'[1]R-c Right'!$P$173:$X$181</definedName>
    <definedName name="bolts">'[1]R-c Right'!$H$173:$K$181</definedName>
    <definedName name="grade">'[1]R-c Right'!$P$186:$S$193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3" l="1"/>
  <c r="AG13" i="3"/>
  <c r="E19" i="3" l="1"/>
  <c r="D19" i="3"/>
  <c r="Q25" i="3"/>
  <c r="C19" i="3"/>
  <c r="E25" i="3"/>
  <c r="E34" i="3" s="1"/>
  <c r="O25" i="3"/>
  <c r="H41" i="3"/>
  <c r="F19" i="3" l="1"/>
  <c r="G19" i="3" s="1"/>
  <c r="N25" i="3" s="1"/>
  <c r="H25" i="3" s="1"/>
  <c r="R25" i="3"/>
  <c r="AG20" i="3"/>
  <c r="L49" i="3" l="1"/>
  <c r="I49" i="3"/>
  <c r="H49" i="3"/>
  <c r="F49" i="3"/>
  <c r="E49" i="3"/>
  <c r="L45" i="3"/>
  <c r="M45" i="3" s="1"/>
  <c r="G45" i="3"/>
  <c r="I45" i="3" s="1"/>
  <c r="J45" i="3" s="1"/>
  <c r="O41" i="3"/>
  <c r="M41" i="3"/>
  <c r="L41" i="3"/>
  <c r="N41" i="3"/>
  <c r="I41" i="3"/>
  <c r="R8" i="3"/>
  <c r="L8" i="3"/>
  <c r="E8" i="3"/>
  <c r="M34" i="3" l="1"/>
  <c r="I34" i="3"/>
  <c r="AG21" i="3"/>
  <c r="H34" i="3"/>
  <c r="Q8" i="3"/>
  <c r="Q9" i="3" s="1"/>
  <c r="J49" i="3"/>
  <c r="P41" i="3"/>
  <c r="Q40" i="3" s="1"/>
  <c r="N44" i="3"/>
  <c r="P8" i="3"/>
  <c r="P9" i="3" s="1"/>
  <c r="S8" i="3" l="1"/>
  <c r="S9" i="3" s="1"/>
  <c r="Q45" i="3"/>
  <c r="T45" i="3" s="1"/>
  <c r="K49" i="3"/>
  <c r="M48" i="3" s="1"/>
  <c r="T41" i="3"/>
  <c r="W41" i="3" s="1"/>
  <c r="S41" i="3"/>
  <c r="U41" i="3" s="1"/>
  <c r="P45" i="3"/>
  <c r="R45" i="3" l="1"/>
  <c r="V41" i="3"/>
  <c r="X41" i="3" s="1"/>
  <c r="S45" i="3"/>
  <c r="U45" i="3" s="1"/>
  <c r="H35" i="3" l="1"/>
  <c r="K25" i="3" l="1"/>
  <c r="M25" i="3"/>
  <c r="I25" i="3"/>
  <c r="L25" i="3"/>
  <c r="J25" i="3"/>
  <c r="P25" i="3" l="1"/>
  <c r="H19" i="3" s="1"/>
  <c r="G25" i="3"/>
  <c r="AG23" i="3" l="1"/>
  <c r="L34" i="3"/>
  <c r="L35" i="3" s="1"/>
  <c r="D34" i="3"/>
  <c r="P34" i="3" l="1"/>
  <c r="P35" i="3" s="1"/>
  <c r="D35" i="3"/>
</calcChain>
</file>

<file path=xl/sharedStrings.xml><?xml version="1.0" encoding="utf-8"?>
<sst xmlns="http://schemas.openxmlformats.org/spreadsheetml/2006/main" count="220" uniqueCount="117">
  <si>
    <t>ST</t>
  </si>
  <si>
    <t>h</t>
  </si>
  <si>
    <r>
      <t xml:space="preserve">d </t>
    </r>
    <r>
      <rPr>
        <sz val="11"/>
        <color theme="1"/>
        <rFont val="Calibri"/>
        <family val="2"/>
      </rPr>
      <t>web</t>
    </r>
  </si>
  <si>
    <r>
      <t xml:space="preserve">t </t>
    </r>
    <r>
      <rPr>
        <sz val="11"/>
        <color theme="1"/>
        <rFont val="Calibri"/>
        <family val="2"/>
      </rPr>
      <t>web</t>
    </r>
  </si>
  <si>
    <t>bf</t>
  </si>
  <si>
    <t>tf</t>
  </si>
  <si>
    <r>
      <t>cm</t>
    </r>
    <r>
      <rPr>
        <sz val="11"/>
        <color theme="1"/>
        <rFont val="Calibri"/>
        <family val="2"/>
        <scheme val="minor"/>
      </rPr>
      <t/>
    </r>
  </si>
  <si>
    <t>cm</t>
  </si>
  <si>
    <t>straining actions</t>
  </si>
  <si>
    <t>Mxu</t>
  </si>
  <si>
    <r>
      <rPr>
        <sz val="12"/>
        <color theme="1"/>
        <rFont val="Franklin Gothic Demi Cond"/>
        <family val="2"/>
      </rPr>
      <t>Nu</t>
    </r>
    <r>
      <rPr>
        <sz val="11"/>
        <color theme="1"/>
        <rFont val="Calibri"/>
        <family val="2"/>
        <scheme val="minor"/>
      </rPr>
      <t xml:space="preserve"> (ten)</t>
    </r>
  </si>
  <si>
    <r>
      <rPr>
        <sz val="12"/>
        <color theme="1"/>
        <rFont val="Franklin Gothic Demi Cond"/>
        <family val="2"/>
      </rPr>
      <t>Nu</t>
    </r>
    <r>
      <rPr>
        <sz val="11"/>
        <color theme="1"/>
        <rFont val="Calibri"/>
        <family val="2"/>
        <scheme val="minor"/>
      </rPr>
      <t xml:space="preserve"> (comp)</t>
    </r>
  </si>
  <si>
    <t>Qu</t>
  </si>
  <si>
    <t>t.m</t>
  </si>
  <si>
    <t>t</t>
  </si>
  <si>
    <t>-</t>
  </si>
  <si>
    <r>
      <t>t/cm</t>
    </r>
    <r>
      <rPr>
        <vertAlign val="superscript"/>
        <sz val="11"/>
        <color theme="1"/>
        <rFont val="Calibri"/>
        <family val="2"/>
        <scheme val="minor"/>
      </rPr>
      <t>2</t>
    </r>
  </si>
  <si>
    <t>a-WELD</t>
  </si>
  <si>
    <t>properties of weld</t>
  </si>
  <si>
    <r>
      <t>tf(</t>
    </r>
    <r>
      <rPr>
        <sz val="11"/>
        <color theme="1"/>
        <rFont val="Calibri"/>
        <family val="2"/>
      </rPr>
      <t>rafter</t>
    </r>
    <r>
      <rPr>
        <sz val="12"/>
        <color theme="1"/>
        <rFont val="Franklin Gothic Demi Cond"/>
        <family val="2"/>
      </rPr>
      <t>)</t>
    </r>
  </si>
  <si>
    <t>S Wh</t>
  </si>
  <si>
    <t>S Wv</t>
  </si>
  <si>
    <r>
      <t xml:space="preserve">A </t>
    </r>
    <r>
      <rPr>
        <sz val="11"/>
        <color theme="1"/>
        <rFont val="Calibri"/>
        <family val="2"/>
      </rPr>
      <t>weld</t>
    </r>
  </si>
  <si>
    <r>
      <rPr>
        <sz val="12"/>
        <color theme="1"/>
        <rFont val="Dutch801 Rm BT"/>
        <family val="1"/>
      </rPr>
      <t>I</t>
    </r>
    <r>
      <rPr>
        <sz val="12"/>
        <color theme="1"/>
        <rFont val="Franklin Gothic Demi Cond"/>
        <family val="2"/>
      </rPr>
      <t xml:space="preserve">x </t>
    </r>
    <r>
      <rPr>
        <sz val="11"/>
        <color theme="1"/>
        <rFont val="Calibri"/>
        <family val="2"/>
      </rPr>
      <t>weld</t>
    </r>
  </si>
  <si>
    <t>check stress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</si>
  <si>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</si>
  <si>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</si>
  <si>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t>c-bolts</t>
  </si>
  <si>
    <r>
      <t xml:space="preserve">AS </t>
    </r>
    <r>
      <rPr>
        <sz val="11"/>
        <color theme="1"/>
        <rFont val="Calibri"/>
        <family val="2"/>
      </rPr>
      <t>bolt</t>
    </r>
  </si>
  <si>
    <t>y1</t>
  </si>
  <si>
    <r>
      <t>y2</t>
    </r>
    <r>
      <rPr>
        <sz val="11"/>
        <color theme="1"/>
        <rFont val="Calibri"/>
        <family val="2"/>
        <scheme val="minor"/>
      </rPr>
      <t/>
    </r>
  </si>
  <si>
    <r>
      <t>y3</t>
    </r>
    <r>
      <rPr>
        <sz val="11"/>
        <color theme="1"/>
        <rFont val="Calibri"/>
        <family val="2"/>
        <scheme val="minor"/>
      </rPr>
      <t/>
    </r>
  </si>
  <si>
    <r>
      <t>y4</t>
    </r>
    <r>
      <rPr>
        <sz val="11"/>
        <color theme="1"/>
        <rFont val="Calibri"/>
        <family val="2"/>
        <scheme val="minor"/>
      </rPr>
      <t/>
    </r>
  </si>
  <si>
    <r>
      <t>y5</t>
    </r>
    <r>
      <rPr>
        <sz val="11"/>
        <color theme="1"/>
        <rFont val="Calibri"/>
        <family val="2"/>
        <scheme val="minor"/>
      </rPr>
      <t/>
    </r>
  </si>
  <si>
    <r>
      <t>y6</t>
    </r>
    <r>
      <rPr>
        <sz val="11"/>
        <color theme="1"/>
        <rFont val="Calibri"/>
        <family val="2"/>
        <scheme val="minor"/>
      </rPr>
      <t/>
    </r>
  </si>
  <si>
    <t>y7</t>
  </si>
  <si>
    <t>y8</t>
  </si>
  <si>
    <t>CHECK TENSION</t>
  </si>
  <si>
    <t>Ru all</t>
  </si>
  <si>
    <t>Prying force</t>
  </si>
  <si>
    <t>groub (A)</t>
  </si>
  <si>
    <r>
      <t xml:space="preserve">Ru all </t>
    </r>
    <r>
      <rPr>
        <sz val="11"/>
        <color theme="1"/>
        <rFont val="Calibri"/>
        <family val="2"/>
      </rPr>
      <t>(t)</t>
    </r>
  </si>
  <si>
    <r>
      <t xml:space="preserve">p </t>
    </r>
    <r>
      <rPr>
        <sz val="12"/>
        <color theme="1"/>
        <rFont val="Calibri"/>
        <family val="2"/>
      </rPr>
      <t>(t)</t>
    </r>
  </si>
  <si>
    <t>eq(8-11)</t>
  </si>
  <si>
    <t>eq(8-26)</t>
  </si>
  <si>
    <t>d-check stability of web</t>
  </si>
  <si>
    <t>comp - zone</t>
  </si>
  <si>
    <t>Rafter</t>
  </si>
  <si>
    <r>
      <t xml:space="preserve">h </t>
    </r>
    <r>
      <rPr>
        <sz val="11"/>
        <color theme="1"/>
        <rFont val="Calibri"/>
        <family val="2"/>
      </rPr>
      <t>beam</t>
    </r>
  </si>
  <si>
    <r>
      <t xml:space="preserve">tf </t>
    </r>
    <r>
      <rPr>
        <sz val="11"/>
        <color theme="1"/>
        <rFont val="Calibri"/>
        <family val="2"/>
      </rPr>
      <t>beam</t>
    </r>
  </si>
  <si>
    <r>
      <t xml:space="preserve">d </t>
    </r>
    <r>
      <rPr>
        <sz val="11"/>
        <color theme="1"/>
        <rFont val="Calibri"/>
        <family val="2"/>
      </rPr>
      <t>beam</t>
    </r>
  </si>
  <si>
    <t>Cu</t>
  </si>
  <si>
    <t>f</t>
  </si>
  <si>
    <r>
      <t xml:space="preserve">tf </t>
    </r>
    <r>
      <rPr>
        <sz val="10"/>
        <color theme="1"/>
        <rFont val="Calibri"/>
        <family val="2"/>
      </rPr>
      <t>col</t>
    </r>
  </si>
  <si>
    <r>
      <t xml:space="preserve">tw </t>
    </r>
    <r>
      <rPr>
        <sz val="10"/>
        <color theme="1"/>
        <rFont val="Calibri"/>
        <family val="2"/>
      </rPr>
      <t>col</t>
    </r>
  </si>
  <si>
    <r>
      <t xml:space="preserve">t </t>
    </r>
    <r>
      <rPr>
        <sz val="10"/>
        <color theme="1"/>
        <rFont val="Calibri"/>
        <family val="2"/>
      </rPr>
      <t>plate</t>
    </r>
  </si>
  <si>
    <t>K</t>
  </si>
  <si>
    <t>Fyw</t>
  </si>
  <si>
    <t>Rn</t>
  </si>
  <si>
    <r>
      <t>check(</t>
    </r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Franklin Gothic Demi Cond"/>
        <family val="2"/>
      </rPr>
      <t>*Rn &gt; Cu)</t>
    </r>
  </si>
  <si>
    <t>bst*tst</t>
  </si>
  <si>
    <t>bst</t>
  </si>
  <si>
    <t>tst</t>
  </si>
  <si>
    <t>tstact</t>
  </si>
  <si>
    <t>check (1)</t>
  </si>
  <si>
    <t>check (2)</t>
  </si>
  <si>
    <t>eq (10-14)</t>
  </si>
  <si>
    <t>eq (10-15)</t>
  </si>
  <si>
    <t>built up</t>
  </si>
  <si>
    <t>ten - zone</t>
  </si>
  <si>
    <t>Fyf</t>
  </si>
  <si>
    <t>Tu</t>
  </si>
  <si>
    <r>
      <t xml:space="preserve">tf </t>
    </r>
    <r>
      <rPr>
        <sz val="11"/>
        <color theme="1"/>
        <rFont val="Calibri"/>
        <family val="2"/>
      </rPr>
      <t>col</t>
    </r>
  </si>
  <si>
    <r>
      <t>check(</t>
    </r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Franklin Gothic Demi Cond"/>
        <family val="2"/>
      </rPr>
      <t>*Rn &gt; Tu)</t>
    </r>
  </si>
  <si>
    <t>shear - zone</t>
  </si>
  <si>
    <r>
      <t xml:space="preserve">h </t>
    </r>
    <r>
      <rPr>
        <sz val="11"/>
        <color theme="1"/>
        <rFont val="Calibri"/>
        <family val="2"/>
      </rPr>
      <t>col</t>
    </r>
  </si>
  <si>
    <t>dweb</t>
  </si>
  <si>
    <t>s</t>
  </si>
  <si>
    <t>_Cb</t>
  </si>
  <si>
    <t>Rv</t>
  </si>
  <si>
    <t>T_doubler_Plate</t>
  </si>
  <si>
    <t>check(Rv &gt; Cb)</t>
  </si>
  <si>
    <t>point 2</t>
  </si>
  <si>
    <t>point 1</t>
  </si>
  <si>
    <t>t/cm2</t>
  </si>
  <si>
    <t>f-1</t>
  </si>
  <si>
    <t>f-2</t>
  </si>
  <si>
    <t>q-2</t>
  </si>
  <si>
    <t>F-2</t>
  </si>
  <si>
    <t>Connection geometry</t>
  </si>
  <si>
    <t>phi</t>
  </si>
  <si>
    <t>bolts pitch</t>
  </si>
  <si>
    <t>tp</t>
  </si>
  <si>
    <t>n/2</t>
  </si>
  <si>
    <t xml:space="preserve"> pitch exact</t>
  </si>
  <si>
    <t>tb</t>
  </si>
  <si>
    <t>a, e</t>
  </si>
  <si>
    <t>cm2</t>
  </si>
  <si>
    <t>∑2*y'^2</t>
  </si>
  <si>
    <t>category (c)</t>
  </si>
  <si>
    <t>for rafter</t>
  </si>
  <si>
    <t>for col</t>
  </si>
  <si>
    <t>tw</t>
  </si>
  <si>
    <t>Lplate</t>
  </si>
  <si>
    <t>bplate</t>
  </si>
  <si>
    <t>w*tp^4/30*a*b^2*As</t>
  </si>
  <si>
    <t>Ru T,M(@y1)</t>
  </si>
  <si>
    <t>Ru T,M(@y3)+P(t)</t>
  </si>
  <si>
    <t>Rtb_ all</t>
  </si>
  <si>
    <t>CHECK INTERACTION EQU</t>
  </si>
  <si>
    <t>Ru T,M(@y1)+P(t)</t>
  </si>
  <si>
    <t>Rvb</t>
  </si>
  <si>
    <t>G10.9</t>
  </si>
  <si>
    <t>lplate</t>
  </si>
  <si>
    <t>(n/2)exact</t>
  </si>
  <si>
    <t>Connection name</t>
  </si>
  <si>
    <t>RAFTER-17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</si>
</sst>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Franklin Gothic Demi Cond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Franklin Gothic Demi Cond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Arial Rounded MT Bold"/>
      <family val="2"/>
    </font>
    <font>
      <sz val="12"/>
      <color theme="1"/>
      <name val="Dutch801 Rm BT"/>
      <family val="1"/>
    </font>
    <font>
      <sz val="10"/>
      <color theme="1"/>
      <name val="Calibri"/>
      <family val="2"/>
    </font>
    <font>
      <b/>
      <sz val="11"/>
      <color theme="8" tint="-0.499984740745262"/>
      <name val="BankGothic Md BT"/>
      <family val="2"/>
    </font>
    <font>
      <b/>
      <sz val="12"/>
      <color theme="8" tint="-0.499984740745262"/>
      <name val="BankGothic Md BT"/>
      <family val="2"/>
    </font>
    <font>
      <b/>
      <sz val="12"/>
      <color theme="0"/>
      <name val="Arial Rounded MT Bold"/>
      <family val="2"/>
    </font>
    <font>
      <sz val="12"/>
      <color theme="1"/>
      <name val="Calibri"/>
      <family val="2"/>
    </font>
    <font>
      <b/>
      <sz val="10"/>
      <color theme="1"/>
      <name val="Eras Medium ITC"/>
      <family val="2"/>
    </font>
    <font>
      <sz val="9"/>
      <color theme="1"/>
      <name val="Franklin Gothic Demi Cond"/>
      <family val="2"/>
    </font>
    <font>
      <b/>
      <sz val="9"/>
      <color theme="1"/>
      <name val="Calibri"/>
      <family val="2"/>
      <scheme val="minor"/>
    </font>
    <font>
      <sz val="10"/>
      <color theme="1"/>
      <name val="Franklin Gothic Demi Cond"/>
      <family val="2"/>
    </font>
    <font>
      <b/>
      <sz val="11"/>
      <color theme="1"/>
      <name val="Symbol"/>
      <family val="1"/>
      <charset val="2"/>
    </font>
    <font>
      <sz val="14"/>
      <color theme="1"/>
      <name val="Franklin Gothic Demi Cond"/>
      <family val="2"/>
    </font>
    <font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sz val="12"/>
      <color theme="1"/>
      <name val="Symbol"/>
      <family val="1"/>
      <charset val="2"/>
    </font>
    <font>
      <b/>
      <sz val="16"/>
      <color theme="8" tint="-0.499984740745262"/>
      <name val="BankGothic Md BT"/>
      <family val="2"/>
    </font>
    <font>
      <sz val="10"/>
      <name val="Arial"/>
      <family val="2"/>
      <charset val="178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2" fontId="26" fillId="0" borderId="0">
      <alignment vertical="center"/>
    </xf>
  </cellStyleXfs>
  <cellXfs count="149">
    <xf numFmtId="0" fontId="0" fillId="0" borderId="0" xfId="0"/>
    <xf numFmtId="0" fontId="2" fillId="0" borderId="0" xfId="1" applyAlignment="1">
      <alignment horizontal="center" vertical="center"/>
    </xf>
    <xf numFmtId="0" fontId="2" fillId="0" borderId="4" xfId="1" applyBorder="1" applyAlignment="1">
      <alignment vertical="center"/>
    </xf>
    <xf numFmtId="0" fontId="2" fillId="0" borderId="0" xfId="1" applyAlignment="1">
      <alignment vertical="center"/>
    </xf>
    <xf numFmtId="0" fontId="2" fillId="0" borderId="8" xfId="1" applyBorder="1" applyAlignment="1">
      <alignment vertical="center"/>
    </xf>
    <xf numFmtId="0" fontId="3" fillId="4" borderId="10" xfId="2" applyFont="1" applyFill="1" applyBorder="1" applyAlignment="1">
      <alignment horizontal="center" vertical="center"/>
    </xf>
    <xf numFmtId="0" fontId="3" fillId="4" borderId="10" xfId="1" applyFont="1" applyFill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6" fillId="5" borderId="10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0" fontId="2" fillId="3" borderId="10" xfId="1" applyFill="1" applyBorder="1" applyAlignment="1">
      <alignment horizontal="center" vertical="center"/>
    </xf>
    <xf numFmtId="0" fontId="2" fillId="4" borderId="10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6" borderId="0" xfId="1" applyFill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12" fillId="7" borderId="17" xfId="1" applyFont="1" applyFill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3" fillId="4" borderId="20" xfId="2" applyFont="1" applyFill="1" applyBorder="1" applyAlignment="1">
      <alignment horizontal="center" vertical="center"/>
    </xf>
    <xf numFmtId="0" fontId="16" fillId="4" borderId="20" xfId="1" applyFont="1" applyFill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" fillId="8" borderId="10" xfId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/>
    </xf>
    <xf numFmtId="0" fontId="2" fillId="0" borderId="26" xfId="1" applyBorder="1" applyAlignment="1">
      <alignment horizontal="center" vertical="center"/>
    </xf>
    <xf numFmtId="0" fontId="13" fillId="2" borderId="17" xfId="1" applyFont="1" applyFill="1" applyBorder="1" applyAlignment="1">
      <alignment horizontal="center" vertical="center"/>
    </xf>
    <xf numFmtId="0" fontId="2" fillId="0" borderId="6" xfId="1" applyBorder="1" applyAlignment="1">
      <alignment vertical="center"/>
    </xf>
    <xf numFmtId="0" fontId="2" fillId="0" borderId="8" xfId="1" applyBorder="1" applyAlignment="1">
      <alignment horizontal="center" vertical="center"/>
    </xf>
    <xf numFmtId="0" fontId="2" fillId="0" borderId="7" xfId="1" applyBorder="1" applyAlignment="1">
      <alignment vertical="center"/>
    </xf>
    <xf numFmtId="0" fontId="23" fillId="4" borderId="20" xfId="2" applyFont="1" applyFill="1" applyBorder="1" applyAlignment="1">
      <alignment horizontal="center" vertical="center"/>
    </xf>
    <xf numFmtId="0" fontId="3" fillId="4" borderId="20" xfId="1" applyFont="1" applyFill="1" applyBorder="1" applyAlignment="1">
      <alignment horizontal="center" vertical="center"/>
    </xf>
    <xf numFmtId="0" fontId="3" fillId="4" borderId="32" xfId="2" applyFont="1" applyFill="1" applyBorder="1" applyAlignment="1">
      <alignment horizontal="center" vertical="center"/>
    </xf>
    <xf numFmtId="0" fontId="3" fillId="4" borderId="21" xfId="2" applyFont="1" applyFill="1" applyBorder="1" applyAlignment="1">
      <alignment horizontal="center" vertical="center"/>
    </xf>
    <xf numFmtId="0" fontId="2" fillId="0" borderId="33" xfId="1" applyBorder="1" applyAlignment="1">
      <alignment horizontal="center" vertical="center"/>
    </xf>
    <xf numFmtId="0" fontId="2" fillId="0" borderId="27" xfId="1" applyBorder="1" applyAlignment="1">
      <alignment horizontal="center" vertical="center"/>
    </xf>
    <xf numFmtId="0" fontId="6" fillId="3" borderId="24" xfId="1" applyFont="1" applyFill="1" applyBorder="1" applyAlignment="1">
      <alignment horizontal="center" vertical="center"/>
    </xf>
    <xf numFmtId="0" fontId="2" fillId="5" borderId="24" xfId="1" applyFill="1" applyBorder="1" applyAlignment="1">
      <alignment horizontal="center" vertical="center"/>
    </xf>
    <xf numFmtId="0" fontId="2" fillId="0" borderId="34" xfId="1" applyBorder="1" applyAlignment="1">
      <alignment horizontal="center" vertical="center"/>
    </xf>
    <xf numFmtId="0" fontId="2" fillId="5" borderId="30" xfId="1" applyFill="1" applyBorder="1" applyAlignment="1">
      <alignment horizontal="center" vertical="center"/>
    </xf>
    <xf numFmtId="0" fontId="13" fillId="2" borderId="35" xfId="1" applyFon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2" fillId="3" borderId="25" xfId="1" applyFill="1" applyBorder="1" applyAlignment="1">
      <alignment horizontal="center" vertical="center"/>
    </xf>
    <xf numFmtId="0" fontId="2" fillId="5" borderId="23" xfId="1" applyFill="1" applyBorder="1" applyAlignment="1">
      <alignment horizontal="center" vertical="center"/>
    </xf>
    <xf numFmtId="0" fontId="2" fillId="0" borderId="39" xfId="1" applyBorder="1" applyAlignment="1">
      <alignment horizontal="center" vertical="center"/>
    </xf>
    <xf numFmtId="0" fontId="6" fillId="0" borderId="38" xfId="1" applyFont="1" applyBorder="1" applyAlignment="1">
      <alignment horizontal="center" vertical="center"/>
    </xf>
    <xf numFmtId="0" fontId="12" fillId="7" borderId="4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5" fillId="4" borderId="16" xfId="1" applyFont="1" applyFill="1" applyBorder="1" applyAlignment="1">
      <alignment horizontal="center" vertical="center"/>
    </xf>
    <xf numFmtId="0" fontId="27" fillId="6" borderId="14" xfId="1" applyFont="1" applyFill="1" applyBorder="1" applyAlignment="1">
      <alignment vertical="center"/>
    </xf>
    <xf numFmtId="0" fontId="19" fillId="0" borderId="0" xfId="2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3" fillId="0" borderId="0" xfId="1" applyFont="1" applyAlignment="1">
      <alignment vertical="center"/>
    </xf>
    <xf numFmtId="0" fontId="12" fillId="0" borderId="17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2" fillId="0" borderId="38" xfId="1" applyBorder="1" applyAlignment="1">
      <alignment horizontal="center" vertical="center"/>
    </xf>
    <xf numFmtId="0" fontId="0" fillId="0" borderId="11" xfId="1" applyFont="1" applyBorder="1" applyAlignment="1">
      <alignment horizontal="center" vertical="center"/>
    </xf>
    <xf numFmtId="0" fontId="0" fillId="0" borderId="12" xfId="1" applyFont="1" applyBorder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9" fillId="0" borderId="10" xfId="0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5" xfId="1" applyFill="1" applyBorder="1" applyAlignment="1">
      <alignment vertical="center"/>
    </xf>
    <xf numFmtId="0" fontId="2" fillId="6" borderId="6" xfId="1" applyFill="1" applyBorder="1" applyAlignment="1">
      <alignment vertical="center"/>
    </xf>
    <xf numFmtId="0" fontId="14" fillId="6" borderId="6" xfId="1" applyFont="1" applyFill="1" applyBorder="1" applyAlignment="1">
      <alignment vertical="center"/>
    </xf>
    <xf numFmtId="0" fontId="14" fillId="6" borderId="44" xfId="1" applyFont="1" applyFill="1" applyBorder="1" applyAlignment="1">
      <alignment vertical="center"/>
    </xf>
    <xf numFmtId="0" fontId="0" fillId="0" borderId="0" xfId="1" applyFont="1" applyAlignment="1">
      <alignment vertical="center"/>
    </xf>
    <xf numFmtId="0" fontId="3" fillId="4" borderId="36" xfId="2" applyFont="1" applyFill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13" fillId="2" borderId="40" xfId="1" applyFont="1" applyFill="1" applyBorder="1" applyAlignment="1">
      <alignment horizontal="center" vertical="center"/>
    </xf>
    <xf numFmtId="0" fontId="11" fillId="4" borderId="45" xfId="2" applyFont="1" applyFill="1" applyBorder="1" applyAlignment="1">
      <alignment horizontal="center" vertical="center"/>
    </xf>
    <xf numFmtId="0" fontId="3" fillId="4" borderId="45" xfId="2" applyFont="1" applyFill="1" applyBorder="1" applyAlignment="1">
      <alignment horizontal="center" vertical="center"/>
    </xf>
    <xf numFmtId="0" fontId="3" fillId="4" borderId="46" xfId="2" applyFont="1" applyFill="1" applyBorder="1" applyAlignment="1">
      <alignment horizontal="center" vertical="center"/>
    </xf>
    <xf numFmtId="0" fontId="17" fillId="4" borderId="45" xfId="2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27" fillId="6" borderId="14" xfId="1" applyFont="1" applyFill="1" applyBorder="1" applyAlignment="1">
      <alignment horizontal="center" vertical="center"/>
    </xf>
    <xf numFmtId="0" fontId="27" fillId="6" borderId="41" xfId="1" applyFont="1" applyFill="1" applyBorder="1" applyAlignment="1">
      <alignment horizontal="center" vertical="center"/>
    </xf>
    <xf numFmtId="0" fontId="2" fillId="6" borderId="13" xfId="1" applyFill="1" applyBorder="1" applyAlignment="1">
      <alignment horizontal="center" vertical="center"/>
    </xf>
    <xf numFmtId="0" fontId="2" fillId="6" borderId="14" xfId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9" fillId="6" borderId="0" xfId="1" applyFont="1" applyFill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2" fillId="4" borderId="10" xfId="1" applyFill="1" applyBorder="1" applyAlignment="1">
      <alignment horizontal="center" vertical="center"/>
    </xf>
    <xf numFmtId="0" fontId="2" fillId="4" borderId="9" xfId="1" applyFill="1" applyBorder="1" applyAlignment="1">
      <alignment horizontal="center" vertical="center"/>
    </xf>
    <xf numFmtId="0" fontId="2" fillId="4" borderId="11" xfId="1" applyFill="1" applyBorder="1" applyAlignment="1">
      <alignment horizontal="center" vertical="center"/>
    </xf>
    <xf numFmtId="0" fontId="7" fillId="4" borderId="10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21" fillId="4" borderId="19" xfId="1" applyFont="1" applyFill="1" applyBorder="1" applyAlignment="1">
      <alignment horizontal="center" vertical="center"/>
    </xf>
    <xf numFmtId="0" fontId="22" fillId="4" borderId="20" xfId="1" applyFont="1" applyFill="1" applyBorder="1" applyAlignment="1">
      <alignment horizontal="center" vertical="center"/>
    </xf>
    <xf numFmtId="0" fontId="22" fillId="4" borderId="9" xfId="1" applyFont="1" applyFill="1" applyBorder="1" applyAlignment="1">
      <alignment horizontal="center" vertical="center"/>
    </xf>
    <xf numFmtId="0" fontId="22" fillId="4" borderId="10" xfId="1" applyFont="1" applyFill="1" applyBorder="1" applyAlignment="1">
      <alignment horizontal="center" vertical="center"/>
    </xf>
    <xf numFmtId="0" fontId="22" fillId="4" borderId="23" xfId="1" applyFont="1" applyFill="1" applyBorder="1" applyAlignment="1">
      <alignment horizontal="center" vertical="center"/>
    </xf>
    <xf numFmtId="0" fontId="22" fillId="4" borderId="24" xfId="1" applyFont="1" applyFill="1" applyBorder="1" applyAlignment="1">
      <alignment horizontal="center" vertical="center"/>
    </xf>
    <xf numFmtId="0" fontId="3" fillId="4" borderId="31" xfId="1" applyFont="1" applyFill="1" applyBorder="1" applyAlignment="1">
      <alignment horizontal="center" vertical="center"/>
    </xf>
    <xf numFmtId="0" fontId="25" fillId="2" borderId="19" xfId="1" applyFont="1" applyFill="1" applyBorder="1" applyAlignment="1">
      <alignment horizontal="center" vertical="center"/>
    </xf>
    <xf numFmtId="0" fontId="25" fillId="2" borderId="36" xfId="1" applyFont="1" applyFill="1" applyBorder="1" applyAlignment="1">
      <alignment horizontal="center" vertical="center"/>
    </xf>
    <xf numFmtId="0" fontId="25" fillId="2" borderId="23" xfId="1" applyFont="1" applyFill="1" applyBorder="1" applyAlignment="1">
      <alignment horizontal="center" vertical="center"/>
    </xf>
    <xf numFmtId="0" fontId="25" fillId="2" borderId="34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4" borderId="42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37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/>
    </xf>
    <xf numFmtId="0" fontId="3" fillId="4" borderId="41" xfId="1" applyFont="1" applyFill="1" applyBorder="1" applyAlignment="1">
      <alignment horizontal="center" vertical="center"/>
    </xf>
    <xf numFmtId="0" fontId="21" fillId="4" borderId="20" xfId="1" applyFont="1" applyFill="1" applyBorder="1" applyAlignment="1">
      <alignment horizontal="center" vertical="center"/>
    </xf>
    <xf numFmtId="0" fontId="21" fillId="4" borderId="21" xfId="1" applyFont="1" applyFill="1" applyBorder="1" applyAlignment="1">
      <alignment horizontal="center" vertical="center"/>
    </xf>
    <xf numFmtId="0" fontId="21" fillId="4" borderId="9" xfId="1" applyFont="1" applyFill="1" applyBorder="1" applyAlignment="1">
      <alignment horizontal="center" vertical="center"/>
    </xf>
    <xf numFmtId="0" fontId="21" fillId="4" borderId="10" xfId="1" applyFont="1" applyFill="1" applyBorder="1" applyAlignment="1">
      <alignment horizontal="center" vertical="center"/>
    </xf>
    <xf numFmtId="0" fontId="21" fillId="4" borderId="22" xfId="1" applyFont="1" applyFill="1" applyBorder="1" applyAlignment="1">
      <alignment horizontal="center" vertical="center"/>
    </xf>
    <xf numFmtId="0" fontId="21" fillId="4" borderId="9" xfId="1" applyFont="1" applyFill="1" applyBorder="1" applyAlignment="1">
      <alignment horizontal="center" vertical="center" textRotation="90"/>
    </xf>
    <xf numFmtId="0" fontId="21" fillId="4" borderId="28" xfId="1" applyFont="1" applyFill="1" applyBorder="1" applyAlignment="1">
      <alignment horizontal="center" vertical="center" textRotation="90"/>
    </xf>
    <xf numFmtId="0" fontId="2" fillId="6" borderId="1" xfId="1" applyFill="1" applyBorder="1" applyAlignment="1">
      <alignment horizontal="center" vertical="center"/>
    </xf>
    <xf numFmtId="0" fontId="2" fillId="6" borderId="2" xfId="1" applyFill="1" applyBorder="1" applyAlignment="1">
      <alignment horizontal="center" vertical="center"/>
    </xf>
    <xf numFmtId="0" fontId="3" fillId="4" borderId="29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14" xfId="1" applyFont="1" applyFill="1" applyBorder="1" applyAlignment="1">
      <alignment horizontal="center" vertical="center"/>
    </xf>
    <xf numFmtId="0" fontId="3" fillId="4" borderId="43" xfId="1" applyFont="1" applyFill="1" applyBorder="1" applyAlignment="1">
      <alignment horizontal="center" vertical="center"/>
    </xf>
    <xf numFmtId="0" fontId="14" fillId="6" borderId="0" xfId="1" applyFont="1" applyFill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25" fillId="2" borderId="21" xfId="1" applyFont="1" applyFill="1" applyBorder="1" applyAlignment="1">
      <alignment horizontal="center" vertical="center"/>
    </xf>
    <xf numFmtId="0" fontId="25" fillId="2" borderId="25" xfId="1" applyFont="1" applyFill="1" applyBorder="1" applyAlignment="1">
      <alignment horizontal="center" vertical="center"/>
    </xf>
    <xf numFmtId="0" fontId="2" fillId="6" borderId="3" xfId="1" applyFill="1" applyBorder="1" applyAlignment="1">
      <alignment horizontal="center" vertical="center"/>
    </xf>
    <xf numFmtId="0" fontId="2" fillId="0" borderId="0" xfId="1" applyBorder="1" applyAlignment="1">
      <alignment vertical="center"/>
    </xf>
    <xf numFmtId="0" fontId="2" fillId="0" borderId="0" xfId="1" applyBorder="1" applyAlignment="1">
      <alignment horizontal="center" vertical="center"/>
    </xf>
    <xf numFmtId="0" fontId="0" fillId="0" borderId="0" xfId="0" applyBorder="1"/>
    <xf numFmtId="0" fontId="30" fillId="0" borderId="10" xfId="1" applyFont="1" applyBorder="1" applyAlignment="1">
      <alignment horizontal="center" vertical="center"/>
    </xf>
    <xf numFmtId="0" fontId="0" fillId="3" borderId="10" xfId="1" applyFont="1" applyFill="1" applyBorder="1" applyAlignment="1">
      <alignment vertic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0C0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243840</xdr:colOff>
      <xdr:row>0</xdr:row>
      <xdr:rowOff>0</xdr:rowOff>
    </xdr:from>
    <xdr:to>
      <xdr:col>21</xdr:col>
      <xdr:colOff>441960</xdr:colOff>
      <xdr:row>10</xdr:row>
      <xdr:rowOff>28401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4A159-106E-41DA-FC30-2577379C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1540" y="0"/>
          <a:ext cx="154686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21</xdr:col>
      <xdr:colOff>411480</xdr:colOff>
      <xdr:row>36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759750-5E78-42CE-B137-A3462CE36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0" y="3771900"/>
          <a:ext cx="1760220" cy="3208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/Steel%20Project/my%20project/Excell/New%20folder/FINAL/Rafter%20conn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FTER CONN"/>
      <sheetName val="R-c Left"/>
      <sheetName val="R-c Right"/>
      <sheetName val="Mid  Rafter"/>
      <sheetName val="MEZZ COL1 "/>
      <sheetName val="MEZZ COL2"/>
      <sheetName val="MEZZ COL3"/>
      <sheetName val="Main-sec MEZZ"/>
    </sheetNames>
    <sheetDataSet>
      <sheetData sheetId="0"/>
      <sheetData sheetId="1"/>
      <sheetData sheetId="2">
        <row r="173">
          <cell r="H173" t="str">
            <v>BOLTS</v>
          </cell>
          <cell r="I173" t="str">
            <v>AS(cm2)</v>
          </cell>
          <cell r="J173" t="str">
            <v>D(cm)</v>
          </cell>
          <cell r="K173" t="str">
            <v>ps(st52)</v>
          </cell>
          <cell r="P173" t="str">
            <v>BOLTS</v>
          </cell>
          <cell r="Q173" t="str">
            <v>AS(cm2)</v>
          </cell>
          <cell r="R173" t="str">
            <v>D(cm)</v>
          </cell>
          <cell r="S173" t="str">
            <v>ps(st52)</v>
          </cell>
          <cell r="T173" t="str">
            <v>ps(st37)</v>
          </cell>
        </row>
        <row r="174">
          <cell r="H174" t="str">
            <v>M12</v>
          </cell>
          <cell r="I174">
            <v>0.84</v>
          </cell>
          <cell r="J174">
            <v>12</v>
          </cell>
          <cell r="K174">
            <v>2.11</v>
          </cell>
          <cell r="P174" t="str">
            <v>M12</v>
          </cell>
          <cell r="Q174">
            <v>0.84</v>
          </cell>
          <cell r="R174">
            <v>12</v>
          </cell>
          <cell r="S174">
            <v>2.11</v>
          </cell>
          <cell r="T174">
            <v>1.69</v>
          </cell>
        </row>
        <row r="175">
          <cell r="H175" t="str">
            <v>M16</v>
          </cell>
          <cell r="I175">
            <v>1.57</v>
          </cell>
          <cell r="J175">
            <v>16</v>
          </cell>
          <cell r="K175">
            <v>3.95</v>
          </cell>
          <cell r="P175" t="str">
            <v>M16</v>
          </cell>
          <cell r="Q175">
            <v>1.57</v>
          </cell>
          <cell r="R175">
            <v>16</v>
          </cell>
          <cell r="S175">
            <v>3.95</v>
          </cell>
          <cell r="T175">
            <v>3.16</v>
          </cell>
        </row>
        <row r="176">
          <cell r="H176" t="str">
            <v>M20</v>
          </cell>
          <cell r="I176">
            <v>2.4500000000000002</v>
          </cell>
          <cell r="J176">
            <v>20</v>
          </cell>
          <cell r="K176">
            <v>8.17</v>
          </cell>
          <cell r="P176" t="str">
            <v>M20</v>
          </cell>
          <cell r="Q176">
            <v>2.4500000000000002</v>
          </cell>
          <cell r="R176">
            <v>20</v>
          </cell>
          <cell r="S176">
            <v>8.17</v>
          </cell>
          <cell r="T176">
            <v>4.93</v>
          </cell>
        </row>
        <row r="177">
          <cell r="H177" t="str">
            <v>M22</v>
          </cell>
          <cell r="I177">
            <v>3.03</v>
          </cell>
          <cell r="J177">
            <v>22</v>
          </cell>
          <cell r="K177">
            <v>7.63</v>
          </cell>
          <cell r="P177" t="str">
            <v>M22</v>
          </cell>
          <cell r="Q177">
            <v>3.03</v>
          </cell>
          <cell r="R177">
            <v>22</v>
          </cell>
          <cell r="S177">
            <v>7.63</v>
          </cell>
          <cell r="T177">
            <v>8.1</v>
          </cell>
        </row>
        <row r="178">
          <cell r="H178" t="str">
            <v>M24</v>
          </cell>
          <cell r="I178">
            <v>3.53</v>
          </cell>
          <cell r="J178">
            <v>24</v>
          </cell>
          <cell r="K178">
            <v>8.89</v>
          </cell>
          <cell r="P178" t="str">
            <v>M24</v>
          </cell>
          <cell r="Q178">
            <v>3.53</v>
          </cell>
          <cell r="R178">
            <v>24</v>
          </cell>
          <cell r="S178">
            <v>8.89</v>
          </cell>
          <cell r="T178">
            <v>7.11</v>
          </cell>
        </row>
        <row r="179">
          <cell r="H179" t="str">
            <v>M27</v>
          </cell>
          <cell r="I179">
            <v>4.59</v>
          </cell>
          <cell r="J179">
            <v>27</v>
          </cell>
          <cell r="K179">
            <v>11.56</v>
          </cell>
          <cell r="P179" t="str">
            <v>M27</v>
          </cell>
          <cell r="Q179">
            <v>4.59</v>
          </cell>
          <cell r="R179">
            <v>27</v>
          </cell>
          <cell r="S179">
            <v>11.56</v>
          </cell>
          <cell r="T179">
            <v>9.25</v>
          </cell>
        </row>
        <row r="180">
          <cell r="H180" t="str">
            <v>M30</v>
          </cell>
          <cell r="I180">
            <v>5.61</v>
          </cell>
          <cell r="J180">
            <v>30</v>
          </cell>
          <cell r="K180">
            <v>14.13</v>
          </cell>
          <cell r="P180" t="str">
            <v>M30</v>
          </cell>
          <cell r="Q180">
            <v>5.61</v>
          </cell>
          <cell r="R180">
            <v>30</v>
          </cell>
          <cell r="S180">
            <v>14.13</v>
          </cell>
          <cell r="T180">
            <v>11.3</v>
          </cell>
        </row>
        <row r="181">
          <cell r="H181" t="str">
            <v>M36</v>
          </cell>
          <cell r="I181">
            <v>8.17</v>
          </cell>
          <cell r="J181">
            <v>36</v>
          </cell>
          <cell r="K181">
            <v>20.58</v>
          </cell>
          <cell r="P181" t="str">
            <v>M36</v>
          </cell>
          <cell r="Q181">
            <v>8.17</v>
          </cell>
          <cell r="R181">
            <v>36</v>
          </cell>
          <cell r="S181">
            <v>20.58</v>
          </cell>
          <cell r="T181">
            <v>18.47</v>
          </cell>
        </row>
        <row r="186">
          <cell r="P186" t="str">
            <v>grade</v>
          </cell>
          <cell r="Q186" t="str">
            <v>fy</v>
          </cell>
          <cell r="R186" t="str">
            <v>fu</v>
          </cell>
        </row>
        <row r="187">
          <cell r="P187">
            <v>4.5999999999999996</v>
          </cell>
          <cell r="Q187">
            <v>2.4</v>
          </cell>
          <cell r="R187">
            <v>4</v>
          </cell>
        </row>
        <row r="188">
          <cell r="P188">
            <v>4.8</v>
          </cell>
          <cell r="Q188">
            <v>3.2</v>
          </cell>
          <cell r="R188">
            <v>4</v>
          </cell>
        </row>
        <row r="189">
          <cell r="P189">
            <v>5.6</v>
          </cell>
          <cell r="Q189">
            <v>3</v>
          </cell>
          <cell r="R189">
            <v>5</v>
          </cell>
        </row>
        <row r="190">
          <cell r="P190">
            <v>5.8</v>
          </cell>
          <cell r="Q190">
            <v>4</v>
          </cell>
          <cell r="R190">
            <v>5</v>
          </cell>
        </row>
        <row r="191">
          <cell r="P191">
            <v>6.8</v>
          </cell>
          <cell r="Q191">
            <v>4.8</v>
          </cell>
          <cell r="R191">
            <v>6</v>
          </cell>
        </row>
        <row r="192">
          <cell r="P192">
            <v>8.8000000000000007</v>
          </cell>
          <cell r="Q192">
            <v>6.4</v>
          </cell>
          <cell r="R192">
            <v>8</v>
          </cell>
        </row>
        <row r="193">
          <cell r="P193">
            <v>10.9</v>
          </cell>
          <cell r="Q193">
            <v>9</v>
          </cell>
          <cell r="R193">
            <v>10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C131-9C21-4A94-8C0E-4B948BA7226B}">
  <dimension ref="C1:AK49"/>
  <sheetViews>
    <sheetView tabSelected="1" topLeftCell="A4" zoomScale="55" zoomScaleNormal="55" workbookViewId="0">
      <selection activeCell="B1" sqref="B1:Z50"/>
    </sheetView>
  </sheetViews>
  <sheetFormatPr defaultRowHeight="14.4" x14ac:dyDescent="0.3"/>
  <cols>
    <col min="8" max="8" width="14.44140625" customWidth="1"/>
    <col min="9" max="10" width="8.88671875" customWidth="1"/>
    <col min="16" max="16" width="15.33203125" bestFit="1" customWidth="1"/>
    <col min="17" max="17" width="10.44140625" customWidth="1"/>
    <col min="18" max="18" width="12.6640625" customWidth="1"/>
    <col min="19" max="19" width="10.5546875" customWidth="1"/>
    <col min="20" max="20" width="10.77734375" customWidth="1"/>
    <col min="23" max="23" width="9.21875" bestFit="1" customWidth="1"/>
  </cols>
  <sheetData>
    <row r="1" spans="3:37" x14ac:dyDescent="0.3">
      <c r="O1" s="146"/>
      <c r="P1" s="146"/>
      <c r="Q1" s="146"/>
      <c r="R1" s="146"/>
      <c r="S1" s="146"/>
    </row>
    <row r="2" spans="3:37" ht="21" x14ac:dyDescent="0.3">
      <c r="C2" s="87" t="s">
        <v>8</v>
      </c>
      <c r="D2" s="88"/>
      <c r="E2" s="6" t="s">
        <v>9</v>
      </c>
      <c r="F2" s="11" t="s">
        <v>10</v>
      </c>
      <c r="G2" s="11" t="s">
        <v>11</v>
      </c>
      <c r="H2" s="6" t="s">
        <v>12</v>
      </c>
      <c r="J2" s="73" t="s">
        <v>0</v>
      </c>
      <c r="K2" s="74">
        <v>52</v>
      </c>
      <c r="M2" t="s">
        <v>112</v>
      </c>
      <c r="O2" s="144"/>
      <c r="P2" s="147" t="s">
        <v>115</v>
      </c>
      <c r="Q2" s="147"/>
      <c r="R2" s="148" t="s">
        <v>116</v>
      </c>
      <c r="S2" s="145"/>
    </row>
    <row r="3" spans="3:37" x14ac:dyDescent="0.3">
      <c r="C3" s="89"/>
      <c r="D3" s="88"/>
      <c r="E3" s="7" t="s">
        <v>13</v>
      </c>
      <c r="F3" s="7" t="s">
        <v>14</v>
      </c>
      <c r="G3" s="7" t="s">
        <v>14</v>
      </c>
      <c r="H3" s="7" t="s">
        <v>14</v>
      </c>
    </row>
    <row r="4" spans="3:37" ht="15" thickBot="1" x14ac:dyDescent="0.35">
      <c r="C4" s="89"/>
      <c r="D4" s="88"/>
      <c r="E4" s="9">
        <v>44</v>
      </c>
      <c r="F4" s="9">
        <v>0</v>
      </c>
      <c r="G4" s="9">
        <v>4.4000000000000004</v>
      </c>
      <c r="H4" s="9">
        <v>16</v>
      </c>
    </row>
    <row r="5" spans="3:37" x14ac:dyDescent="0.3">
      <c r="C5" s="92"/>
      <c r="D5" s="93"/>
      <c r="E5" s="93"/>
      <c r="F5" s="93"/>
      <c r="G5" s="93"/>
      <c r="H5" s="93"/>
      <c r="I5" s="94"/>
      <c r="J5" s="93"/>
      <c r="K5" s="93"/>
      <c r="L5" s="95" t="s">
        <v>17</v>
      </c>
      <c r="M5" s="95"/>
      <c r="N5" s="95"/>
      <c r="O5" s="95"/>
      <c r="P5" s="59" t="s">
        <v>83</v>
      </c>
      <c r="Q5" s="59"/>
      <c r="R5" s="90" t="s">
        <v>82</v>
      </c>
      <c r="S5" s="91"/>
      <c r="T5" s="3"/>
      <c r="U5" s="3"/>
    </row>
    <row r="6" spans="3:37" ht="16.2" x14ac:dyDescent="0.3">
      <c r="C6" s="96" t="s">
        <v>18</v>
      </c>
      <c r="D6" s="97"/>
      <c r="E6" s="5" t="s">
        <v>1</v>
      </c>
      <c r="F6" s="6" t="s">
        <v>2</v>
      </c>
      <c r="G6" s="6" t="s">
        <v>3</v>
      </c>
      <c r="H6" s="6" t="s">
        <v>4</v>
      </c>
      <c r="I6" s="6" t="s">
        <v>19</v>
      </c>
      <c r="J6" s="6" t="s">
        <v>20</v>
      </c>
      <c r="K6" s="7" t="s">
        <v>21</v>
      </c>
      <c r="L6" s="6" t="s">
        <v>22</v>
      </c>
      <c r="M6" s="6" t="s">
        <v>23</v>
      </c>
      <c r="N6" s="100" t="s">
        <v>24</v>
      </c>
      <c r="O6" s="100"/>
      <c r="P6" s="6" t="s">
        <v>85</v>
      </c>
      <c r="Q6" s="58" t="s">
        <v>86</v>
      </c>
      <c r="R6" s="6" t="s">
        <v>87</v>
      </c>
      <c r="S6" s="6" t="s">
        <v>88</v>
      </c>
      <c r="T6" s="53"/>
      <c r="U6" s="53"/>
    </row>
    <row r="7" spans="3:37" ht="16.2" x14ac:dyDescent="0.3">
      <c r="C7" s="98"/>
      <c r="D7" s="97"/>
      <c r="E7" s="7" t="s">
        <v>6</v>
      </c>
      <c r="F7" s="7" t="s">
        <v>7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25</v>
      </c>
      <c r="M7" s="7" t="s">
        <v>26</v>
      </c>
      <c r="N7" s="100"/>
      <c r="O7" s="100"/>
      <c r="P7" s="7" t="s">
        <v>84</v>
      </c>
      <c r="Q7" s="18" t="s">
        <v>84</v>
      </c>
      <c r="R7" s="18" t="s">
        <v>84</v>
      </c>
      <c r="S7" s="18" t="s">
        <v>84</v>
      </c>
      <c r="T7" s="1"/>
      <c r="U7" s="1"/>
    </row>
    <row r="8" spans="3:37" ht="15" thickBot="1" x14ac:dyDescent="0.35">
      <c r="C8" s="99"/>
      <c r="D8" s="97"/>
      <c r="E8" s="8">
        <f>H1</f>
        <v>0</v>
      </c>
      <c r="F8" s="8">
        <v>60</v>
      </c>
      <c r="G8" s="8">
        <v>0.8</v>
      </c>
      <c r="H8" s="8">
        <v>30</v>
      </c>
      <c r="I8" s="12"/>
      <c r="J8" s="9">
        <v>0.3</v>
      </c>
      <c r="K8" s="10">
        <v>0.5</v>
      </c>
      <c r="L8" s="15">
        <f>2*(K8*(0.8*F8))+J8*((2*H8)+(4*0.4*H8))</f>
        <v>80.400000000000006</v>
      </c>
      <c r="M8" s="7">
        <f>(2*K8*(2*0.8*F8)^3)/12+4*((J8*0.4*H8)*((F8/2)-I8-((J8/2)))^2)+2*(((J8*H8)*((F8/2)+(J8/2))^2))</f>
        <v>102921.129</v>
      </c>
      <c r="N8" s="100"/>
      <c r="O8" s="100"/>
      <c r="P8" s="16">
        <f>((E4*100*(F8/2))/M8)+(G4/L8)</f>
        <v>1.3372618521996094</v>
      </c>
      <c r="Q8" s="51">
        <f>((E4*100*(0.8*F8/2))/M8)+(G4/L8)</f>
        <v>1.0807547553915284</v>
      </c>
      <c r="R8" s="15">
        <f>(H4)/(J8*((2*H8)+(4*0.4*H8)))</f>
        <v>0.49382716049382719</v>
      </c>
      <c r="S8" s="15">
        <f>SQRT(Q8^2+3*R8^2)</f>
        <v>1.3782694346990327</v>
      </c>
      <c r="T8" s="54"/>
      <c r="U8" s="54"/>
    </row>
    <row r="9" spans="3:37" ht="16.2" thickBot="1" x14ac:dyDescent="0.35">
      <c r="C9" s="50"/>
      <c r="D9" s="1"/>
      <c r="E9" s="1"/>
      <c r="F9" s="1"/>
      <c r="G9" s="1"/>
      <c r="H9" s="1"/>
      <c r="I9" s="1"/>
      <c r="J9" s="1"/>
      <c r="K9" s="1"/>
      <c r="L9" s="1"/>
      <c r="M9" s="1"/>
      <c r="N9" s="100"/>
      <c r="O9" s="101"/>
      <c r="P9" s="17" t="str">
        <f>IF(P8&lt;AG13,"safe","un safe")</f>
        <v>safe</v>
      </c>
      <c r="Q9" s="52" t="str">
        <f>IF(Q8&gt;AG13,"un safe","safe")</f>
        <v>safe</v>
      </c>
      <c r="R9" s="57"/>
      <c r="S9" s="57" t="str">
        <f>IF(S8&gt;1.1*AG13,"un safe","safe")</f>
        <v>safe</v>
      </c>
      <c r="T9" s="55"/>
      <c r="U9" s="56"/>
    </row>
    <row r="13" spans="3:37" x14ac:dyDescent="0.3">
      <c r="AG13">
        <f>0.7*0.4*5.2</f>
        <v>1.456</v>
      </c>
    </row>
    <row r="14" spans="3:37" ht="15" thickBot="1" x14ac:dyDescent="0.35">
      <c r="AG14" s="72" t="s">
        <v>90</v>
      </c>
      <c r="AH14">
        <v>2.7</v>
      </c>
      <c r="AI14" t="s">
        <v>7</v>
      </c>
    </row>
    <row r="15" spans="3:37" ht="14.4" customHeight="1" x14ac:dyDescent="0.3">
      <c r="C15" s="135" t="s">
        <v>89</v>
      </c>
      <c r="D15" s="136"/>
      <c r="E15" s="136"/>
      <c r="F15" s="136"/>
      <c r="G15" s="136"/>
      <c r="H15" s="137"/>
      <c r="M15" s="64"/>
      <c r="N15" s="64"/>
      <c r="O15" s="64"/>
      <c r="P15" s="1"/>
      <c r="AF15" t="s">
        <v>101</v>
      </c>
      <c r="AG15" s="72" t="s">
        <v>76</v>
      </c>
      <c r="AH15">
        <v>60</v>
      </c>
      <c r="AI15" t="s">
        <v>7</v>
      </c>
    </row>
    <row r="16" spans="3:37" ht="14.4" customHeight="1" thickBot="1" x14ac:dyDescent="0.35">
      <c r="C16" s="138"/>
      <c r="D16" s="139"/>
      <c r="E16" s="139"/>
      <c r="F16" s="139"/>
      <c r="G16" s="139"/>
      <c r="H16" s="140"/>
      <c r="M16" s="64"/>
      <c r="N16" s="64"/>
      <c r="O16" s="64"/>
      <c r="P16" s="1"/>
      <c r="AF16" s="1"/>
      <c r="AG16" s="1" t="s">
        <v>95</v>
      </c>
      <c r="AH16" s="1">
        <v>2</v>
      </c>
      <c r="AI16" s="1" t="s">
        <v>7</v>
      </c>
      <c r="AJ16" s="71" t="s">
        <v>102</v>
      </c>
      <c r="AK16" s="71">
        <v>1</v>
      </c>
    </row>
    <row r="17" spans="3:37" ht="14.4" customHeight="1" x14ac:dyDescent="0.3">
      <c r="C17" s="85" t="s">
        <v>96</v>
      </c>
      <c r="D17" s="86" t="s">
        <v>91</v>
      </c>
      <c r="E17" s="84" t="s">
        <v>92</v>
      </c>
      <c r="F17" s="84" t="s">
        <v>93</v>
      </c>
      <c r="G17" s="83" t="s">
        <v>94</v>
      </c>
      <c r="H17" s="84" t="s">
        <v>114</v>
      </c>
      <c r="M17" s="60"/>
      <c r="N17" s="63"/>
      <c r="O17" s="62"/>
      <c r="P17" s="1"/>
      <c r="AF17" s="1"/>
      <c r="AG17" s="71" t="s">
        <v>4</v>
      </c>
      <c r="AH17" s="1">
        <v>40</v>
      </c>
      <c r="AI17" s="1" t="s">
        <v>7</v>
      </c>
      <c r="AJ17" s="1"/>
      <c r="AK17" s="1"/>
    </row>
    <row r="18" spans="3:37" ht="14.4" customHeight="1" x14ac:dyDescent="0.3">
      <c r="C18" s="26" t="s">
        <v>7</v>
      </c>
      <c r="D18" s="7" t="s">
        <v>7</v>
      </c>
      <c r="E18" s="7" t="s">
        <v>7</v>
      </c>
      <c r="F18" s="19" t="s">
        <v>15</v>
      </c>
      <c r="G18" s="19" t="s">
        <v>7</v>
      </c>
      <c r="H18" s="19" t="s">
        <v>15</v>
      </c>
      <c r="M18" s="1"/>
      <c r="N18" s="1"/>
      <c r="O18" s="1"/>
      <c r="P18" s="1"/>
      <c r="AF18" s="71" t="s">
        <v>100</v>
      </c>
      <c r="AG18" s="71" t="s">
        <v>5</v>
      </c>
      <c r="AH18" s="1">
        <v>2</v>
      </c>
      <c r="AI18" s="1" t="s">
        <v>7</v>
      </c>
      <c r="AJ18" s="1"/>
      <c r="AK18" s="1"/>
    </row>
    <row r="19" spans="3:37" x14ac:dyDescent="0.3">
      <c r="C19" s="26">
        <f>CEILING((2*AH14),1)</f>
        <v>6</v>
      </c>
      <c r="D19" s="28">
        <f>CEILING((4*AH14),2)</f>
        <v>12</v>
      </c>
      <c r="E19" s="7">
        <f>2</f>
        <v>2</v>
      </c>
      <c r="F19" s="7">
        <f>CEILING((AH15-C19-E19)/(D19),1)</f>
        <v>5</v>
      </c>
      <c r="G19" s="7">
        <f>CEILING(((AH15-C19-E19)/F19),1)</f>
        <v>11</v>
      </c>
      <c r="H19" s="7">
        <f>CEILING(((P25-C19-((E19/2)+1))/G19),1)</f>
        <v>7</v>
      </c>
      <c r="M19" s="1"/>
      <c r="N19" s="1"/>
      <c r="O19" s="1"/>
      <c r="P19" s="1"/>
      <c r="AF19" s="1"/>
      <c r="AG19" s="71" t="s">
        <v>4</v>
      </c>
      <c r="AH19" s="1">
        <v>30</v>
      </c>
      <c r="AI19" s="1" t="s">
        <v>7</v>
      </c>
      <c r="AJ19" s="1"/>
      <c r="AK19" s="1"/>
    </row>
    <row r="20" spans="3:37" x14ac:dyDescent="0.3">
      <c r="C20" s="1"/>
      <c r="G20" s="1"/>
      <c r="P20" s="1"/>
      <c r="AE20" s="79" t="s">
        <v>105</v>
      </c>
      <c r="AF20" s="79"/>
      <c r="AG20" s="1">
        <f>((Q25/2)*(E19^4))/(30*C19*AH19*E25)</f>
        <v>1.0615346949541306E-2</v>
      </c>
      <c r="AH20" s="1"/>
      <c r="AI20" s="1"/>
      <c r="AJ20" s="1"/>
      <c r="AK20" s="3"/>
    </row>
    <row r="21" spans="3:37" x14ac:dyDescent="0.3">
      <c r="C21" s="1"/>
      <c r="D21" s="1"/>
      <c r="E21" s="1"/>
      <c r="F21" s="1"/>
      <c r="G21" s="1"/>
      <c r="P21" s="1"/>
      <c r="Q21" s="1"/>
      <c r="R21" s="1"/>
      <c r="S21" s="1"/>
      <c r="T21" s="1"/>
      <c r="U21" s="1"/>
      <c r="V21" s="1"/>
      <c r="W21" s="1"/>
      <c r="X21" s="3"/>
      <c r="AE21" s="79"/>
      <c r="AF21" s="79" t="s">
        <v>111</v>
      </c>
      <c r="AG21" s="1">
        <f>0.6*0.5*10*E25</f>
        <v>13.397793110131712</v>
      </c>
      <c r="AH21" s="1"/>
      <c r="AI21" s="1"/>
      <c r="AJ21" s="1"/>
      <c r="AK21" s="3"/>
    </row>
    <row r="22" spans="3:37" ht="15.6" thickBot="1" x14ac:dyDescent="0.35">
      <c r="C22" s="75"/>
      <c r="D22" s="76"/>
      <c r="E22" s="76"/>
      <c r="F22" s="76"/>
      <c r="G22" s="76"/>
      <c r="H22" s="76"/>
      <c r="I22" s="76"/>
      <c r="J22" s="76"/>
      <c r="K22" s="76"/>
      <c r="L22" s="77" t="s">
        <v>27</v>
      </c>
      <c r="M22" s="77"/>
      <c r="N22" s="77"/>
      <c r="O22" s="78"/>
      <c r="P22" s="14"/>
      <c r="Q22" s="14"/>
      <c r="R22" s="14"/>
      <c r="S22" s="3"/>
      <c r="T22" s="3"/>
      <c r="U22" s="3"/>
      <c r="V22" s="3"/>
      <c r="W22" s="3"/>
      <c r="X22" s="3"/>
    </row>
    <row r="23" spans="3:37" ht="16.2" x14ac:dyDescent="0.3">
      <c r="C23" s="113" t="s">
        <v>99</v>
      </c>
      <c r="D23" s="114"/>
      <c r="E23" s="21" t="s">
        <v>28</v>
      </c>
      <c r="F23" s="21"/>
      <c r="G23" s="21" t="s">
        <v>98</v>
      </c>
      <c r="H23" s="22" t="s">
        <v>29</v>
      </c>
      <c r="I23" s="22" t="s">
        <v>30</v>
      </c>
      <c r="J23" s="22" t="s">
        <v>31</v>
      </c>
      <c r="K23" s="22" t="s">
        <v>32</v>
      </c>
      <c r="L23" s="22" t="s">
        <v>33</v>
      </c>
      <c r="M23" s="22" t="s">
        <v>34</v>
      </c>
      <c r="N23" s="22" t="s">
        <v>35</v>
      </c>
      <c r="O23" s="22" t="s">
        <v>36</v>
      </c>
      <c r="P23" s="22" t="s">
        <v>103</v>
      </c>
      <c r="Q23" s="22" t="s">
        <v>104</v>
      </c>
      <c r="R23" s="22" t="s">
        <v>77</v>
      </c>
      <c r="S23" s="61"/>
      <c r="T23" s="61"/>
      <c r="U23" s="66"/>
      <c r="V23" s="61"/>
      <c r="W23" s="67"/>
      <c r="X23" s="46"/>
      <c r="AE23" s="3"/>
      <c r="AF23" t="s">
        <v>113</v>
      </c>
      <c r="AG23">
        <f>P25</f>
        <v>82</v>
      </c>
    </row>
    <row r="24" spans="3:37" ht="16.2" x14ac:dyDescent="0.3">
      <c r="C24" s="115"/>
      <c r="D24" s="116"/>
      <c r="E24" s="7" t="s">
        <v>25</v>
      </c>
      <c r="F24" s="7"/>
      <c r="G24" s="7" t="s">
        <v>97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s="7" t="s">
        <v>7</v>
      </c>
      <c r="O24" s="7" t="s">
        <v>7</v>
      </c>
      <c r="P24" s="7" t="s">
        <v>7</v>
      </c>
      <c r="Q24" s="7" t="s">
        <v>7</v>
      </c>
      <c r="R24" s="19" t="s">
        <v>7</v>
      </c>
      <c r="S24" s="1"/>
      <c r="T24" s="1"/>
      <c r="U24" s="1"/>
      <c r="V24" s="1"/>
      <c r="W24" s="1"/>
      <c r="X24" s="1"/>
      <c r="Y24" s="1"/>
      <c r="Z24" s="3"/>
      <c r="AE24" s="1"/>
    </row>
    <row r="25" spans="3:37" ht="14.4" customHeight="1" x14ac:dyDescent="0.3">
      <c r="C25" s="117"/>
      <c r="D25" s="118"/>
      <c r="E25" s="15">
        <f>0.78*PI()*AH14^2/4</f>
        <v>4.4659310367105709</v>
      </c>
      <c r="F25" s="10"/>
      <c r="G25" s="7">
        <f>CEILING(2*((I25^2)+(I25)^2+(J25^2)+(K25^2)+(L25^2)+(M25^2)+(N25^2)),1)</f>
        <v>26206</v>
      </c>
      <c r="H25" s="7">
        <f>N25+(6*G19)</f>
        <v>73</v>
      </c>
      <c r="I25" s="7">
        <f>N25+(5*G19)</f>
        <v>62</v>
      </c>
      <c r="J25" s="7">
        <f>N25+(4*G19)</f>
        <v>51</v>
      </c>
      <c r="K25" s="7">
        <f>N25+(3*G19)</f>
        <v>40</v>
      </c>
      <c r="L25" s="7">
        <f>N25+(2*G19)</f>
        <v>29</v>
      </c>
      <c r="M25" s="7">
        <f>N25+G19</f>
        <v>18</v>
      </c>
      <c r="N25" s="7">
        <f>CEILING(((AH16/2)+(G19/2)),1)</f>
        <v>7</v>
      </c>
      <c r="O25" s="7">
        <f>IF(F25&gt;8,((8.5*L1)-G25),0)</f>
        <v>0</v>
      </c>
      <c r="P25" s="28">
        <f>CEILING( (MAX((H25:O25))+C19+E19+(E19/2)),1)</f>
        <v>82</v>
      </c>
      <c r="Q25" s="28">
        <f>AH19+2</f>
        <v>32</v>
      </c>
      <c r="R25" s="28">
        <f>Q25-2*C19</f>
        <v>20</v>
      </c>
      <c r="S25" s="1"/>
      <c r="T25" s="1"/>
      <c r="U25" s="1"/>
      <c r="V25" s="1"/>
      <c r="W25" s="55"/>
      <c r="X25" s="1"/>
      <c r="Y25" s="1"/>
      <c r="Z25" s="1"/>
    </row>
    <row r="26" spans="3:37" ht="14.4" customHeight="1" x14ac:dyDescent="0.3">
      <c r="D26" s="64"/>
      <c r="E26" s="6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3:37" ht="15" customHeight="1" x14ac:dyDescent="0.3">
      <c r="D27" s="64"/>
      <c r="E27" s="64"/>
      <c r="F27" s="5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55"/>
      <c r="Y27" s="1"/>
      <c r="Z27" s="1"/>
    </row>
    <row r="29" spans="3:37" ht="15" thickBot="1" x14ac:dyDescent="0.35"/>
    <row r="30" spans="3:37" ht="14.4" customHeight="1" x14ac:dyDescent="0.3">
      <c r="C30" s="113" t="s">
        <v>37</v>
      </c>
      <c r="D30" s="130"/>
      <c r="E30" s="131"/>
      <c r="G30" s="102" t="s">
        <v>39</v>
      </c>
      <c r="H30" s="119"/>
      <c r="I30" s="120"/>
      <c r="K30" s="113" t="s">
        <v>37</v>
      </c>
      <c r="L30" s="130"/>
      <c r="M30" s="131"/>
      <c r="O30" s="113" t="s">
        <v>109</v>
      </c>
      <c r="P30" s="130"/>
      <c r="Q30" s="131"/>
    </row>
    <row r="31" spans="3:37" ht="14.4" customHeight="1" x14ac:dyDescent="0.3">
      <c r="C31" s="117"/>
      <c r="D31" s="132"/>
      <c r="E31" s="133"/>
      <c r="G31" s="121"/>
      <c r="H31" s="122"/>
      <c r="I31" s="123"/>
      <c r="K31" s="117"/>
      <c r="L31" s="132"/>
      <c r="M31" s="133"/>
      <c r="O31" s="117"/>
      <c r="P31" s="132"/>
      <c r="Q31" s="133"/>
    </row>
    <row r="32" spans="3:37" ht="16.2" x14ac:dyDescent="0.3">
      <c r="C32" s="128" t="s">
        <v>106</v>
      </c>
      <c r="D32" s="129"/>
      <c r="E32" s="25" t="s">
        <v>108</v>
      </c>
      <c r="G32" s="124" t="s">
        <v>40</v>
      </c>
      <c r="H32" s="5" t="s">
        <v>42</v>
      </c>
      <c r="I32" s="25" t="s">
        <v>41</v>
      </c>
      <c r="K32" s="128" t="s">
        <v>107</v>
      </c>
      <c r="L32" s="129"/>
      <c r="M32" s="25" t="s">
        <v>38</v>
      </c>
      <c r="O32" s="128" t="s">
        <v>110</v>
      </c>
      <c r="P32" s="129"/>
      <c r="Q32" s="25" t="s">
        <v>38</v>
      </c>
    </row>
    <row r="33" spans="3:27" x14ac:dyDescent="0.3">
      <c r="C33" s="26"/>
      <c r="D33" s="7" t="s">
        <v>14</v>
      </c>
      <c r="E33" s="27" t="s">
        <v>14</v>
      </c>
      <c r="G33" s="124"/>
      <c r="H33" s="7" t="s">
        <v>44</v>
      </c>
      <c r="I33" s="27" t="s">
        <v>43</v>
      </c>
      <c r="K33" s="26"/>
      <c r="L33" s="7" t="s">
        <v>14</v>
      </c>
      <c r="M33" s="27" t="s">
        <v>14</v>
      </c>
      <c r="O33" s="26"/>
      <c r="P33" s="7" t="s">
        <v>14</v>
      </c>
      <c r="Q33" s="27" t="s">
        <v>14</v>
      </c>
    </row>
    <row r="34" spans="3:27" ht="15" thickBot="1" x14ac:dyDescent="0.35">
      <c r="C34" s="69"/>
      <c r="D34" s="23">
        <f>((100*E4-G4*(AH15/2))/G25)*H25</f>
        <v>11.889033045867359</v>
      </c>
      <c r="E34" s="27">
        <f>0.7*0.8*10*E25</f>
        <v>25.009213805579197</v>
      </c>
      <c r="G34" s="124"/>
      <c r="H34" s="70">
        <f>((0.5-AG20)/(((3*C19)/(4*AH19))*(C19/4*AH19)+AG20))</f>
        <v>7.2387590172730956E-2</v>
      </c>
      <c r="I34" s="27">
        <f>0.7*0.8*10*E25</f>
        <v>25.009213805579197</v>
      </c>
      <c r="K34" s="69"/>
      <c r="L34" s="23">
        <f>((100*E4-G4*(AH15/2))/G25)*J25+(H34*(100*E4-G4*(AH15/2))/G25)*J25</f>
        <v>8.9072907722551342</v>
      </c>
      <c r="M34" s="27">
        <f>0.7*0.8*10*E25</f>
        <v>25.009213805579197</v>
      </c>
      <c r="O34" s="69"/>
      <c r="P34" s="23">
        <f>((H4/(2*F19))/AG21)^2+((D34+H34)/I34)^2</f>
        <v>0.24301405850427632</v>
      </c>
      <c r="Q34" s="27">
        <v>1</v>
      </c>
    </row>
    <row r="35" spans="3:27" ht="15" thickBot="1" x14ac:dyDescent="0.35">
      <c r="C35" s="65"/>
      <c r="D35" s="29" t="str">
        <f>IF(D34&lt;E34,"safe","un safe")</f>
        <v>safe</v>
      </c>
      <c r="E35" s="30" t="s">
        <v>15</v>
      </c>
      <c r="G35" s="125"/>
      <c r="H35" s="29" t="str">
        <f>IF(H34&lt;I34,"safe","un safe")</f>
        <v>safe</v>
      </c>
      <c r="I35" s="30" t="s">
        <v>15</v>
      </c>
      <c r="K35" s="65"/>
      <c r="L35" s="29" t="str">
        <f>IF(L34&lt;M34,"safe","un safe")</f>
        <v>safe</v>
      </c>
      <c r="M35" s="30" t="s">
        <v>15</v>
      </c>
      <c r="O35" s="65"/>
      <c r="P35" s="29" t="str">
        <f>IF(P34&lt;Q34,"safe","un safe")</f>
        <v>safe</v>
      </c>
      <c r="Q35" s="30" t="s">
        <v>15</v>
      </c>
    </row>
    <row r="36" spans="3:27" ht="14.4" customHeight="1" x14ac:dyDescent="0.3">
      <c r="E36" s="1"/>
      <c r="F36" s="64"/>
      <c r="G36" s="64"/>
      <c r="H36" s="64"/>
      <c r="I36" s="1"/>
      <c r="J36" s="64"/>
      <c r="K36" s="64"/>
      <c r="L36" s="64"/>
      <c r="M36" s="64"/>
      <c r="N36" s="64"/>
      <c r="O36" s="64"/>
      <c r="P36" s="64"/>
      <c r="Q36" s="64"/>
      <c r="R36" s="1"/>
      <c r="S36" s="64"/>
      <c r="T36" s="64"/>
      <c r="U36" s="1"/>
      <c r="V36" s="1"/>
      <c r="W36" s="1"/>
      <c r="X36" s="1"/>
      <c r="Y36" s="1"/>
      <c r="Z36" s="1"/>
    </row>
    <row r="37" spans="3:27" ht="14.4" customHeight="1" thickBot="1" x14ac:dyDescent="0.35">
      <c r="E37" s="1"/>
      <c r="F37" s="64"/>
      <c r="G37" s="64"/>
      <c r="H37" s="64"/>
      <c r="I37" s="1"/>
      <c r="J37" s="64"/>
      <c r="K37" s="64"/>
      <c r="L37" s="64"/>
      <c r="M37" s="64"/>
      <c r="N37" s="64"/>
      <c r="O37" s="64"/>
      <c r="P37" s="64"/>
      <c r="Q37" s="64"/>
      <c r="R37" s="1"/>
      <c r="S37" s="64"/>
      <c r="T37" s="64"/>
      <c r="U37" s="1"/>
      <c r="V37" s="1"/>
      <c r="W37" s="1"/>
      <c r="X37" s="1"/>
      <c r="Y37" s="1"/>
      <c r="Z37" s="1"/>
    </row>
    <row r="38" spans="3:27" ht="18" customHeight="1" thickBot="1" x14ac:dyDescent="0.35">
      <c r="C38" s="126"/>
      <c r="D38" s="127"/>
      <c r="E38" s="127"/>
      <c r="F38" s="127"/>
      <c r="G38" s="127"/>
      <c r="H38" s="127"/>
      <c r="I38" s="127"/>
      <c r="J38" s="127"/>
      <c r="K38" s="127"/>
      <c r="L38" s="134" t="s">
        <v>45</v>
      </c>
      <c r="M38" s="134"/>
      <c r="N38" s="134"/>
      <c r="O38" s="134"/>
      <c r="P38" s="127"/>
      <c r="Q38" s="127"/>
      <c r="R38" s="127"/>
      <c r="S38" s="127"/>
      <c r="T38" s="127"/>
      <c r="U38" s="127"/>
      <c r="V38" s="127"/>
      <c r="W38" s="127"/>
      <c r="X38" s="127"/>
      <c r="Y38" s="143"/>
      <c r="Z38" s="1"/>
    </row>
    <row r="39" spans="3:27" ht="16.8" customHeight="1" thickBot="1" x14ac:dyDescent="0.35">
      <c r="C39" s="102" t="s">
        <v>46</v>
      </c>
      <c r="D39" s="103"/>
      <c r="E39" s="21" t="s">
        <v>47</v>
      </c>
      <c r="F39" s="21" t="s">
        <v>48</v>
      </c>
      <c r="G39" s="21" t="s">
        <v>49</v>
      </c>
      <c r="H39" s="21" t="s">
        <v>50</v>
      </c>
      <c r="I39" s="21" t="s">
        <v>51</v>
      </c>
      <c r="J39" s="35" t="s">
        <v>52</v>
      </c>
      <c r="K39" s="36" t="s">
        <v>53</v>
      </c>
      <c r="L39" s="36" t="s">
        <v>54</v>
      </c>
      <c r="M39" s="36" t="s">
        <v>55</v>
      </c>
      <c r="N39" s="21" t="s">
        <v>56</v>
      </c>
      <c r="O39" s="21" t="s">
        <v>57</v>
      </c>
      <c r="P39" s="21" t="s">
        <v>58</v>
      </c>
      <c r="Q39" s="108" t="s">
        <v>59</v>
      </c>
      <c r="R39" s="108"/>
      <c r="S39" s="21" t="s">
        <v>60</v>
      </c>
      <c r="T39" s="21" t="s">
        <v>61</v>
      </c>
      <c r="U39" s="21" t="s">
        <v>62</v>
      </c>
      <c r="V39" s="21" t="s">
        <v>63</v>
      </c>
      <c r="W39" s="37" t="s">
        <v>64</v>
      </c>
      <c r="X39" s="80" t="s">
        <v>65</v>
      </c>
      <c r="Y39" s="81"/>
      <c r="Z39" s="1"/>
    </row>
    <row r="40" spans="3:27" ht="16.2" customHeight="1" thickBot="1" x14ac:dyDescent="0.35">
      <c r="C40" s="104"/>
      <c r="D40" s="105"/>
      <c r="E40" s="7" t="s">
        <v>15</v>
      </c>
      <c r="F40" s="7" t="s">
        <v>7</v>
      </c>
      <c r="G40" s="7" t="s">
        <v>7</v>
      </c>
      <c r="H40" s="7" t="s">
        <v>7</v>
      </c>
      <c r="I40" s="7" t="s">
        <v>14</v>
      </c>
      <c r="J40" s="7" t="s">
        <v>15</v>
      </c>
      <c r="K40" s="7" t="s">
        <v>7</v>
      </c>
      <c r="L40" s="7" t="s">
        <v>7</v>
      </c>
      <c r="M40" s="7" t="s">
        <v>7</v>
      </c>
      <c r="N40" s="7" t="s">
        <v>7</v>
      </c>
      <c r="O40" s="7" t="s">
        <v>16</v>
      </c>
      <c r="P40" s="18" t="s">
        <v>14</v>
      </c>
      <c r="Q40" s="109" t="str">
        <f>IF((J41*P41)&lt;I41,"un safe","safe")</f>
        <v>safe</v>
      </c>
      <c r="R40" s="141"/>
      <c r="S40" s="24" t="s">
        <v>25</v>
      </c>
      <c r="T40" s="7" t="s">
        <v>7</v>
      </c>
      <c r="U40" s="7" t="s">
        <v>7</v>
      </c>
      <c r="V40" s="7" t="s">
        <v>7</v>
      </c>
      <c r="W40" s="39" t="s">
        <v>66</v>
      </c>
      <c r="X40" s="68" t="s">
        <v>67</v>
      </c>
      <c r="Y40" s="33"/>
      <c r="Z40" s="3"/>
    </row>
    <row r="41" spans="3:27" ht="16.2" thickBot="1" x14ac:dyDescent="0.35">
      <c r="C41" s="106"/>
      <c r="D41" s="107"/>
      <c r="E41" s="41" t="s">
        <v>68</v>
      </c>
      <c r="F41" s="42">
        <v>80</v>
      </c>
      <c r="G41" s="20">
        <v>2</v>
      </c>
      <c r="H41" s="20">
        <f>F41-G41</f>
        <v>78</v>
      </c>
      <c r="I41" s="20">
        <f>(100*E4)/H41</f>
        <v>56.410256410256409</v>
      </c>
      <c r="J41" s="20">
        <v>0.95</v>
      </c>
      <c r="K41" s="20">
        <v>2</v>
      </c>
      <c r="L41" s="20">
        <f>1</f>
        <v>1</v>
      </c>
      <c r="M41" s="20">
        <f>2</f>
        <v>2</v>
      </c>
      <c r="N41" s="20">
        <f>IF(E41="built up",(K41*2),(2*K41))</f>
        <v>4</v>
      </c>
      <c r="O41" s="20">
        <f>3.6</f>
        <v>3.6</v>
      </c>
      <c r="P41" s="43">
        <f>(G41+(2*M41)+(5*N41))*L41*O41</f>
        <v>93.600000000000009</v>
      </c>
      <c r="Q41" s="111"/>
      <c r="R41" s="142"/>
      <c r="S41" s="44" t="str">
        <f>IF(Q40="un safe",(((AH18*AH19)-((AH18+(2*M41)+(5*N41))*L41))/2),"-")</f>
        <v>-</v>
      </c>
      <c r="T41" s="20" t="str">
        <f>IF(Q40="un safe",((AH17-AK16)/2),"-")</f>
        <v>-</v>
      </c>
      <c r="U41" s="20" t="str">
        <f>IF(Q40="un safe",(S41/T41),"-")</f>
        <v>-</v>
      </c>
      <c r="V41" s="20" t="b">
        <f>IF(U41&lt;G41,G41)</f>
        <v>0</v>
      </c>
      <c r="W41" s="45" t="str">
        <f>IF(Q40="un safe",(IF(((T41+(L41/2))&lt;(AH18/3)),"un safe","safe")),"-")</f>
        <v>-</v>
      </c>
      <c r="X41" s="82" t="str">
        <f>IF(Q40="un safe",(IF(((V41)&lt;(G41/2)),"un safe","safe")),"-")</f>
        <v>-</v>
      </c>
      <c r="Y41" s="33"/>
      <c r="Z41" s="3"/>
    </row>
    <row r="42" spans="3:27" ht="18" customHeight="1" thickBot="1" x14ac:dyDescent="0.35"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  <c r="Z42" s="3"/>
    </row>
    <row r="43" spans="3:27" ht="16.8" customHeight="1" thickBot="1" x14ac:dyDescent="0.35">
      <c r="C43" s="102" t="s">
        <v>69</v>
      </c>
      <c r="D43" s="103"/>
      <c r="E43" s="36" t="s">
        <v>53</v>
      </c>
      <c r="F43" s="21" t="s">
        <v>70</v>
      </c>
      <c r="G43" s="21" t="s">
        <v>48</v>
      </c>
      <c r="H43" s="21" t="s">
        <v>49</v>
      </c>
      <c r="I43" s="21" t="s">
        <v>50</v>
      </c>
      <c r="J43" s="21" t="s">
        <v>71</v>
      </c>
      <c r="K43" s="35" t="s">
        <v>52</v>
      </c>
      <c r="L43" s="21" t="s">
        <v>72</v>
      </c>
      <c r="M43" s="21" t="s">
        <v>58</v>
      </c>
      <c r="N43" s="108" t="s">
        <v>73</v>
      </c>
      <c r="O43" s="108"/>
      <c r="P43" s="21" t="s">
        <v>60</v>
      </c>
      <c r="Q43" s="21" t="s">
        <v>61</v>
      </c>
      <c r="R43" s="21" t="s">
        <v>62</v>
      </c>
      <c r="S43" s="21" t="s">
        <v>63</v>
      </c>
      <c r="T43" s="37" t="s">
        <v>64</v>
      </c>
      <c r="U43" s="38" t="s">
        <v>65</v>
      </c>
      <c r="V43" s="1"/>
      <c r="W43" s="3"/>
      <c r="X43" s="3"/>
      <c r="Y43" s="4"/>
      <c r="Z43" s="3"/>
      <c r="AA43" s="3"/>
    </row>
    <row r="44" spans="3:27" ht="16.8" customHeight="1" thickBot="1" x14ac:dyDescent="0.35">
      <c r="C44" s="104"/>
      <c r="D44" s="105"/>
      <c r="E44" s="7" t="s">
        <v>7</v>
      </c>
      <c r="F44" s="7" t="s">
        <v>16</v>
      </c>
      <c r="G44" s="7" t="s">
        <v>7</v>
      </c>
      <c r="H44" s="7" t="s">
        <v>7</v>
      </c>
      <c r="I44" s="7" t="s">
        <v>7</v>
      </c>
      <c r="J44" s="7" t="s">
        <v>14</v>
      </c>
      <c r="K44" s="7" t="s">
        <v>15</v>
      </c>
      <c r="L44" s="7" t="s">
        <v>7</v>
      </c>
      <c r="M44" s="18" t="s">
        <v>14</v>
      </c>
      <c r="N44" s="109" t="str">
        <f>IF((K45*M45)&lt;J45,"un safe","safe")</f>
        <v>safe</v>
      </c>
      <c r="O44" s="141"/>
      <c r="P44" s="24" t="s">
        <v>25</v>
      </c>
      <c r="Q44" s="7" t="s">
        <v>7</v>
      </c>
      <c r="R44" s="7" t="s">
        <v>7</v>
      </c>
      <c r="S44" s="19" t="s">
        <v>7</v>
      </c>
      <c r="T44" s="39" t="s">
        <v>66</v>
      </c>
      <c r="U44" s="40" t="s">
        <v>67</v>
      </c>
      <c r="V44" s="1"/>
      <c r="W44" s="3"/>
      <c r="X44" s="3"/>
      <c r="Y44" s="4"/>
      <c r="Z44" s="46"/>
      <c r="AA44" s="1"/>
    </row>
    <row r="45" spans="3:27" ht="14.4" customHeight="1" thickBot="1" x14ac:dyDescent="0.35">
      <c r="C45" s="106"/>
      <c r="D45" s="107"/>
      <c r="E45" s="20">
        <v>2</v>
      </c>
      <c r="F45" s="20">
        <v>3.6</v>
      </c>
      <c r="G45" s="42">
        <f>90</f>
        <v>90</v>
      </c>
      <c r="H45" s="20">
        <v>2</v>
      </c>
      <c r="I45" s="20">
        <f>G45-H45</f>
        <v>88</v>
      </c>
      <c r="J45" s="20">
        <f>(100*E4)/I45</f>
        <v>50</v>
      </c>
      <c r="K45" s="20">
        <v>0.85</v>
      </c>
      <c r="L45" s="20">
        <f>AH18</f>
        <v>2</v>
      </c>
      <c r="M45" s="43">
        <f>6.25*F45*(L45^2)</f>
        <v>90</v>
      </c>
      <c r="N45" s="111"/>
      <c r="O45" s="142"/>
      <c r="P45" s="49" t="str">
        <f>IF(N44="un safe",((J45-(K45*M45))/(2*F45)),"-")</f>
        <v>-</v>
      </c>
      <c r="Q45" s="20" t="str">
        <f>IF(N44="un safe",((AH17-AH18)/2),"-")</f>
        <v>-</v>
      </c>
      <c r="R45" s="20" t="str">
        <f>IF(N44="un safe",(P45/Q45),"-")</f>
        <v>-</v>
      </c>
      <c r="S45" s="20" t="b">
        <f>IF(U41&lt;G41,G41)</f>
        <v>0</v>
      </c>
      <c r="T45" s="45" t="str">
        <f>IF(N44="un safe",(IF(((Q45+(AH17/2))&lt;(AH19/3)),"un safe","safe")),"-")</f>
        <v>-</v>
      </c>
      <c r="U45" s="31" t="str">
        <f>IF(N44="un safe",(IF(((S45)&lt;(H45/2)),"un safe","safe")),"-")</f>
        <v>-</v>
      </c>
      <c r="V45" s="46"/>
      <c r="W45" s="3"/>
      <c r="X45" s="3"/>
      <c r="Y45" s="4"/>
      <c r="Z45" s="1"/>
      <c r="AA45" s="1"/>
    </row>
    <row r="46" spans="3:27" ht="14.4" customHeight="1" thickBot="1" x14ac:dyDescent="0.35"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  <c r="Z46" s="1"/>
      <c r="AA46" s="1"/>
    </row>
    <row r="47" spans="3:27" ht="16.8" thickBot="1" x14ac:dyDescent="0.35">
      <c r="C47" s="102" t="s">
        <v>74</v>
      </c>
      <c r="D47" s="103"/>
      <c r="E47" s="36" t="s">
        <v>54</v>
      </c>
      <c r="F47" s="21" t="s">
        <v>75</v>
      </c>
      <c r="G47" s="21" t="s">
        <v>57</v>
      </c>
      <c r="H47" s="21" t="s">
        <v>48</v>
      </c>
      <c r="I47" s="21" t="s">
        <v>49</v>
      </c>
      <c r="J47" s="21" t="s">
        <v>50</v>
      </c>
      <c r="K47" s="21" t="s">
        <v>78</v>
      </c>
      <c r="L47" s="21" t="s">
        <v>79</v>
      </c>
      <c r="M47" s="108" t="s">
        <v>81</v>
      </c>
      <c r="N47" s="108"/>
      <c r="O47" s="21"/>
      <c r="P47" s="38" t="s">
        <v>80</v>
      </c>
      <c r="Q47" s="46"/>
      <c r="R47" s="46"/>
      <c r="S47" s="46"/>
      <c r="T47" s="46"/>
      <c r="U47" s="3"/>
      <c r="V47" s="3"/>
      <c r="W47" s="3"/>
      <c r="X47" s="3"/>
      <c r="Y47" s="4"/>
    </row>
    <row r="48" spans="3:27" ht="16.2" x14ac:dyDescent="0.3">
      <c r="C48" s="104"/>
      <c r="D48" s="105"/>
      <c r="E48" s="7" t="s">
        <v>7</v>
      </c>
      <c r="F48" s="7" t="s">
        <v>7</v>
      </c>
      <c r="G48" s="7" t="s">
        <v>16</v>
      </c>
      <c r="H48" s="7" t="s">
        <v>7</v>
      </c>
      <c r="I48" s="7" t="s">
        <v>7</v>
      </c>
      <c r="J48" s="7" t="s">
        <v>7</v>
      </c>
      <c r="K48" s="7" t="s">
        <v>14</v>
      </c>
      <c r="L48" s="18" t="s">
        <v>14</v>
      </c>
      <c r="M48" s="109" t="str">
        <f>IF(L49&lt;K49,"un safe","safe")</f>
        <v>safe</v>
      </c>
      <c r="N48" s="110"/>
      <c r="O48" s="7"/>
      <c r="P48" s="40" t="s">
        <v>7</v>
      </c>
      <c r="Q48" s="1"/>
      <c r="R48" s="1"/>
      <c r="S48" s="1"/>
      <c r="T48" s="1"/>
      <c r="U48" s="3"/>
      <c r="V48" s="3"/>
      <c r="W48" s="3"/>
      <c r="X48" s="3"/>
      <c r="Y48" s="4"/>
    </row>
    <row r="49" spans="3:25" ht="16.2" thickBot="1" x14ac:dyDescent="0.35">
      <c r="C49" s="106"/>
      <c r="D49" s="107"/>
      <c r="E49" s="20">
        <f>AK16</f>
        <v>1</v>
      </c>
      <c r="F49" s="42">
        <f>AH15</f>
        <v>60</v>
      </c>
      <c r="G49" s="20">
        <v>3.6</v>
      </c>
      <c r="H49" s="42">
        <f>AH15</f>
        <v>60</v>
      </c>
      <c r="I49" s="20">
        <f>AH18</f>
        <v>2</v>
      </c>
      <c r="J49" s="20">
        <f>H49-I49</f>
        <v>58</v>
      </c>
      <c r="K49" s="20">
        <f>100*E4/J49</f>
        <v>75.862068965517238</v>
      </c>
      <c r="L49" s="43">
        <f>0.7*0.363*(AK16+P49)^2*(1+3*((AH18/AH15)*((AK16+P49)/(AH16))^1.5))*((2100*G49*AH16)/(AK16+P49))^0.5</f>
        <v>192.18009080442073</v>
      </c>
      <c r="M49" s="111"/>
      <c r="N49" s="112"/>
      <c r="O49" s="42"/>
      <c r="P49" s="48">
        <v>2</v>
      </c>
      <c r="Q49" s="13"/>
      <c r="R49" s="13"/>
      <c r="S49" s="47"/>
      <c r="T49" s="13"/>
      <c r="U49" s="13"/>
      <c r="V49" s="32"/>
      <c r="W49" s="32"/>
      <c r="X49" s="32"/>
      <c r="Y49" s="34"/>
    </row>
  </sheetData>
  <mergeCells count="29">
    <mergeCell ref="C15:H16"/>
    <mergeCell ref="C43:D45"/>
    <mergeCell ref="N43:O43"/>
    <mergeCell ref="N44:O45"/>
    <mergeCell ref="P38:Y38"/>
    <mergeCell ref="Q39:R39"/>
    <mergeCell ref="Q40:R41"/>
    <mergeCell ref="C47:D49"/>
    <mergeCell ref="M47:N47"/>
    <mergeCell ref="M48:N49"/>
    <mergeCell ref="C23:D25"/>
    <mergeCell ref="G30:I31"/>
    <mergeCell ref="G32:G35"/>
    <mergeCell ref="C38:K38"/>
    <mergeCell ref="C32:D32"/>
    <mergeCell ref="K30:M31"/>
    <mergeCell ref="K32:L32"/>
    <mergeCell ref="L38:O38"/>
    <mergeCell ref="C39:D41"/>
    <mergeCell ref="O30:Q31"/>
    <mergeCell ref="O32:P32"/>
    <mergeCell ref="C30:E31"/>
    <mergeCell ref="C2:D4"/>
    <mergeCell ref="R5:S5"/>
    <mergeCell ref="C5:K5"/>
    <mergeCell ref="L5:O5"/>
    <mergeCell ref="C6:D8"/>
    <mergeCell ref="N6:O9"/>
    <mergeCell ref="P2:Q2"/>
  </mergeCells>
  <phoneticPr fontId="28" type="noConversion"/>
  <dataValidations disablePrompts="1" count="2">
    <dataValidation type="list" allowBlank="1" showInputMessage="1" showErrorMessage="1" sqref="G27 F25" xr:uid="{D8A37A6D-CADC-496C-9845-0D05E98A1A3A}">
      <formula1>$B$172:$B$185</formula1>
    </dataValidation>
    <dataValidation type="list" allowBlank="1" showInputMessage="1" showErrorMessage="1" sqref="E41" xr:uid="{E92F1CC9-3186-4DB9-8DEF-2D8B8CA952E7}">
      <formula1>$B$121:$B$122</formula1>
    </dataValidation>
  </dataValidations>
  <pageMargins left="0.7" right="0.7" top="0.75" bottom="0.75" header="0.3" footer="0.3"/>
  <pageSetup paperSize="12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FLUSHED-EXTENDED CONN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2023-01-27T12:52:57Z</dcterms:modified>
</cp:coreProperties>
</file>