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95" tabRatio="545" firstSheet="8" activeTab="8"/>
  </bookViews>
  <sheets>
    <sheet name="Азизова М." sheetId="4" state="hidden" r:id="rId1"/>
    <sheet name="Фаридуни Х." sheetId="10" state="hidden" r:id="rId2"/>
    <sheet name="Ачилов Б." sheetId="6" state="hidden" r:id="rId3"/>
    <sheet name="Каюмов З." sheetId="9" state="hidden" r:id="rId4"/>
    <sheet name="Намуна" sheetId="12" state="hidden" r:id="rId5"/>
    <sheet name="Намуна (2) тичорати универсали" sheetId="14" state="hidden" r:id="rId6"/>
    <sheet name="Намуна (2) истеъмоли" sheetId="15" state="hidden" r:id="rId7"/>
    <sheet name="Ёрмадзода П.  К." sheetId="17" state="hidden" r:id="rId8"/>
    <sheet name="Карточники" sheetId="52" r:id="rId9"/>
    <sheet name="Холикзода Аминчон1" sheetId="42" state="hidden" r:id="rId10"/>
    <sheet name="Исломов Мехроч1" sheetId="43" state="hidden" r:id="rId11"/>
  </sheets>
  <definedNames>
    <definedName name="_xlnm.Print_Area" localSheetId="0">'Азизова М.'!$A$1:$G$53</definedName>
    <definedName name="_xlnm.Print_Area" localSheetId="2">'Ачилов Б.'!$A$1:$G$58</definedName>
    <definedName name="_xlnm.Print_Area" localSheetId="7">'Ёрмадзода П.  К.'!$A$1:$G$59</definedName>
    <definedName name="_xlnm.Print_Area" localSheetId="10">'Исломов Мехроч1'!$A$1:$G$54</definedName>
    <definedName name="_xlnm.Print_Area" localSheetId="3">'Каюмов З.'!$A$1:$G$56</definedName>
    <definedName name="_xlnm.Print_Area" localSheetId="4">Намуна!$A$1:$G$23</definedName>
    <definedName name="_xlnm.Print_Area" localSheetId="6">'Намуна (2) истеъмоли'!$A$1:$H$27</definedName>
    <definedName name="_xlnm.Print_Area" localSheetId="5">'Намуна (2) тичорати универсали'!$A$1:$H$27</definedName>
    <definedName name="_xlnm.Print_Area" localSheetId="1">'Фаридуни Х.'!$A$1:$G$54</definedName>
    <definedName name="_xlnm.Print_Area" localSheetId="9">'Холикзода Аминчон1'!$A$1:$G$54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<sst xmlns="http://schemas.openxmlformats.org/spreadsheetml/2006/main" count="596" uniqueCount="186">
  <si>
    <t xml:space="preserve">                                             ҶСП “БОНКИ БАЙНАЛМИЛАЛИИ ТОҶИКИСТОН” </t>
  </si>
  <si>
    <t>Асъори ҳисоб - сомонӣ</t>
  </si>
  <si>
    <t>ТАРТИБИ ҲИСОБИ ПАРДОХТИ МУКОФОТПУЛӢ</t>
  </si>
  <si>
    <t>БАРОИ КОРШИНОСОНИ ҚАРЗИЕ, КИ ҚАРЗҲОИ ИСТЕЪМОЛӢ ПЕШНИҲОД МЕНАМОЯНД</t>
  </si>
  <si>
    <t>Филиали бонк дар ш.Хуҷанд</t>
  </si>
  <si>
    <t>(номгӯи сохтори амалиётии бонк)</t>
  </si>
  <si>
    <t xml:space="preserve">Давраи ҳисоботӣ    </t>
  </si>
  <si>
    <t>МАЪЛУМОТ ОИДИ КОРШИНОСӢ ҚАРЗӢ</t>
  </si>
  <si>
    <t xml:space="preserve">Ному насаби мутахассиси қарзӣ    </t>
  </si>
  <si>
    <t>Азизова Муяссар Файзуллоевна</t>
  </si>
  <si>
    <t xml:space="preserve">Вазифаи ишғолнамуда    </t>
  </si>
  <si>
    <t>коршиноси карзии хурд</t>
  </si>
  <si>
    <t xml:space="preserve">Таҷрибаи корӣ    </t>
  </si>
  <si>
    <t xml:space="preserve">моҳ    </t>
  </si>
  <si>
    <t xml:space="preserve">Маоши вазифавии корманд (сомонӣ)    </t>
  </si>
  <si>
    <t>№</t>
  </si>
  <si>
    <t>Маълумот оид ба иҷроиши нақша дар моҳи ҳисоботӣ</t>
  </si>
  <si>
    <t>Миқдор</t>
  </si>
  <si>
    <t>Маблағ</t>
  </si>
  <si>
    <t>Нақша</t>
  </si>
  <si>
    <t>Иҷроиш</t>
  </si>
  <si>
    <t>%-и иҷроиш</t>
  </si>
  <si>
    <t>ҲАВАСМАНДӢ</t>
  </si>
  <si>
    <t>Нишондиҳандаҳои давраи ҳисоботӣ</t>
  </si>
  <si>
    <t>Маълумот</t>
  </si>
  <si>
    <t>Нишондиҳанда</t>
  </si>
  <si>
    <t>Маблағи ҳавасмандӣ</t>
  </si>
  <si>
    <t>Миқдори қарзҳои пешниҳодшуда (бо сомонӣ - барои як қарз)</t>
  </si>
  <si>
    <t>Даромади фоизии гирифташуда дар моҳи ҳисоботи 
(аз ҳаҷми даромади фоизии воқеӣ гирифташуда)</t>
  </si>
  <si>
    <t>ҲАМАГӢ:</t>
  </si>
  <si>
    <t>ҶАРИМА</t>
  </si>
  <si>
    <t>Маблағи ҷарима</t>
  </si>
  <si>
    <t>Миқдори қарзҳои батаъхирафтода  - аз 8 то 30 рӯз (барои як қарз)</t>
  </si>
  <si>
    <t>Миқдори қарзҳои батаъхирафтода  - зиёда аз 30 рӯз (барои як қарз)</t>
  </si>
  <si>
    <t>Бақияи маблағи қарзҳои батаъхирафтода дар сандуқи қарзӣ</t>
  </si>
  <si>
    <t>Миқдори камбудиҳои ошкоргардида</t>
  </si>
  <si>
    <t>КОЭФФИТСИЕНТИ ФАЪОЛНОКИИ МЕҲНАТ (КФМ)</t>
  </si>
  <si>
    <t>МАБЛАҒИ ҲАВАСМАНДИИ ҲИСОБШУДА</t>
  </si>
  <si>
    <t>Имзои роҳбар___________________</t>
  </si>
  <si>
    <t>Имзои корманд__________________</t>
  </si>
  <si>
    <t xml:space="preserve">     Барои коршиноси қарзие, ки иҷроиши нақшаи пешниҳоди қарзро дар моҳи ҳисоботӣ аз руи миқдор ва маблағ камтар аз 70% таъмин намудааст, маблағи мукофотӣ-бонусӣ ҳисоб карда намешавад. </t>
  </si>
  <si>
    <t>БАРОИ КОРШИНОСОНИ ҚАРЗИЕ, КИ ҚАРЗҲОИ ТИҶОРАТӢ ВА ИСТЕЪМОЛӢ ПЕШНИҲОД МЕНАМОЯНД</t>
  </si>
  <si>
    <t>Фаридуни Хуршеди Саъдуллозода</t>
  </si>
  <si>
    <t>коршиноси карзии калон</t>
  </si>
  <si>
    <t>Миқдори кафолатҳои пешниҳодшуда (барои як кафолат)</t>
  </si>
  <si>
    <t>Маркази хизматрасонии бонкии № 2 дар н.Турсунзода</t>
  </si>
  <si>
    <t>Ачилов Бахром Икрамович</t>
  </si>
  <si>
    <t>Маълумот оид ба иҷроиши нақшаи пешниҳоди қарз 
дар моҳи ҳисоботӣ</t>
  </si>
  <si>
    <t>Меъёри миёнаи фоизи иҷроиш</t>
  </si>
  <si>
    <t>Миқдори қарзҳои пешниҳодшудаи нав (бо сомонӣ - барои як қарз)</t>
  </si>
  <si>
    <t>Миқдори қарзҳои пешниҳодшудаи такрорӣ (бо сомонӣ - барои як қарз)</t>
  </si>
  <si>
    <t>Бақияи шумораи мизоҷони сандуқи қарзӣ</t>
  </si>
  <si>
    <t>Ҳаҷми ФПТИ - и барқароршуда</t>
  </si>
  <si>
    <t xml:space="preserve">Ҳаҷми маблағҳои пешниҳодшуда </t>
  </si>
  <si>
    <t>Бақияи маблағи қарзҳои батаъхирафтода, аз руи ҷадвали пардохт</t>
  </si>
  <si>
    <t xml:space="preserve">     Барои коршиноси қарзие, ки иҷроиши нақшаи пешниҳоди қарзро дар моҳи ҳисоботӣ аз руи миқдор ва маблағ мутобиқи меъёри миёнаи фоизи иҷроиш камтар аз 70% таъмин намудааст, маблағи мукофотӣ-бонусӣ ҳисоб карда намешавад. </t>
  </si>
  <si>
    <t xml:space="preserve">     Барои коршиноси қарзие, ки иҷроиши нақшаи қарзиро дар моҳи ҳисоботӣ аз руи миқдор ва маблағ барзиёд таъмин намудааст ва меъёри маблағи ҳавасмандӣ аз ду маоши вазифавӣ зиёд шудааст,  маблағи мукофотӣ-бонусӣ на зиёда аз ду ҳаҷми музди маош ҳисоб карда мешавад. </t>
  </si>
  <si>
    <t>БАРОИ КОРШИНОСОНИ ҚАРЗИЕ, КИ ҚАРЗҲОИ ТИҶОРАТӢ ПЕШНИҲОД МЕНАМОЯНД</t>
  </si>
  <si>
    <t>Каюмов Зафарчон Равшанович</t>
  </si>
  <si>
    <t>Бақияи сандуқи қарзӣ дар охири моҳи ҳисоботӣ</t>
  </si>
  <si>
    <t>Бақияи маблағи қарзҳои батаъхирафтода зиёда аз 30 рӯз дар сандуқи қарзӣ
дар охири моҳи ҳисоботӣ</t>
  </si>
  <si>
    <t xml:space="preserve">     Барои коршиноси қарзие, ки иҷроиши нақшаи қарзиро дар моҳи ҳисоботӣ аз руи миқдор ва маблағ барзиёд таъмин намудааст,  маблағи мукофотӣ-бонусӣ на зиёда аз 1.5 музди маош ҳисоб карда мешавад. </t>
  </si>
  <si>
    <t>Маблағи музди маоши кормандон</t>
  </si>
  <si>
    <t>Маблағи мукофотпулии моҳона</t>
  </si>
  <si>
    <t>Маблағи мукофотпули аз руи амалкунанда</t>
  </si>
  <si>
    <t>Абдусамадзода Валичон</t>
  </si>
  <si>
    <t>Ахмадова Махваш</t>
  </si>
  <si>
    <t>Ашуров Исмоил</t>
  </si>
  <si>
    <t xml:space="preserve">Ашуров Кароматулло </t>
  </si>
  <si>
    <t>Гуломкодиров Далер</t>
  </si>
  <si>
    <t>Каюмов Зафар</t>
  </si>
  <si>
    <t>Кодиров Саидчон</t>
  </si>
  <si>
    <t>Курбанов Акбар</t>
  </si>
  <si>
    <t>Салимов Кобил</t>
  </si>
  <si>
    <t>Самадзода Фаридун</t>
  </si>
  <si>
    <t>Солихов Шоназар</t>
  </si>
  <si>
    <t>Ульфатов Ульфат</t>
  </si>
  <si>
    <t>Хайдаров Азизчон Каримович</t>
  </si>
  <si>
    <t>Хакимов Бузургмехр</t>
  </si>
  <si>
    <t>Шарифзода Чалолиддин</t>
  </si>
  <si>
    <t>Шарифов Шамсулло</t>
  </si>
  <si>
    <t>Шералиев Умедчон</t>
  </si>
  <si>
    <t>Бобоназаров Диловар Гуломович</t>
  </si>
  <si>
    <t>Садуллаев Мансур Ахлидинович</t>
  </si>
  <si>
    <t>Холов Ахмадчон Рахматович</t>
  </si>
  <si>
    <t>Маълумот оид ба иҷроиши нақша
 дар моҳи ҳисоботӣ</t>
  </si>
  <si>
    <t>Натиҷаи ҳавасмандӣ</t>
  </si>
  <si>
    <t>Миқдори қарзҳои пешниҳодшуда (барои як қарз)</t>
  </si>
  <si>
    <t>истеъмолӣ</t>
  </si>
  <si>
    <t>тиҷоратӣ</t>
  </si>
  <si>
    <t>Натиҷаи ҷарима</t>
  </si>
  <si>
    <t>Миқдори риоя накардани интизоми меҳнат</t>
  </si>
  <si>
    <t>Истеъмолӣ</t>
  </si>
  <si>
    <t>Тиҷоратӣ</t>
  </si>
  <si>
    <t>Чалолов Беҳруз</t>
  </si>
  <si>
    <t>Фаридуни Хуршед</t>
  </si>
  <si>
    <t>Филиали бонк дар ш.Кулоб</t>
  </si>
  <si>
    <t>31 августи 2021с.</t>
  </si>
  <si>
    <t xml:space="preserve">        </t>
  </si>
  <si>
    <t>Ёрмадзода Парвиз Курбомад</t>
  </si>
  <si>
    <t>Коршиноси карзии калон</t>
  </si>
  <si>
    <t>Иҷроиш (қарз)</t>
  </si>
  <si>
    <t>овердрафт</t>
  </si>
  <si>
    <t>"инсоф"</t>
  </si>
  <si>
    <t>"инсоф плюс"</t>
  </si>
  <si>
    <t>Даромади фоизӣ ва ҳаққи хизмати гирифташуда дар моҳи ҳисоботи 
(аз ҳаҷми даромади фоизии воқеӣ гирифташуда)</t>
  </si>
  <si>
    <t>Коеффитсиенти фаъолнокии меҳнат</t>
  </si>
  <si>
    <t xml:space="preserve">     Барои коршиноси қарзие, ки иҷроиши нақшаи қарзиро дар моҳи ҳисоботӣ аз руи миқдор ва маблағ барзиёд таъмин    намудааст,  маблағи мукофотӣ-бонусӣ на зиёда аз 1.5 музди маош ҳисоб карда мешавад. </t>
  </si>
  <si>
    <t>Имзои роҳбари сохтори амалиётӣ  ___________________</t>
  </si>
  <si>
    <t>Имзои коршиноси қарзӣ    __________________</t>
  </si>
  <si>
    <t>Замима ба «ТАРТИБИ
« «НАКША» ВА «ЗАРИБИ (КОЭФИЦИЕНТИ)  ФАЪОЛИЯТИ МЕХНАТИ» ДАР ҶСП «АКТИВ БОНК»»дар асоси 
 қарори Раёсати бонк таҳти № 06 аз "16" июни соли 2023</t>
  </si>
  <si>
    <t xml:space="preserve">ҶСП “АКТИВ БОНК” </t>
  </si>
  <si>
    <t>ТАРТИБИ ҲИСОБИ МУКОФОТ-БОНУС БАРОИ САМТИ ХИЗМАТРАСОНИИ КОРТҲОИ ПАРДОХТӢ</t>
  </si>
  <si>
    <t>Мудирияти амалиёти</t>
  </si>
  <si>
    <t>МАЪЛУМОТ ОИДИ КОРМАНД</t>
  </si>
  <si>
    <t>Ному насаби корманд</t>
  </si>
  <si>
    <t>Сафина Карина</t>
  </si>
  <si>
    <t>Бонкири пешбар дараҷаи - 3</t>
  </si>
  <si>
    <t>Маоши вазифавии корманд</t>
  </si>
  <si>
    <t xml:space="preserve">Бонус </t>
  </si>
  <si>
    <t>Ҳамаги маош ва мукофот-бонус</t>
  </si>
  <si>
    <t>НАҚША</t>
  </si>
  <si>
    <t>Нақшаи иҷрои фурӯш      (бо сомонӣ)</t>
  </si>
  <si>
    <t>Иҷрои нақшаи  фурӯш (бо сомонӣ)</t>
  </si>
  <si>
    <t>Фоизи иҷроиш</t>
  </si>
  <si>
    <t>Нақшаи гирифтани мукофот-бонус дар моҳи ҳисоботӣ ва иҷрои он(бо сомонӣ)</t>
  </si>
  <si>
    <t>ИҶРОИШ ВОБАСТА БА ФУРӮШ</t>
  </si>
  <si>
    <t>иҷрои нақша  (адад)</t>
  </si>
  <si>
    <t>маблағи ҳавасмандӣ барои ҳар як адади иҷро</t>
  </si>
  <si>
    <t xml:space="preserve">Ҳамагӣ маблағи ҳавасмандӣ </t>
  </si>
  <si>
    <t>Ҷалби лоиҳаи музди меҳнатдар моҳи ҳисоботӣ</t>
  </si>
  <si>
    <t>Миқдори пайвасткунӣ ба замимаи мобилӣ дар моҳи ҳисоботӣ</t>
  </si>
  <si>
    <t>Овердрафти иҷозатдодашуда</t>
  </si>
  <si>
    <t>Миқдори кортҳои баровардашуда дар моҳи ҳисоботӣ-аз он ҷумла</t>
  </si>
  <si>
    <t>VISA/МС</t>
  </si>
  <si>
    <t>Корти миллӣ</t>
  </si>
  <si>
    <t>VISA/MC премиум</t>
  </si>
  <si>
    <t>VISA/MC Business</t>
  </si>
  <si>
    <t>ҶАМЪ</t>
  </si>
  <si>
    <t>НИШОНДИҲАНДАИ ФАЪОЛНОКИИ КОРТ</t>
  </si>
  <si>
    <t>Гардиши суратҳисоби кортҳои пардохтӣ дар моҳи ҳисоботӣ (хароҷот бо сомонӣ)</t>
  </si>
  <si>
    <t>Бақияи маблағи умумии кортҳо дар охири моҳи ҳисоботӣ (бо сомонӣ)</t>
  </si>
  <si>
    <t>Миқдори кортҳои фаъол дар моҳи ҳисоботӣ</t>
  </si>
  <si>
    <t>СИФАТИ ХИЗМАТРАСОНӢ ВА САТҲИ ДОНИШ</t>
  </si>
  <si>
    <t>иҷрои нақша</t>
  </si>
  <si>
    <t>Нархномаи миёнаи хизматрасонӣ(тавассути маркази тамос муайян к/м)</t>
  </si>
  <si>
    <t>аз -30% то +20%</t>
  </si>
  <si>
    <t xml:space="preserve">Вайрон кардани интизоми меҳнат, шикояти асоснок ва роҳ додан ба камбудӣ </t>
  </si>
  <si>
    <t>-10% барои ҳар як ҳолат</t>
  </si>
  <si>
    <t>Санҷиши ҳармоҳа(аз натиҷаи саволнома баҳогузорӣ к/м)</t>
  </si>
  <si>
    <t>аз -10% то +15%</t>
  </si>
  <si>
    <t>Ҳамагӣ маблағи мукофот-бонус</t>
  </si>
  <si>
    <t>* Ҳангоми аз 50% камтар иҷро кардани нақшаи гузошташуда дар моҳи ҳисоботӣ мукофот-бонус ҳисоб карда намешавад</t>
  </si>
  <si>
    <t>* Нархномаи миёнаи хизматрасонӣ: ҳангоми гирифтани хол аз 0 то 1 (-30%), аз 2 то 3 (-20%), аз 3 то 5 (-10%), аз 5 то 7 (0), аз  7 то 9 (+10%), аз 9 то 10 (+20%) ба мукофот-бонус ҷамъ ё тарҳ карда мешавад</t>
  </si>
  <si>
    <t>*Санҷиши ҳармоха: ҳангоми гузаштани санҷиш ва гирифтани хол аз 0 то 2 (-10%), аз 2,1 то 4 (-5%), аз 4,1 то 6 (0), аз 6,1 то 8 (+5%), аз 8,1 то 9 (+10%) ва зиёда аз 9,1 (+15%)ба мукофот-бонус ҷамъ ё тарҳ карда мешавад (дар портали махсус гузаронида мешавад)</t>
  </si>
  <si>
    <t>*Миқдори кортҳои фаъол: кортҳое, ки дар моҳи ҳисоботӣ на кам аз як гардиш доранд</t>
  </si>
  <si>
    <t xml:space="preserve"> </t>
  </si>
  <si>
    <t>*Мабалғи ниҳоии мукофот-бонус то 150% маоши вазифавӣ муқаррар карда шудааст</t>
  </si>
  <si>
    <t>Имзои Сардори Идораи кортҳои пардохтӣ ва эквайринг   _______________</t>
  </si>
  <si>
    <t>Замима ба «ТАРТИБИ
« «НАКША» ВА «ЗАРИБИ (КОЭФИЦИЕНТИ)  ФАЪОЛИЯТИ МЕХНАТИ» ДАР ҶСП «АКТИВ БОНК»» дар асоси 
 қарори Раёсати бонк таҳти № 06 аз "16" июни соли 2023</t>
  </si>
  <si>
    <t xml:space="preserve">                                             ҶСП “АКТИВ БОНК” </t>
  </si>
  <si>
    <t>Филиали ҶСП "Актив Бонк" дар ш.Бохтар</t>
  </si>
  <si>
    <t>Холиқзода Аминҷон Раҳмон</t>
  </si>
  <si>
    <t>Бонкири дараҷаи 1</t>
  </si>
  <si>
    <t>Бонус</t>
  </si>
  <si>
    <t xml:space="preserve">План </t>
  </si>
  <si>
    <t xml:space="preserve">Факт </t>
  </si>
  <si>
    <t>Pos - Терминал</t>
  </si>
  <si>
    <t>Карта</t>
  </si>
  <si>
    <t>Миқдори Pos - Терминалхои насбшуда</t>
  </si>
  <si>
    <t>Микдори кортхои фаъолшуда</t>
  </si>
  <si>
    <t xml:space="preserve">Установка E-com Терминала </t>
  </si>
  <si>
    <t xml:space="preserve">Зарплатный проект (контракт) </t>
  </si>
  <si>
    <t>Сумма от обьема оборота средств по картам (месяц)</t>
  </si>
  <si>
    <t>Комиссия за использование карты</t>
  </si>
  <si>
    <t>Маблағи ҳавасмандӣ (бе назардошти андоз)</t>
  </si>
  <si>
    <t>* ҳангоми зиёда аз 50% будани меъёри миёнаи фоизи иҷроиш, ҳам аз руи нақшаи Pos-Терминал ҳам аз руи нақшаи кортҳои пардохтӣ ба шахсони воқеъӣ, бонус ҳисоб карда мешавад;</t>
  </si>
  <si>
    <t xml:space="preserve">* ҳангоми камтар аз 50% будани меъёри миёнаи фоизи иҷроиш аз руи Pos-Терминал ва иҷроиш, аз руи кортҳои пардохтӣ ба шахсони воқеъӣ, бонус ҳисоб карда намешавад.  </t>
  </si>
  <si>
    <t xml:space="preserve">*  барои корманде, ки иҷроиши нақшаи қарзиро дар моҳи ҳисоботӣ таъмин намудааст, маблағи мукофотӣ-бонусӣ на зиёда аз 1.5 музди маош ҳисоб карда мешавад. </t>
  </si>
  <si>
    <t>Имзои рохбари Идораи кортҳои бонки ва эквайринг   _______________</t>
  </si>
  <si>
    <t xml:space="preserve">Оклад </t>
  </si>
  <si>
    <t xml:space="preserve">Премия </t>
  </si>
  <si>
    <t>Итого</t>
  </si>
  <si>
    <t>Разница  бонуса от премии</t>
  </si>
  <si>
    <t>Исломов Меҳроҷ Ҳайдаршоевич</t>
  </si>
  <si>
    <t>Бонкири дараҷаи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</si>
</sst>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176" formatCode="_-* #\ ##0.00\ _₽_-;\-* #\ ##0.00\ _₽_-;_-* &quot;-&quot;??\ _₽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[$-419]mmmm\ yyyy;@"/>
    <numFmt numFmtId="181" formatCode="_-* #\ ##0\ _₽_-;\-* #\ ##0\ _₽_-;_-* &quot;-&quot;\ _₽_-;_-@_-"/>
    <numFmt numFmtId="182" formatCode="#\ ##0\ _₽"/>
    <numFmt numFmtId="183" formatCode="_-* #\ ##0\ _₽_-;\-* #\ ##0\ _₽_-;_-* &quot;-&quot;??\ _₽_-;_-@_-"/>
    <numFmt numFmtId="184" formatCode="#\ ###\ ###\ ###\ ##0"/>
    <numFmt numFmtId="185" formatCode="#\ ##0.00000\ _₽"/>
    <numFmt numFmtId="186" formatCode="_-* #\ ##0.00\ _₽_-;\-* #\ ##0.00\ _₽_-;_-* &quot;-&quot;\ _₽_-;_-@_-"/>
    <numFmt numFmtId="187" formatCode="0.0%"/>
    <numFmt numFmtId="188" formatCode="#\ ##0.0000\ _₽"/>
    <numFmt numFmtId="189" formatCode="#\ ##0.0\ _₽"/>
  </numFmts>
  <fonts count="47">
    <font>
      <sz val="11"/>
      <color theme="1"/>
      <name val="Calibri"/>
      <charset val="204"/>
      <scheme val="minor"/>
    </font>
    <font>
      <b/>
      <sz val="10"/>
      <color theme="1"/>
      <name val="Palatino Linotype"/>
      <charset val="204"/>
    </font>
    <font>
      <sz val="11"/>
      <color theme="1"/>
      <name val="Palatino Linotype"/>
      <charset val="204"/>
    </font>
    <font>
      <i/>
      <sz val="10"/>
      <color theme="1"/>
      <name val="Palatino Linotype"/>
      <charset val="204"/>
    </font>
    <font>
      <b/>
      <sz val="14"/>
      <color theme="1"/>
      <name val="Palatino Linotype"/>
      <charset val="204"/>
    </font>
    <font>
      <sz val="14"/>
      <color theme="1"/>
      <name val="Palatino Linotype"/>
      <charset val="204"/>
    </font>
    <font>
      <b/>
      <i/>
      <sz val="11"/>
      <color theme="1"/>
      <name val="Palatino Linotype"/>
      <charset val="204"/>
    </font>
    <font>
      <b/>
      <sz val="12"/>
      <color theme="1"/>
      <name val="Palatino Linotype"/>
      <charset val="204"/>
    </font>
    <font>
      <sz val="12"/>
      <color theme="1"/>
      <name val="Palatino Linotype"/>
      <charset val="204"/>
    </font>
    <font>
      <sz val="10"/>
      <color theme="1"/>
      <name val="Palatino Linotype"/>
      <charset val="204"/>
    </font>
    <font>
      <i/>
      <sz val="11"/>
      <color theme="1"/>
      <name val="Palatino Linotype"/>
      <charset val="204"/>
    </font>
    <font>
      <b/>
      <sz val="11"/>
      <color theme="1"/>
      <name val="Palatino Linotype"/>
      <charset val="204"/>
    </font>
    <font>
      <sz val="11"/>
      <name val="Palatino Linotype"/>
      <charset val="204"/>
    </font>
    <font>
      <b/>
      <sz val="10"/>
      <name val="Palatino Linotype"/>
      <charset val="204"/>
    </font>
    <font>
      <b/>
      <sz val="10"/>
      <color theme="8"/>
      <name val="Palatino Linotype"/>
      <charset val="204"/>
    </font>
    <font>
      <b/>
      <i/>
      <sz val="12"/>
      <color theme="1"/>
      <name val="Palatino Linotype"/>
      <charset val="204"/>
    </font>
    <font>
      <sz val="11"/>
      <color rgb="FFFF0000"/>
      <name val="Palatino Linotype"/>
      <charset val="204"/>
    </font>
    <font>
      <b/>
      <sz val="8"/>
      <name val="Palatino Linotype"/>
      <charset val="204"/>
    </font>
    <font>
      <sz val="10"/>
      <name val="Palatino Linotype"/>
      <charset val="204"/>
    </font>
    <font>
      <sz val="9"/>
      <color theme="1"/>
      <name val="Palatino Linotype"/>
      <charset val="204"/>
    </font>
    <font>
      <b/>
      <i/>
      <sz val="14"/>
      <color theme="1"/>
      <name val="Palatino Linotype"/>
      <charset val="204"/>
    </font>
    <font>
      <i/>
      <sz val="12"/>
      <name val="Palatino Linotype"/>
      <charset val="204"/>
    </font>
    <font>
      <sz val="12"/>
      <name val="Palatino Linotype"/>
      <charset val="204"/>
    </font>
    <font>
      <i/>
      <sz val="12"/>
      <color theme="1"/>
      <name val="Palatino Linotype"/>
      <charset val="204"/>
    </font>
    <font>
      <b/>
      <sz val="14"/>
      <name val="Palatino Linotype"/>
      <charset val="204"/>
    </font>
    <font>
      <b/>
      <sz val="8"/>
      <color rgb="FFFF0000"/>
      <name val="Palatino Linotype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176" fontId="0" fillId="0" borderId="0" applyFont="0" applyFill="0" applyBorder="0" applyAlignment="0" applyProtection="0"/>
    <xf numFmtId="177" fontId="2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4" borderId="43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5" borderId="46" applyNumberFormat="0" applyAlignment="0" applyProtection="0">
      <alignment vertical="center"/>
    </xf>
    <xf numFmtId="0" fontId="36" fillId="16" borderId="47" applyNumberFormat="0" applyAlignment="0" applyProtection="0">
      <alignment vertical="center"/>
    </xf>
    <xf numFmtId="0" fontId="37" fillId="16" borderId="46" applyNumberFormat="0" applyAlignment="0" applyProtection="0">
      <alignment vertical="center"/>
    </xf>
    <xf numFmtId="0" fontId="38" fillId="17" borderId="48" applyNumberFormat="0" applyAlignment="0" applyProtection="0">
      <alignment vertical="center"/>
    </xf>
    <xf numFmtId="0" fontId="39" fillId="0" borderId="49" applyNumberFormat="0" applyFill="0" applyAlignment="0" applyProtection="0">
      <alignment vertical="center"/>
    </xf>
    <xf numFmtId="0" fontId="40" fillId="0" borderId="50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6" fillId="0" borderId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</cellStyleXfs>
  <cellXfs count="34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0" xfId="0" applyFont="1"/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/>
    <xf numFmtId="0" fontId="11" fillId="3" borderId="0" xfId="0" applyFont="1" applyFill="1" applyAlignment="1">
      <alignment horizontal="right"/>
    </xf>
    <xf numFmtId="180" fontId="12" fillId="4" borderId="0" xfId="0" applyNumberFormat="1" applyFont="1" applyFill="1" applyBorder="1" applyAlignment="1">
      <alignment horizontal="center"/>
    </xf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16" fillId="4" borderId="0" xfId="0" applyFont="1" applyFill="1" applyBorder="1" applyAlignment="1">
      <alignment horizontal="center"/>
    </xf>
    <xf numFmtId="181" fontId="2" fillId="4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181" fontId="9" fillId="4" borderId="2" xfId="0" applyNumberFormat="1" applyFont="1" applyFill="1" applyBorder="1" applyAlignment="1">
      <alignment horizontal="center"/>
    </xf>
    <xf numFmtId="9" fontId="9" fillId="3" borderId="3" xfId="0" applyNumberFormat="1" applyFont="1" applyFill="1" applyBorder="1" applyAlignment="1">
      <alignment vertical="center"/>
    </xf>
    <xf numFmtId="0" fontId="9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181" fontId="9" fillId="4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9" fontId="1" fillId="6" borderId="6" xfId="3" applyNumberFormat="1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1" fillId="3" borderId="0" xfId="0" applyFont="1" applyFill="1" applyBorder="1"/>
    <xf numFmtId="0" fontId="11" fillId="5" borderId="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vertical="center"/>
    </xf>
    <xf numFmtId="182" fontId="9" fillId="4" borderId="10" xfId="0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182" fontId="18" fillId="4" borderId="10" xfId="0" applyNumberFormat="1" applyFont="1" applyFill="1" applyBorder="1" applyAlignment="1">
      <alignment vertical="center"/>
    </xf>
    <xf numFmtId="10" fontId="18" fillId="4" borderId="10" xfId="0" applyNumberFormat="1" applyFont="1" applyFill="1" applyBorder="1" applyAlignment="1">
      <alignment vertical="center"/>
    </xf>
    <xf numFmtId="0" fontId="18" fillId="3" borderId="11" xfId="0" applyFont="1" applyFill="1" applyBorder="1" applyAlignment="1">
      <alignment horizontal="left" vertical="center"/>
    </xf>
    <xf numFmtId="0" fontId="18" fillId="3" borderId="12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wrapText="1"/>
    </xf>
    <xf numFmtId="183" fontId="1" fillId="3" borderId="0" xfId="1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181" fontId="9" fillId="4" borderId="2" xfId="0" applyNumberFormat="1" applyFont="1" applyFill="1" applyBorder="1" applyAlignment="1">
      <alignment vertical="center"/>
    </xf>
    <xf numFmtId="181" fontId="9" fillId="7" borderId="2" xfId="0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181" fontId="9" fillId="4" borderId="6" xfId="0" applyNumberFormat="1" applyFont="1" applyFill="1" applyBorder="1" applyAlignment="1">
      <alignment vertical="center"/>
    </xf>
    <xf numFmtId="0" fontId="19" fillId="3" borderId="0" xfId="0" applyFont="1" applyFill="1" applyBorder="1"/>
    <xf numFmtId="184" fontId="19" fillId="3" borderId="0" xfId="0" applyNumberFormat="1" applyFont="1" applyFill="1" applyBorder="1"/>
    <xf numFmtId="181" fontId="11" fillId="3" borderId="0" xfId="0" applyNumberFormat="1" applyFont="1" applyFill="1" applyBorder="1"/>
    <xf numFmtId="0" fontId="6" fillId="7" borderId="0" xfId="0" applyFont="1" applyFill="1" applyBorder="1" applyAlignment="1"/>
    <xf numFmtId="181" fontId="4" fillId="7" borderId="0" xfId="0" applyNumberFormat="1" applyFont="1" applyFill="1" applyBorder="1"/>
    <xf numFmtId="181" fontId="2" fillId="2" borderId="0" xfId="0" applyNumberFormat="1" applyFont="1" applyFill="1"/>
    <xf numFmtId="0" fontId="6" fillId="4" borderId="0" xfId="0" applyFont="1" applyFill="1" applyBorder="1" applyAlignment="1"/>
    <xf numFmtId="176" fontId="20" fillId="4" borderId="0" xfId="0" applyNumberFormat="1" applyFont="1" applyFill="1" applyBorder="1"/>
    <xf numFmtId="0" fontId="21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4" fillId="3" borderId="0" xfId="0" applyFont="1" applyFill="1"/>
    <xf numFmtId="0" fontId="2" fillId="2" borderId="10" xfId="0" applyFont="1" applyFill="1" applyBorder="1" applyAlignment="1">
      <alignment horizontal="center" vertical="center"/>
    </xf>
    <xf numFmtId="181" fontId="2" fillId="2" borderId="0" xfId="0" applyNumberFormat="1" applyFont="1" applyFill="1" applyAlignment="1">
      <alignment horizontal="right"/>
    </xf>
    <xf numFmtId="1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1" fontId="2" fillId="2" borderId="10" xfId="0" applyNumberFormat="1" applyFont="1" applyFill="1" applyBorder="1"/>
    <xf numFmtId="0" fontId="2" fillId="0" borderId="0" xfId="0" applyFont="1" applyFill="1" applyAlignment="1" applyProtection="1">
      <alignment vertical="center"/>
      <protection hidden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 wrapText="1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 wrapText="1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9" fillId="0" borderId="0" xfId="0" applyFont="1" applyFill="1" applyAlignment="1" applyProtection="1">
      <alignment vertical="center"/>
      <protection hidden="1"/>
    </xf>
    <xf numFmtId="180" fontId="24" fillId="8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right" vertical="center"/>
      <protection locked="0"/>
    </xf>
    <xf numFmtId="180" fontId="12" fillId="8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3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right" vertical="center"/>
      <protection locked="0"/>
    </xf>
    <xf numFmtId="0" fontId="2" fillId="8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181" fontId="2" fillId="8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hidden="1"/>
    </xf>
    <xf numFmtId="181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0" xfId="0" applyFont="1" applyFill="1" applyBorder="1" applyAlignment="1" applyProtection="1">
      <alignment horizontal="center" vertical="center"/>
      <protection hidden="1"/>
    </xf>
    <xf numFmtId="0" fontId="18" fillId="0" borderId="10" xfId="0" applyFont="1" applyFill="1" applyBorder="1" applyAlignment="1" applyProtection="1">
      <alignment horizontal="left" vertical="center"/>
      <protection hidden="1"/>
    </xf>
    <xf numFmtId="181" fontId="1" fillId="8" borderId="10" xfId="0" applyNumberFormat="1" applyFont="1" applyFill="1" applyBorder="1" applyAlignment="1" applyProtection="1">
      <alignment vertical="center"/>
      <protection locked="0" hidden="1"/>
    </xf>
    <xf numFmtId="181" fontId="1" fillId="0" borderId="10" xfId="0" applyNumberFormat="1" applyFont="1" applyFill="1" applyBorder="1" applyAlignment="1" applyProtection="1">
      <alignment vertical="center"/>
      <protection hidden="1"/>
    </xf>
    <xf numFmtId="9" fontId="1" fillId="0" borderId="1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181" fontId="9" fillId="8" borderId="10" xfId="0" applyNumberFormat="1" applyFont="1" applyFill="1" applyBorder="1" applyAlignment="1" applyProtection="1">
      <alignment vertical="center"/>
      <protection locked="0" hidden="1"/>
    </xf>
    <xf numFmtId="182" fontId="9" fillId="0" borderId="10" xfId="0" applyNumberFormat="1" applyFont="1" applyFill="1" applyBorder="1" applyAlignment="1" applyProtection="1">
      <alignment horizontal="center" vertical="center"/>
      <protection hidden="1"/>
    </xf>
    <xf numFmtId="0" fontId="18" fillId="0" borderId="11" xfId="0" applyFont="1" applyFill="1" applyBorder="1" applyAlignment="1" applyProtection="1">
      <alignment horizontal="left" vertical="center"/>
      <protection hidden="1"/>
    </xf>
    <xf numFmtId="0" fontId="18" fillId="0" borderId="12" xfId="0" applyFont="1" applyFill="1" applyBorder="1" applyAlignment="1" applyProtection="1">
      <alignment horizontal="left" vertical="center"/>
      <protection hidden="1"/>
    </xf>
    <xf numFmtId="181" fontId="9" fillId="0" borderId="10" xfId="0" applyNumberFormat="1" applyFont="1" applyFill="1" applyBorder="1" applyAlignment="1" applyProtection="1">
      <alignment vertical="center"/>
      <protection locked="0" hidden="1"/>
    </xf>
    <xf numFmtId="181" fontId="9" fillId="0" borderId="10" xfId="0" applyNumberFormat="1" applyFont="1" applyFill="1" applyBorder="1" applyAlignment="1" applyProtection="1">
      <alignment horizontal="center" vertical="center"/>
      <protection hidden="1"/>
    </xf>
    <xf numFmtId="0" fontId="13" fillId="0" borderId="10" xfId="0" applyFont="1" applyFill="1" applyBorder="1" applyAlignment="1" applyProtection="1">
      <alignment horizontal="center" vertical="center"/>
      <protection hidden="1"/>
    </xf>
    <xf numFmtId="182" fontId="1" fillId="0" borderId="10" xfId="0" applyNumberFormat="1" applyFont="1" applyFill="1" applyBorder="1" applyAlignment="1" applyProtection="1">
      <alignment horizontal="center" vertical="center"/>
      <protection hidden="1"/>
    </xf>
    <xf numFmtId="0" fontId="18" fillId="0" borderId="11" xfId="0" applyFont="1" applyFill="1" applyBorder="1" applyAlignment="1" applyProtection="1">
      <alignment horizontal="left" vertical="center" wrapText="1"/>
      <protection hidden="1"/>
    </xf>
    <xf numFmtId="0" fontId="18" fillId="0" borderId="12" xfId="0" applyFont="1" applyFill="1" applyBorder="1" applyAlignment="1" applyProtection="1">
      <alignment horizontal="left" vertical="center" wrapText="1"/>
      <protection hidden="1"/>
    </xf>
    <xf numFmtId="181" fontId="9" fillId="8" borderId="10" xfId="0" applyNumberFormat="1" applyFont="1" applyFill="1" applyBorder="1" applyAlignment="1" applyProtection="1">
      <alignment vertical="center"/>
      <protection locked="0"/>
    </xf>
    <xf numFmtId="185" fontId="9" fillId="0" borderId="10" xfId="0" applyNumberFormat="1" applyFont="1" applyFill="1" applyBorder="1" applyAlignment="1" applyProtection="1">
      <alignment horizontal="center" vertical="center"/>
      <protection hidden="1"/>
    </xf>
    <xf numFmtId="0" fontId="9" fillId="0" borderId="11" xfId="0" applyFont="1" applyFill="1" applyBorder="1" applyAlignment="1" applyProtection="1">
      <alignment horizontal="left" vertical="center" wrapText="1"/>
      <protection hidden="1"/>
    </xf>
    <xf numFmtId="0" fontId="9" fillId="0" borderId="12" xfId="0" applyFont="1" applyFill="1" applyBorder="1" applyAlignment="1" applyProtection="1">
      <alignment horizontal="left" vertical="center" wrapText="1"/>
      <protection hidden="1"/>
    </xf>
    <xf numFmtId="0" fontId="9" fillId="8" borderId="10" xfId="0" applyFont="1" applyFill="1" applyBorder="1" applyAlignment="1" applyProtection="1">
      <alignment horizontal="center" vertical="center" wrapText="1"/>
      <protection locked="0" hidden="1"/>
    </xf>
    <xf numFmtId="0" fontId="9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0" xfId="0" applyFont="1" applyFill="1" applyBorder="1" applyAlignment="1" applyProtection="1">
      <alignment horizontal="left" vertical="center" wrapText="1"/>
      <protection locked="0" hidden="1"/>
    </xf>
    <xf numFmtId="0" fontId="9" fillId="0" borderId="10" xfId="0" applyFont="1" applyFill="1" applyBorder="1" applyAlignment="1" applyProtection="1">
      <alignment horizontal="left" vertical="center" wrapText="1"/>
      <protection hidden="1"/>
    </xf>
    <xf numFmtId="0" fontId="9" fillId="0" borderId="0" xfId="0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 applyProtection="1">
      <alignment horizontal="left" vertical="center" wrapText="1"/>
      <protection hidden="1"/>
    </xf>
    <xf numFmtId="183" fontId="1" fillId="0" borderId="0" xfId="1" applyNumberFormat="1" applyFont="1" applyFill="1" applyBorder="1" applyAlignment="1" applyProtection="1">
      <alignment horizontal="left" vertical="center" wrapText="1"/>
      <protection hidden="1"/>
    </xf>
    <xf numFmtId="0" fontId="9" fillId="8" borderId="10" xfId="0" applyNumberFormat="1" applyFont="1" applyFill="1" applyBorder="1" applyAlignment="1" applyProtection="1">
      <alignment horizontal="center" vertical="top"/>
      <protection locked="0"/>
    </xf>
    <xf numFmtId="9" fontId="9" fillId="0" borderId="10" xfId="0" applyNumberFormat="1" applyFont="1" applyFill="1" applyBorder="1" applyAlignment="1" applyProtection="1">
      <alignment horizontal="center" vertical="center"/>
      <protection hidden="1"/>
    </xf>
    <xf numFmtId="0" fontId="9" fillId="8" borderId="10" xfId="0" applyNumberFormat="1" applyFont="1" applyFill="1" applyBorder="1" applyAlignment="1" applyProtection="1">
      <alignment horizontal="center" vertical="center"/>
      <protection locked="0"/>
    </xf>
    <xf numFmtId="49" fontId="9" fillId="0" borderId="10" xfId="0" applyNumberFormat="1" applyFont="1" applyFill="1" applyBorder="1" applyAlignment="1" applyProtection="1">
      <alignment horizontal="center" vertical="center"/>
      <protection hidden="1"/>
    </xf>
    <xf numFmtId="0" fontId="9" fillId="8" borderId="10" xfId="0" applyNumberFormat="1" applyFont="1" applyFill="1" applyBorder="1" applyAlignment="1" applyProtection="1">
      <alignment horizontal="center" vertical="center" wrapText="1"/>
      <protection locked="0" hidden="1"/>
    </xf>
    <xf numFmtId="2" fontId="1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horizontal="right" vertical="center"/>
      <protection hidden="1"/>
    </xf>
    <xf numFmtId="181" fontId="4" fillId="0" borderId="0" xfId="0" applyNumberFormat="1" applyFont="1" applyFill="1" applyBorder="1" applyAlignment="1" applyProtection="1">
      <alignment vertical="center"/>
      <protection hidden="1"/>
    </xf>
    <xf numFmtId="0" fontId="23" fillId="0" borderId="0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Fill="1" applyBorder="1" applyAlignment="1" applyProtection="1">
      <alignment horizontal="left" vertical="center" wrapText="1"/>
      <protection hidden="1"/>
    </xf>
    <xf numFmtId="0" fontId="10" fillId="0" borderId="0" xfId="0" applyFont="1" applyAlignment="1">
      <alignment horizontal="left" vertical="center"/>
    </xf>
    <xf numFmtId="0" fontId="4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80" fontId="2" fillId="4" borderId="0" xfId="0" applyNumberFormat="1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186" fontId="9" fillId="3" borderId="2" xfId="0" applyNumberFormat="1" applyFont="1" applyFill="1" applyBorder="1" applyAlignment="1"/>
    <xf numFmtId="9" fontId="9" fillId="3" borderId="2" xfId="3" applyFont="1" applyFill="1" applyBorder="1" applyAlignment="1"/>
    <xf numFmtId="0" fontId="2" fillId="3" borderId="6" xfId="0" applyFont="1" applyFill="1" applyBorder="1" applyAlignment="1">
      <alignment horizontal="left" vertical="center"/>
    </xf>
    <xf numFmtId="9" fontId="9" fillId="3" borderId="6" xfId="0" applyNumberFormat="1" applyFont="1" applyFill="1" applyBorder="1" applyAlignment="1">
      <alignment horizontal="center"/>
    </xf>
    <xf numFmtId="9" fontId="9" fillId="4" borderId="6" xfId="0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182" fontId="9" fillId="4" borderId="2" xfId="0" applyNumberFormat="1" applyFont="1" applyFill="1" applyBorder="1" applyAlignment="1">
      <alignment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left" vertical="center"/>
    </xf>
    <xf numFmtId="182" fontId="9" fillId="9" borderId="2" xfId="0" applyNumberFormat="1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left" vertical="center"/>
    </xf>
    <xf numFmtId="10" fontId="9" fillId="4" borderId="2" xfId="0" applyNumberFormat="1" applyFont="1" applyFill="1" applyBorder="1" applyAlignment="1">
      <alignment vertical="center"/>
    </xf>
    <xf numFmtId="0" fontId="9" fillId="3" borderId="13" xfId="0" applyFont="1" applyFill="1" applyBorder="1" applyAlignment="1">
      <alignment horizontal="left" vertical="center"/>
    </xf>
    <xf numFmtId="182" fontId="9" fillId="4" borderId="3" xfId="0" applyNumberFormat="1" applyFont="1" applyFill="1" applyBorder="1" applyAlignment="1">
      <alignment vertical="center"/>
    </xf>
    <xf numFmtId="182" fontId="9" fillId="9" borderId="3" xfId="0" applyNumberFormat="1" applyFont="1" applyFill="1" applyBorder="1" applyAlignment="1">
      <alignment vertical="center"/>
    </xf>
    <xf numFmtId="10" fontId="9" fillId="9" borderId="2" xfId="0" applyNumberFormat="1" applyFont="1" applyFill="1" applyBorder="1" applyAlignment="1">
      <alignment vertical="center"/>
    </xf>
    <xf numFmtId="0" fontId="9" fillId="3" borderId="1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 wrapText="1"/>
    </xf>
    <xf numFmtId="183" fontId="9" fillId="4" borderId="6" xfId="1" applyNumberFormat="1" applyFont="1" applyFill="1" applyBorder="1" applyAlignment="1">
      <alignment vertical="center"/>
    </xf>
    <xf numFmtId="187" fontId="9" fillId="4" borderId="6" xfId="0" applyNumberFormat="1" applyFont="1" applyFill="1" applyBorder="1" applyAlignment="1">
      <alignment vertical="center"/>
    </xf>
    <xf numFmtId="183" fontId="1" fillId="10" borderId="0" xfId="1" applyNumberFormat="1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vertical="center"/>
    </xf>
    <xf numFmtId="181" fontId="9" fillId="9" borderId="2" xfId="0" applyNumberFormat="1" applyFont="1" applyFill="1" applyBorder="1" applyAlignment="1">
      <alignment vertical="center"/>
    </xf>
    <xf numFmtId="0" fontId="9" fillId="9" borderId="2" xfId="0" applyFont="1" applyFill="1" applyBorder="1" applyAlignment="1">
      <alignment vertical="center" wrapText="1"/>
    </xf>
    <xf numFmtId="9" fontId="9" fillId="9" borderId="2" xfId="0" applyNumberFormat="1" applyFont="1" applyFill="1" applyBorder="1" applyAlignment="1">
      <alignment vertical="center"/>
    </xf>
    <xf numFmtId="181" fontId="11" fillId="10" borderId="0" xfId="0" applyNumberFormat="1" applyFont="1" applyFill="1" applyBorder="1"/>
    <xf numFmtId="181" fontId="4" fillId="11" borderId="0" xfId="0" applyNumberFormat="1" applyFont="1" applyFill="1" applyBorder="1"/>
    <xf numFmtId="0" fontId="6" fillId="4" borderId="0" xfId="0" applyFont="1" applyFill="1" applyBorder="1" applyAlignment="1">
      <alignment horizontal="center"/>
    </xf>
    <xf numFmtId="0" fontId="4" fillId="10" borderId="0" xfId="0" applyFont="1" applyFill="1"/>
    <xf numFmtId="0" fontId="2" fillId="2" borderId="0" xfId="0" applyFont="1" applyFill="1" applyAlignment="1">
      <alignment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/>
    </xf>
    <xf numFmtId="0" fontId="25" fillId="5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186" fontId="9" fillId="3" borderId="25" xfId="0" applyNumberFormat="1" applyFont="1" applyFill="1" applyBorder="1" applyAlignment="1"/>
    <xf numFmtId="9" fontId="9" fillId="3" borderId="26" xfId="3" applyFont="1" applyFill="1" applyBorder="1" applyAlignment="1"/>
    <xf numFmtId="0" fontId="9" fillId="3" borderId="27" xfId="0" applyFont="1" applyFill="1" applyBorder="1" applyAlignment="1">
      <alignment horizontal="center"/>
    </xf>
    <xf numFmtId="9" fontId="9" fillId="4" borderId="28" xfId="0" applyNumberFormat="1" applyFont="1" applyFill="1" applyBorder="1" applyAlignment="1">
      <alignment horizontal="center"/>
    </xf>
    <xf numFmtId="0" fontId="2" fillId="3" borderId="29" xfId="0" applyFont="1" applyFill="1" applyBorder="1"/>
    <xf numFmtId="0" fontId="2" fillId="3" borderId="30" xfId="0" applyFont="1" applyFill="1" applyBorder="1" applyAlignment="1">
      <alignment horizontal="center"/>
    </xf>
    <xf numFmtId="0" fontId="2" fillId="3" borderId="30" xfId="0" applyFont="1" applyFill="1" applyBorder="1"/>
    <xf numFmtId="0" fontId="11" fillId="5" borderId="31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/>
    </xf>
    <xf numFmtId="182" fontId="9" fillId="4" borderId="33" xfId="0" applyNumberFormat="1" applyFont="1" applyFill="1" applyBorder="1" applyAlignment="1">
      <alignment vertical="center"/>
    </xf>
    <xf numFmtId="0" fontId="9" fillId="3" borderId="27" xfId="0" applyFont="1" applyFill="1" applyBorder="1" applyAlignment="1">
      <alignment horizontal="center" vertical="center"/>
    </xf>
    <xf numFmtId="183" fontId="9" fillId="4" borderId="28" xfId="1" applyNumberFormat="1" applyFont="1" applyFill="1" applyBorder="1" applyAlignment="1">
      <alignment vertical="center"/>
    </xf>
    <xf numFmtId="0" fontId="9" fillId="3" borderId="29" xfId="0" applyFont="1" applyFill="1" applyBorder="1" applyAlignment="1">
      <alignment horizontal="center" vertical="center"/>
    </xf>
    <xf numFmtId="176" fontId="1" fillId="10" borderId="30" xfId="1" applyNumberFormat="1" applyFont="1" applyFill="1" applyBorder="1" applyAlignment="1">
      <alignment horizontal="left" vertical="center" wrapText="1"/>
    </xf>
    <xf numFmtId="0" fontId="9" fillId="3" borderId="30" xfId="0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181" fontId="9" fillId="4" borderId="33" xfId="0" applyNumberFormat="1" applyFont="1" applyFill="1" applyBorder="1" applyAlignment="1">
      <alignment vertical="center"/>
    </xf>
    <xf numFmtId="0" fontId="9" fillId="3" borderId="17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9" fontId="9" fillId="4" borderId="2" xfId="0" applyNumberFormat="1" applyFont="1" applyFill="1" applyBorder="1" applyAlignment="1">
      <alignment vertical="center"/>
    </xf>
    <xf numFmtId="0" fontId="19" fillId="3" borderId="29" xfId="0" applyFont="1" applyFill="1" applyBorder="1"/>
    <xf numFmtId="181" fontId="11" fillId="10" borderId="30" xfId="0" applyNumberFormat="1" applyFont="1" applyFill="1" applyBorder="1"/>
    <xf numFmtId="181" fontId="4" fillId="11" borderId="30" xfId="0" applyNumberFormat="1" applyFont="1" applyFill="1" applyBorder="1"/>
    <xf numFmtId="0" fontId="8" fillId="3" borderId="30" xfId="0" applyFont="1" applyFill="1" applyBorder="1" applyAlignment="1">
      <alignment horizontal="left" vertical="center" wrapText="1"/>
    </xf>
    <xf numFmtId="0" fontId="2" fillId="3" borderId="36" xfId="0" applyFont="1" applyFill="1" applyBorder="1"/>
    <xf numFmtId="0" fontId="23" fillId="3" borderId="37" xfId="0" applyFont="1" applyFill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81" fontId="2" fillId="3" borderId="1" xfId="0" applyNumberFormat="1" applyFont="1" applyFill="1" applyBorder="1"/>
    <xf numFmtId="181" fontId="2" fillId="0" borderId="1" xfId="0" applyNumberFormat="1" applyFont="1" applyFill="1" applyBorder="1"/>
    <xf numFmtId="9" fontId="2" fillId="3" borderId="1" xfId="3" applyFont="1" applyFill="1" applyBorder="1"/>
    <xf numFmtId="0" fontId="0" fillId="0" borderId="2" xfId="0" applyFont="1" applyFill="1" applyBorder="1" applyAlignment="1">
      <alignment vertical="center"/>
    </xf>
    <xf numFmtId="181" fontId="2" fillId="3" borderId="2" xfId="0" applyNumberFormat="1" applyFont="1" applyFill="1" applyBorder="1"/>
    <xf numFmtId="181" fontId="2" fillId="0" borderId="2" xfId="0" applyNumberFormat="1" applyFont="1" applyFill="1" applyBorder="1"/>
    <xf numFmtId="9" fontId="2" fillId="3" borderId="2" xfId="3" applyFont="1" applyFill="1" applyBorder="1"/>
    <xf numFmtId="0" fontId="0" fillId="0" borderId="6" xfId="0" applyFont="1" applyFill="1" applyBorder="1" applyAlignment="1">
      <alignment vertical="center"/>
    </xf>
    <xf numFmtId="181" fontId="2" fillId="3" borderId="6" xfId="0" applyNumberFormat="1" applyFont="1" applyFill="1" applyBorder="1"/>
    <xf numFmtId="9" fontId="2" fillId="3" borderId="6" xfId="3" applyFont="1" applyFill="1" applyBorder="1"/>
    <xf numFmtId="0" fontId="1" fillId="10" borderId="10" xfId="0" applyFont="1" applyFill="1" applyBorder="1" applyAlignment="1">
      <alignment horizontal="center" vertical="center" wrapText="1"/>
    </xf>
    <xf numFmtId="176" fontId="11" fillId="10" borderId="1" xfId="0" applyNumberFormat="1" applyFont="1" applyFill="1" applyBorder="1"/>
    <xf numFmtId="176" fontId="2" fillId="3" borderId="1" xfId="0" applyNumberFormat="1" applyFont="1" applyFill="1" applyBorder="1"/>
    <xf numFmtId="176" fontId="2" fillId="3" borderId="2" xfId="0" applyNumberFormat="1" applyFont="1" applyFill="1" applyBorder="1"/>
    <xf numFmtId="181" fontId="2" fillId="3" borderId="2" xfId="0" applyNumberFormat="1" applyFont="1" applyFill="1" applyBorder="1" applyAlignment="1">
      <alignment vertical="center"/>
    </xf>
    <xf numFmtId="181" fontId="2" fillId="3" borderId="6" xfId="0" applyNumberFormat="1" applyFont="1" applyFill="1" applyBorder="1" applyAlignment="1">
      <alignment vertical="center"/>
    </xf>
    <xf numFmtId="176" fontId="2" fillId="3" borderId="6" xfId="0" applyNumberFormat="1" applyFont="1" applyFill="1" applyBorder="1"/>
    <xf numFmtId="176" fontId="1" fillId="10" borderId="0" xfId="1" applyNumberFormat="1" applyFont="1" applyFill="1" applyBorder="1" applyAlignment="1">
      <alignment horizontal="left" vertical="center" wrapText="1"/>
    </xf>
    <xf numFmtId="0" fontId="1" fillId="11" borderId="39" xfId="0" applyFont="1" applyFill="1" applyBorder="1" applyAlignment="1">
      <alignment horizontal="center" vertical="center" wrapText="1"/>
    </xf>
    <xf numFmtId="0" fontId="7" fillId="12" borderId="11" xfId="0" applyFont="1" applyFill="1" applyBorder="1" applyAlignment="1">
      <alignment horizontal="center" vertical="center" wrapText="1"/>
    </xf>
    <xf numFmtId="0" fontId="7" fillId="12" borderId="12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7" fillId="12" borderId="39" xfId="0" applyFont="1" applyFill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9" fontId="2" fillId="0" borderId="2" xfId="3" applyFont="1" applyFill="1" applyBorder="1"/>
    <xf numFmtId="176" fontId="11" fillId="10" borderId="2" xfId="0" applyNumberFormat="1" applyFont="1" applyFill="1" applyBorder="1"/>
    <xf numFmtId="0" fontId="1" fillId="11" borderId="40" xfId="0" applyFont="1" applyFill="1" applyBorder="1" applyAlignment="1">
      <alignment horizontal="center" vertical="center" wrapText="1"/>
    </xf>
    <xf numFmtId="0" fontId="1" fillId="11" borderId="4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/>
    </xf>
    <xf numFmtId="181" fontId="9" fillId="3" borderId="25" xfId="0" applyNumberFormat="1" applyFont="1" applyFill="1" applyBorder="1" applyAlignment="1">
      <alignment horizontal="center"/>
    </xf>
    <xf numFmtId="181" fontId="9" fillId="3" borderId="26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188" fontId="9" fillId="4" borderId="2" xfId="0" applyNumberFormat="1" applyFont="1" applyFill="1" applyBorder="1" applyAlignment="1">
      <alignment vertical="center"/>
    </xf>
    <xf numFmtId="189" fontId="9" fillId="4" borderId="2" xfId="0" applyNumberFormat="1" applyFont="1" applyFill="1" applyBorder="1" applyAlignment="1">
      <alignment vertical="center"/>
    </xf>
    <xf numFmtId="0" fontId="9" fillId="3" borderId="2" xfId="0" applyFont="1" applyFill="1" applyBorder="1" applyAlignment="1">
      <alignment vertical="center" wrapText="1"/>
    </xf>
    <xf numFmtId="187" fontId="9" fillId="4" borderId="2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82" fontId="9" fillId="4" borderId="6" xfId="0" applyNumberFormat="1" applyFont="1" applyFill="1" applyBorder="1" applyAlignment="1">
      <alignment vertical="center"/>
    </xf>
    <xf numFmtId="176" fontId="11" fillId="10" borderId="3" xfId="0" applyNumberFormat="1" applyFont="1" applyFill="1" applyBorder="1"/>
    <xf numFmtId="176" fontId="11" fillId="10" borderId="6" xfId="0" applyNumberFormat="1" applyFont="1" applyFill="1" applyBorder="1"/>
    <xf numFmtId="181" fontId="9" fillId="3" borderId="2" xfId="0" applyNumberFormat="1" applyFont="1" applyFill="1" applyBorder="1" applyAlignment="1">
      <alignment horizontal="center"/>
    </xf>
    <xf numFmtId="181" fontId="9" fillId="3" borderId="3" xfId="0" applyNumberFormat="1" applyFont="1" applyFill="1" applyBorder="1" applyAlignment="1">
      <alignment horizontal="center"/>
    </xf>
    <xf numFmtId="181" fontId="9" fillId="3" borderId="15" xfId="0" applyNumberFormat="1" applyFont="1" applyFill="1" applyBorder="1" applyAlignment="1">
      <alignment horizontal="center"/>
    </xf>
    <xf numFmtId="0" fontId="9" fillId="4" borderId="6" xfId="0" applyFont="1" applyFill="1" applyBorder="1" applyAlignment="1">
      <alignment horizontal="left"/>
    </xf>
    <xf numFmtId="0" fontId="1" fillId="3" borderId="0" xfId="0" applyFont="1" applyFill="1"/>
    <xf numFmtId="0" fontId="9" fillId="3" borderId="2" xfId="0" applyFont="1" applyFill="1" applyBorder="1"/>
    <xf numFmtId="182" fontId="9" fillId="3" borderId="2" xfId="0" applyNumberFormat="1" applyFont="1" applyFill="1" applyBorder="1"/>
    <xf numFmtId="182" fontId="9" fillId="3" borderId="3" xfId="0" applyNumberFormat="1" applyFont="1" applyFill="1" applyBorder="1"/>
    <xf numFmtId="0" fontId="9" fillId="3" borderId="6" xfId="0" applyFont="1" applyFill="1" applyBorder="1" applyAlignment="1">
      <alignment wrapText="1"/>
    </xf>
    <xf numFmtId="9" fontId="9" fillId="3" borderId="6" xfId="0" applyNumberFormat="1" applyFont="1" applyFill="1" applyBorder="1" applyAlignment="1">
      <alignment vertical="center"/>
    </xf>
    <xf numFmtId="182" fontId="9" fillId="3" borderId="6" xfId="0" applyNumberFormat="1" applyFont="1" applyFill="1" applyBorder="1" applyAlignment="1">
      <alignment vertical="center"/>
    </xf>
    <xf numFmtId="0" fontId="19" fillId="3" borderId="0" xfId="0" applyFont="1" applyFill="1"/>
    <xf numFmtId="184" fontId="19" fillId="3" borderId="0" xfId="0" applyNumberFormat="1" applyFont="1" applyFill="1"/>
    <xf numFmtId="0" fontId="1" fillId="3" borderId="10" xfId="0" applyFont="1" applyFill="1" applyBorder="1" applyAlignment="1">
      <alignment horizontal="center"/>
    </xf>
    <xf numFmtId="182" fontId="1" fillId="3" borderId="10" xfId="0" applyNumberFormat="1" applyFont="1" applyFill="1" applyBorder="1"/>
    <xf numFmtId="184" fontId="2" fillId="3" borderId="0" xfId="0" applyNumberFormat="1" applyFont="1" applyFill="1"/>
    <xf numFmtId="10" fontId="2" fillId="3" borderId="0" xfId="0" applyNumberFormat="1" applyFont="1" applyFill="1"/>
    <xf numFmtId="9" fontId="9" fillId="3" borderId="2" xfId="0" applyNumberFormat="1" applyFont="1" applyFill="1" applyBorder="1" applyAlignment="1">
      <alignment vertical="center"/>
    </xf>
    <xf numFmtId="182" fontId="9" fillId="3" borderId="2" xfId="0" applyNumberFormat="1" applyFont="1" applyFill="1" applyBorder="1" applyAlignment="1">
      <alignment vertical="center"/>
    </xf>
    <xf numFmtId="0" fontId="9" fillId="3" borderId="6" xfId="0" applyFont="1" applyFill="1" applyBorder="1"/>
    <xf numFmtId="182" fontId="9" fillId="3" borderId="6" xfId="0" applyNumberFormat="1" applyFont="1" applyFill="1" applyBorder="1"/>
    <xf numFmtId="0" fontId="1" fillId="3" borderId="42" xfId="0" applyFont="1" applyFill="1" applyBorder="1" applyAlignment="1">
      <alignment horizontal="center"/>
    </xf>
    <xf numFmtId="182" fontId="1" fillId="3" borderId="42" xfId="0" applyNumberFormat="1" applyFont="1" applyFill="1" applyBorder="1"/>
    <xf numFmtId="9" fontId="11" fillId="3" borderId="10" xfId="0" applyNumberFormat="1" applyFont="1" applyFill="1" applyBorder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/>
    <xf numFmtId="181" fontId="7" fillId="3" borderId="10" xfId="0" applyNumberFormat="1" applyFont="1" applyFill="1" applyBorder="1"/>
    <xf numFmtId="0" fontId="23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181" fontId="9" fillId="0" borderId="2" xfId="0" applyNumberFormat="1" applyFont="1" applyFill="1" applyBorder="1" applyAlignment="1">
      <alignment horizontal="center"/>
    </xf>
    <xf numFmtId="189" fontId="9" fillId="3" borderId="2" xfId="0" applyNumberFormat="1" applyFont="1" applyFill="1" applyBorder="1"/>
    <xf numFmtId="0" fontId="9" fillId="13" borderId="2" xfId="0" applyFont="1" applyFill="1" applyBorder="1" applyAlignment="1">
      <alignment horizontal="center"/>
    </xf>
    <xf numFmtId="0" fontId="9" fillId="13" borderId="2" xfId="0" applyFont="1" applyFill="1" applyBorder="1"/>
    <xf numFmtId="182" fontId="9" fillId="13" borderId="2" xfId="0" applyNumberFormat="1" applyFont="1" applyFill="1" applyBorder="1" applyAlignment="1">
      <alignment vertical="center"/>
    </xf>
    <xf numFmtId="187" fontId="9" fillId="13" borderId="2" xfId="0" applyNumberFormat="1" applyFont="1" applyFill="1" applyBorder="1" applyAlignment="1">
      <alignment vertical="center"/>
    </xf>
    <xf numFmtId="182" fontId="9" fillId="13" borderId="2" xfId="0" applyNumberFormat="1" applyFont="1" applyFill="1" applyBorder="1"/>
    <xf numFmtId="187" fontId="9" fillId="3" borderId="2" xfId="0" applyNumberFormat="1" applyFont="1" applyFill="1" applyBorder="1" applyAlignment="1">
      <alignment vertical="center"/>
    </xf>
    <xf numFmtId="187" fontId="9" fillId="3" borderId="6" xfId="0" applyNumberFormat="1" applyFont="1" applyFill="1" applyBorder="1" applyAlignment="1">
      <alignment vertical="center"/>
    </xf>
    <xf numFmtId="182" fontId="2" fillId="2" borderId="0" xfId="0" applyNumberFormat="1" applyFont="1" applyFill="1"/>
    <xf numFmtId="0" fontId="2" fillId="3" borderId="0" xfId="0" applyFont="1" applyFill="1" applyBorder="1" applyAlignment="1"/>
  </cellXfs>
  <cellStyles count="57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  <cellStyle name="Финансовый 2" xfId="50"/>
    <cellStyle name="Финансовый 2 2" xfId="51"/>
    <cellStyle name="Финансовый 2 3" xfId="52"/>
    <cellStyle name="Финансовый 3" xfId="53"/>
    <cellStyle name="Финансовый 4" xfId="54"/>
    <cellStyle name="Финансовый 5" xfId="55"/>
    <cellStyle name="Финансовый 6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</xdr:row>
      <xdr:rowOff>38100</xdr:rowOff>
    </xdr:from>
    <xdr:to>
      <xdr:col>2</xdr:col>
      <xdr:colOff>1905000</xdr:colOff>
      <xdr:row>4</xdr:row>
      <xdr:rowOff>95250</xdr:rowOff>
    </xdr:to>
    <xdr:pic>
      <xdr:nvPicPr>
        <xdr:cNvPr id="1040" name="Рисунок 32" descr="IBT Garamond tj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3375" y="247650"/>
          <a:ext cx="2362200" cy="6743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66675</xdr:colOff>
      <xdr:row>51</xdr:row>
      <xdr:rowOff>57150</xdr:rowOff>
    </xdr:from>
    <xdr:to>
      <xdr:col>2</xdr:col>
      <xdr:colOff>161925</xdr:colOff>
      <xdr:row>51</xdr:row>
      <xdr:rowOff>180975</xdr:rowOff>
    </xdr:to>
    <xdr:sp>
      <xdr:nvSpPr>
        <xdr:cNvPr id="3" name="7-конечная звезда 2"/>
        <xdr:cNvSpPr/>
      </xdr:nvSpPr>
      <xdr:spPr>
        <a:xfrm>
          <a:off x="857250" y="1077468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1047750</xdr:colOff>
      <xdr:row>28</xdr:row>
      <xdr:rowOff>114300</xdr:rowOff>
    </xdr:from>
    <xdr:to>
      <xdr:col>2</xdr:col>
      <xdr:colOff>1143000</xdr:colOff>
      <xdr:row>29</xdr:row>
      <xdr:rowOff>85725</xdr:rowOff>
    </xdr:to>
    <xdr:sp>
      <xdr:nvSpPr>
        <xdr:cNvPr id="4" name="7-конечная звезда 3"/>
        <xdr:cNvSpPr/>
      </xdr:nvSpPr>
      <xdr:spPr>
        <a:xfrm>
          <a:off x="1838325" y="552640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63500</xdr:colOff>
      <xdr:row>1</xdr:row>
      <xdr:rowOff>101600</xdr:rowOff>
    </xdr:from>
    <xdr:to>
      <xdr:col>2</xdr:col>
      <xdr:colOff>1460011</xdr:colOff>
      <xdr:row>5</xdr:row>
      <xdr:rowOff>9280</xdr:rowOff>
    </xdr:to>
    <xdr:pic>
      <xdr:nvPicPr>
        <xdr:cNvPr id="2" name="Рисунок 1" descr="для почты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300" y="854075"/>
          <a:ext cx="1720215" cy="7435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</xdr:row>
      <xdr:rowOff>38100</xdr:rowOff>
    </xdr:from>
    <xdr:to>
      <xdr:col>2</xdr:col>
      <xdr:colOff>1905000</xdr:colOff>
      <xdr:row>4</xdr:row>
      <xdr:rowOff>95250</xdr:rowOff>
    </xdr:to>
    <xdr:pic>
      <xdr:nvPicPr>
        <xdr:cNvPr id="2074" name="Рисунок 32" descr="IBT Garamond tj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3375" y="247650"/>
          <a:ext cx="2343150" cy="6743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571500</xdr:colOff>
      <xdr:row>7</xdr:row>
      <xdr:rowOff>19050</xdr:rowOff>
    </xdr:from>
    <xdr:to>
      <xdr:col>5</xdr:col>
      <xdr:colOff>638175</xdr:colOff>
      <xdr:row>7</xdr:row>
      <xdr:rowOff>114300</xdr:rowOff>
    </xdr:to>
    <xdr:sp>
      <xdr:nvSpPr>
        <xdr:cNvPr id="4" name="7-конечная звезда 3"/>
        <xdr:cNvSpPr/>
      </xdr:nvSpPr>
      <xdr:spPr>
        <a:xfrm>
          <a:off x="7800975" y="1434465"/>
          <a:ext cx="66675" cy="95250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52</xdr:row>
      <xdr:rowOff>57150</xdr:rowOff>
    </xdr:from>
    <xdr:to>
      <xdr:col>2</xdr:col>
      <xdr:colOff>161925</xdr:colOff>
      <xdr:row>52</xdr:row>
      <xdr:rowOff>180975</xdr:rowOff>
    </xdr:to>
    <xdr:sp>
      <xdr:nvSpPr>
        <xdr:cNvPr id="5" name="7-конечная звезда 4"/>
        <xdr:cNvSpPr/>
      </xdr:nvSpPr>
      <xdr:spPr>
        <a:xfrm>
          <a:off x="838200" y="1098423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1019175</xdr:colOff>
      <xdr:row>29</xdr:row>
      <xdr:rowOff>0</xdr:rowOff>
    </xdr:from>
    <xdr:to>
      <xdr:col>2</xdr:col>
      <xdr:colOff>1085850</xdr:colOff>
      <xdr:row>29</xdr:row>
      <xdr:rowOff>85725</xdr:rowOff>
    </xdr:to>
    <xdr:sp>
      <xdr:nvSpPr>
        <xdr:cNvPr id="6" name="7-конечная звезда 5"/>
        <xdr:cNvSpPr/>
      </xdr:nvSpPr>
      <xdr:spPr>
        <a:xfrm>
          <a:off x="1790700" y="5564505"/>
          <a:ext cx="66675" cy="857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52</xdr:row>
      <xdr:rowOff>57150</xdr:rowOff>
    </xdr:from>
    <xdr:to>
      <xdr:col>2</xdr:col>
      <xdr:colOff>161925</xdr:colOff>
      <xdr:row>52</xdr:row>
      <xdr:rowOff>180975</xdr:rowOff>
    </xdr:to>
    <xdr:sp>
      <xdr:nvSpPr>
        <xdr:cNvPr id="7" name="7-конечная звезда 6"/>
        <xdr:cNvSpPr/>
      </xdr:nvSpPr>
      <xdr:spPr>
        <a:xfrm>
          <a:off x="838200" y="1098423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</xdr:row>
      <xdr:rowOff>38100</xdr:rowOff>
    </xdr:from>
    <xdr:to>
      <xdr:col>2</xdr:col>
      <xdr:colOff>1905000</xdr:colOff>
      <xdr:row>4</xdr:row>
      <xdr:rowOff>95250</xdr:rowOff>
    </xdr:to>
    <xdr:pic>
      <xdr:nvPicPr>
        <xdr:cNvPr id="3093" name="Рисунок 32" descr="IBT Garamond tj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3375" y="247650"/>
          <a:ext cx="2362200" cy="6743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1019175</xdr:colOff>
      <xdr:row>28</xdr:row>
      <xdr:rowOff>123825</xdr:rowOff>
    </xdr:from>
    <xdr:to>
      <xdr:col>2</xdr:col>
      <xdr:colOff>1114425</xdr:colOff>
      <xdr:row>29</xdr:row>
      <xdr:rowOff>104775</xdr:rowOff>
    </xdr:to>
    <xdr:sp>
      <xdr:nvSpPr>
        <xdr:cNvPr id="5" name="7-конечная звезда 4"/>
        <xdr:cNvSpPr/>
      </xdr:nvSpPr>
      <xdr:spPr>
        <a:xfrm>
          <a:off x="1809750" y="5688330"/>
          <a:ext cx="95250" cy="133350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55</xdr:row>
      <xdr:rowOff>57150</xdr:rowOff>
    </xdr:from>
    <xdr:to>
      <xdr:col>2</xdr:col>
      <xdr:colOff>161925</xdr:colOff>
      <xdr:row>55</xdr:row>
      <xdr:rowOff>180975</xdr:rowOff>
    </xdr:to>
    <xdr:sp>
      <xdr:nvSpPr>
        <xdr:cNvPr id="6" name="7-конечная звезда 5"/>
        <xdr:cNvSpPr/>
      </xdr:nvSpPr>
      <xdr:spPr>
        <a:xfrm>
          <a:off x="857250" y="1170813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56</xdr:row>
      <xdr:rowOff>57150</xdr:rowOff>
    </xdr:from>
    <xdr:to>
      <xdr:col>2</xdr:col>
      <xdr:colOff>161925</xdr:colOff>
      <xdr:row>56</xdr:row>
      <xdr:rowOff>180975</xdr:rowOff>
    </xdr:to>
    <xdr:sp>
      <xdr:nvSpPr>
        <xdr:cNvPr id="7" name="7-конечная звезда 6"/>
        <xdr:cNvSpPr/>
      </xdr:nvSpPr>
      <xdr:spPr>
        <a:xfrm>
          <a:off x="857250" y="1242060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1</xdr:row>
      <xdr:rowOff>38100</xdr:rowOff>
    </xdr:from>
    <xdr:to>
      <xdr:col>2</xdr:col>
      <xdr:colOff>1905000</xdr:colOff>
      <xdr:row>4</xdr:row>
      <xdr:rowOff>95250</xdr:rowOff>
    </xdr:to>
    <xdr:pic>
      <xdr:nvPicPr>
        <xdr:cNvPr id="4117" name="Рисунок 32" descr="IBT Garamond tj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3375" y="247650"/>
          <a:ext cx="2324100" cy="6743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1019175</xdr:colOff>
      <xdr:row>29</xdr:row>
      <xdr:rowOff>0</xdr:rowOff>
    </xdr:from>
    <xdr:to>
      <xdr:col>2</xdr:col>
      <xdr:colOff>1085850</xdr:colOff>
      <xdr:row>29</xdr:row>
      <xdr:rowOff>85725</xdr:rowOff>
    </xdr:to>
    <xdr:sp>
      <xdr:nvSpPr>
        <xdr:cNvPr id="8" name="7-конечная звезда 7"/>
        <xdr:cNvSpPr/>
      </xdr:nvSpPr>
      <xdr:spPr>
        <a:xfrm>
          <a:off x="1771650" y="5629275"/>
          <a:ext cx="66675" cy="857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53</xdr:row>
      <xdr:rowOff>57150</xdr:rowOff>
    </xdr:from>
    <xdr:to>
      <xdr:col>2</xdr:col>
      <xdr:colOff>161925</xdr:colOff>
      <xdr:row>53</xdr:row>
      <xdr:rowOff>180975</xdr:rowOff>
    </xdr:to>
    <xdr:sp>
      <xdr:nvSpPr>
        <xdr:cNvPr id="6" name="7-конечная звезда 5"/>
        <xdr:cNvSpPr/>
      </xdr:nvSpPr>
      <xdr:spPr>
        <a:xfrm>
          <a:off x="819150" y="1125855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54</xdr:row>
      <xdr:rowOff>57150</xdr:rowOff>
    </xdr:from>
    <xdr:to>
      <xdr:col>2</xdr:col>
      <xdr:colOff>161925</xdr:colOff>
      <xdr:row>54</xdr:row>
      <xdr:rowOff>180975</xdr:rowOff>
    </xdr:to>
    <xdr:sp>
      <xdr:nvSpPr>
        <xdr:cNvPr id="10" name="7-конечная звезда 9"/>
        <xdr:cNvSpPr/>
      </xdr:nvSpPr>
      <xdr:spPr>
        <a:xfrm>
          <a:off x="819150" y="1197102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1047750</xdr:colOff>
      <xdr:row>5</xdr:row>
      <xdr:rowOff>114300</xdr:rowOff>
    </xdr:from>
    <xdr:to>
      <xdr:col>2</xdr:col>
      <xdr:colOff>1143000</xdr:colOff>
      <xdr:row>6</xdr:row>
      <xdr:rowOff>85725</xdr:rowOff>
    </xdr:to>
    <xdr:sp>
      <xdr:nvSpPr>
        <xdr:cNvPr id="4" name="7-конечная звезда 3"/>
        <xdr:cNvSpPr/>
      </xdr:nvSpPr>
      <xdr:spPr>
        <a:xfrm>
          <a:off x="1838325" y="130746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21</xdr:row>
      <xdr:rowOff>57150</xdr:rowOff>
    </xdr:from>
    <xdr:to>
      <xdr:col>2</xdr:col>
      <xdr:colOff>161925</xdr:colOff>
      <xdr:row>21</xdr:row>
      <xdr:rowOff>180975</xdr:rowOff>
    </xdr:to>
    <xdr:sp>
      <xdr:nvSpPr>
        <xdr:cNvPr id="5" name="7-конечная звезда 4"/>
        <xdr:cNvSpPr/>
      </xdr:nvSpPr>
      <xdr:spPr>
        <a:xfrm>
          <a:off x="857250" y="552958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57150</xdr:colOff>
      <xdr:row>22</xdr:row>
      <xdr:rowOff>200025</xdr:rowOff>
    </xdr:from>
    <xdr:to>
      <xdr:col>2</xdr:col>
      <xdr:colOff>152400</xdr:colOff>
      <xdr:row>22</xdr:row>
      <xdr:rowOff>323850</xdr:rowOff>
    </xdr:to>
    <xdr:sp>
      <xdr:nvSpPr>
        <xdr:cNvPr id="6" name="7-конечная звезда 5"/>
        <xdr:cNvSpPr/>
      </xdr:nvSpPr>
      <xdr:spPr>
        <a:xfrm>
          <a:off x="847725" y="638492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1047750</xdr:colOff>
      <xdr:row>5</xdr:row>
      <xdr:rowOff>114300</xdr:rowOff>
    </xdr:from>
    <xdr:to>
      <xdr:col>2</xdr:col>
      <xdr:colOff>1143000</xdr:colOff>
      <xdr:row>6</xdr:row>
      <xdr:rowOff>85725</xdr:rowOff>
    </xdr:to>
    <xdr:sp>
      <xdr:nvSpPr>
        <xdr:cNvPr id="2" name="7-конечная звезда 1"/>
        <xdr:cNvSpPr/>
      </xdr:nvSpPr>
      <xdr:spPr>
        <a:xfrm>
          <a:off x="1838325" y="139827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25</xdr:row>
      <xdr:rowOff>57150</xdr:rowOff>
    </xdr:from>
    <xdr:to>
      <xdr:col>2</xdr:col>
      <xdr:colOff>161925</xdr:colOff>
      <xdr:row>25</xdr:row>
      <xdr:rowOff>180975</xdr:rowOff>
    </xdr:to>
    <xdr:sp>
      <xdr:nvSpPr>
        <xdr:cNvPr id="3" name="7-конечная звезда 2"/>
        <xdr:cNvSpPr/>
      </xdr:nvSpPr>
      <xdr:spPr>
        <a:xfrm>
          <a:off x="857250" y="714057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57150</xdr:colOff>
      <xdr:row>26</xdr:row>
      <xdr:rowOff>200025</xdr:rowOff>
    </xdr:from>
    <xdr:to>
      <xdr:col>2</xdr:col>
      <xdr:colOff>152400</xdr:colOff>
      <xdr:row>26</xdr:row>
      <xdr:rowOff>323850</xdr:rowOff>
    </xdr:to>
    <xdr:sp>
      <xdr:nvSpPr>
        <xdr:cNvPr id="4" name="7-конечная звезда 3"/>
        <xdr:cNvSpPr/>
      </xdr:nvSpPr>
      <xdr:spPr>
        <a:xfrm>
          <a:off x="847725" y="799592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1047750</xdr:colOff>
      <xdr:row>5</xdr:row>
      <xdr:rowOff>114300</xdr:rowOff>
    </xdr:from>
    <xdr:to>
      <xdr:col>2</xdr:col>
      <xdr:colOff>1143000</xdr:colOff>
      <xdr:row>6</xdr:row>
      <xdr:rowOff>85725</xdr:rowOff>
    </xdr:to>
    <xdr:sp>
      <xdr:nvSpPr>
        <xdr:cNvPr id="2" name="7-конечная звезда 1"/>
        <xdr:cNvSpPr/>
      </xdr:nvSpPr>
      <xdr:spPr>
        <a:xfrm>
          <a:off x="1838325" y="139827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25</xdr:row>
      <xdr:rowOff>57150</xdr:rowOff>
    </xdr:from>
    <xdr:to>
      <xdr:col>2</xdr:col>
      <xdr:colOff>161925</xdr:colOff>
      <xdr:row>25</xdr:row>
      <xdr:rowOff>180975</xdr:rowOff>
    </xdr:to>
    <xdr:sp>
      <xdr:nvSpPr>
        <xdr:cNvPr id="3" name="7-конечная звезда 2"/>
        <xdr:cNvSpPr/>
      </xdr:nvSpPr>
      <xdr:spPr>
        <a:xfrm>
          <a:off x="857250" y="674052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57150</xdr:colOff>
      <xdr:row>26</xdr:row>
      <xdr:rowOff>200025</xdr:rowOff>
    </xdr:from>
    <xdr:to>
      <xdr:col>2</xdr:col>
      <xdr:colOff>152400</xdr:colOff>
      <xdr:row>26</xdr:row>
      <xdr:rowOff>323850</xdr:rowOff>
    </xdr:to>
    <xdr:sp>
      <xdr:nvSpPr>
        <xdr:cNvPr id="4" name="7-конечная звезда 3"/>
        <xdr:cNvSpPr/>
      </xdr:nvSpPr>
      <xdr:spPr>
        <a:xfrm>
          <a:off x="847725" y="759587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1</xdr:row>
      <xdr:rowOff>95250</xdr:rowOff>
    </xdr:from>
    <xdr:to>
      <xdr:col>2</xdr:col>
      <xdr:colOff>1924050</xdr:colOff>
      <xdr:row>4</xdr:row>
      <xdr:rowOff>142875</xdr:rowOff>
    </xdr:to>
    <xdr:pic>
      <xdr:nvPicPr>
        <xdr:cNvPr id="2" name="Рисунок 32" descr="IBT Garamond tj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42900" y="304800"/>
          <a:ext cx="2209800" cy="66484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1047750</xdr:colOff>
      <xdr:row>27</xdr:row>
      <xdr:rowOff>114300</xdr:rowOff>
    </xdr:from>
    <xdr:to>
      <xdr:col>2</xdr:col>
      <xdr:colOff>1143000</xdr:colOff>
      <xdr:row>28</xdr:row>
      <xdr:rowOff>85725</xdr:rowOff>
    </xdr:to>
    <xdr:sp>
      <xdr:nvSpPr>
        <xdr:cNvPr id="3" name="7-конечная звезда 2"/>
        <xdr:cNvSpPr/>
      </xdr:nvSpPr>
      <xdr:spPr>
        <a:xfrm>
          <a:off x="1676400" y="540956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1047750</xdr:colOff>
      <xdr:row>27</xdr:row>
      <xdr:rowOff>114300</xdr:rowOff>
    </xdr:from>
    <xdr:to>
      <xdr:col>2</xdr:col>
      <xdr:colOff>1143000</xdr:colOff>
      <xdr:row>28</xdr:row>
      <xdr:rowOff>85725</xdr:rowOff>
    </xdr:to>
    <xdr:sp>
      <xdr:nvSpPr>
        <xdr:cNvPr id="4" name="7-конечная звезда 3"/>
        <xdr:cNvSpPr/>
      </xdr:nvSpPr>
      <xdr:spPr>
        <a:xfrm>
          <a:off x="1676400" y="5409565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66675</xdr:colOff>
      <xdr:row>53</xdr:row>
      <xdr:rowOff>57150</xdr:rowOff>
    </xdr:from>
    <xdr:to>
      <xdr:col>2</xdr:col>
      <xdr:colOff>161925</xdr:colOff>
      <xdr:row>53</xdr:row>
      <xdr:rowOff>180975</xdr:rowOff>
    </xdr:to>
    <xdr:sp>
      <xdr:nvSpPr>
        <xdr:cNvPr id="5" name="7-конечная звезда 4"/>
        <xdr:cNvSpPr/>
      </xdr:nvSpPr>
      <xdr:spPr>
        <a:xfrm>
          <a:off x="695325" y="1184656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  <xdr:twoCellAnchor>
    <xdr:from>
      <xdr:col>2</xdr:col>
      <xdr:colOff>76200</xdr:colOff>
      <xdr:row>54</xdr:row>
      <xdr:rowOff>76200</xdr:rowOff>
    </xdr:from>
    <xdr:to>
      <xdr:col>2</xdr:col>
      <xdr:colOff>171450</xdr:colOff>
      <xdr:row>54</xdr:row>
      <xdr:rowOff>200025</xdr:rowOff>
    </xdr:to>
    <xdr:sp>
      <xdr:nvSpPr>
        <xdr:cNvPr id="6" name="7-конечная звезда 5"/>
        <xdr:cNvSpPr/>
      </xdr:nvSpPr>
      <xdr:spPr>
        <a:xfrm>
          <a:off x="704850" y="12654280"/>
          <a:ext cx="95250" cy="123825"/>
        </a:xfrm>
        <a:prstGeom prst="star7">
          <a:avLst/>
        </a:prstGeom>
        <a:solidFill>
          <a:srgbClr val="FFFF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="horz" wrap="square" lIns="91440" tIns="45720" rIns="91440" bIns="45720" rtlCol="0" anchor="ctr">
          <a:noAutofit/>
        </a:bodyPr>
        <a:lstStyle/>
        <a:p>
          <a:endParaRPr lang="ru-RU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63500</xdr:colOff>
      <xdr:row>1</xdr:row>
      <xdr:rowOff>101600</xdr:rowOff>
    </xdr:from>
    <xdr:to>
      <xdr:col>2</xdr:col>
      <xdr:colOff>1460011</xdr:colOff>
      <xdr:row>5</xdr:row>
      <xdr:rowOff>9280</xdr:rowOff>
    </xdr:to>
    <xdr:pic>
      <xdr:nvPicPr>
        <xdr:cNvPr id="2" name="Рисунок 1" descr="для почты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300" y="854075"/>
          <a:ext cx="1720215" cy="7435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B2:F52"/>
  <sheetViews>
    <sheetView zoomScale="115" zoomScaleNormal="115" topLeftCell="A19" workbookViewId="0">
      <selection activeCell="C40" sqref="C40"/>
    </sheetView>
  </sheetViews>
  <sheetFormatPr defaultColWidth="9.14285714285714" defaultRowHeight="16.5" outlineLevelCol="5"/>
  <cols>
    <col min="1" max="1" width="4.57142857142857" style="2" customWidth="1"/>
    <col min="2" max="2" width="7.28571428571429" style="2" customWidth="1"/>
    <col min="3" max="3" width="63" style="2" customWidth="1"/>
    <col min="4" max="4" width="16.4285714285714" style="2" customWidth="1"/>
    <col min="5" max="5" width="17.4285714285714" style="2" customWidth="1"/>
    <col min="6" max="6" width="16.5714285714286" style="2" customWidth="1"/>
    <col min="7" max="7" width="3.71428571428571" style="2" customWidth="1"/>
    <col min="8" max="16384" width="9.14285714285714" style="2"/>
  </cols>
  <sheetData>
    <row r="2" spans="2:6">
      <c r="B2" s="5"/>
      <c r="C2" s="5"/>
      <c r="D2" s="5"/>
      <c r="E2" s="5"/>
      <c r="F2" s="5"/>
    </row>
    <row r="3" ht="21" spans="2:6">
      <c r="B3" s="6" t="s">
        <v>0</v>
      </c>
      <c r="C3" s="7"/>
      <c r="D3" s="7"/>
      <c r="E3" s="7"/>
      <c r="F3" s="7"/>
    </row>
    <row r="4" ht="11.1" customHeight="1" spans="2:6">
      <c r="B4" s="6"/>
      <c r="C4" s="7"/>
      <c r="D4" s="7"/>
      <c r="E4" s="7"/>
      <c r="F4" s="7"/>
    </row>
    <row r="5" ht="17.25" spans="2:6">
      <c r="B5" s="5"/>
      <c r="C5" s="8"/>
      <c r="D5" s="5"/>
      <c r="E5" s="10" t="s">
        <v>1</v>
      </c>
      <c r="F5" s="10"/>
    </row>
    <row r="6" ht="8.1" customHeight="1" spans="2:6">
      <c r="B6" s="11"/>
      <c r="C6" s="5"/>
      <c r="D6" s="5"/>
      <c r="E6" s="5"/>
      <c r="F6" s="5"/>
    </row>
    <row r="7" ht="21" customHeight="1" spans="2:6">
      <c r="B7" s="12" t="s">
        <v>2</v>
      </c>
      <c r="C7" s="13"/>
      <c r="D7" s="13"/>
      <c r="E7" s="13"/>
      <c r="F7" s="13"/>
    </row>
    <row r="8" ht="21" customHeight="1" spans="2:6">
      <c r="B8" s="14" t="s">
        <v>3</v>
      </c>
      <c r="C8" s="15"/>
      <c r="D8" s="15"/>
      <c r="E8" s="15"/>
      <c r="F8" s="15"/>
    </row>
    <row r="9" ht="5.1" customHeight="1" spans="2:6">
      <c r="B9" s="11"/>
      <c r="C9" s="5"/>
      <c r="D9" s="5"/>
      <c r="E9" s="5"/>
      <c r="F9" s="5"/>
    </row>
    <row r="10" ht="18" spans="2:6">
      <c r="B10" s="16" t="s">
        <v>4</v>
      </c>
      <c r="C10" s="17"/>
      <c r="D10" s="17"/>
      <c r="E10" s="17"/>
      <c r="F10" s="17"/>
    </row>
    <row r="11" spans="2:6">
      <c r="B11" s="18" t="s">
        <v>5</v>
      </c>
      <c r="C11" s="19"/>
      <c r="D11" s="19"/>
      <c r="E11" s="19"/>
      <c r="F11" s="19"/>
    </row>
    <row r="12" ht="9" customHeight="1" spans="2:6">
      <c r="B12" s="18"/>
      <c r="C12" s="19"/>
      <c r="D12" s="19"/>
      <c r="E12" s="19"/>
      <c r="F12" s="19"/>
    </row>
    <row r="13" ht="17.25" spans="2:6">
      <c r="B13" s="18"/>
      <c r="C13" s="20" t="s">
        <v>6</v>
      </c>
      <c r="D13" s="166">
        <v>42826</v>
      </c>
      <c r="E13" s="166"/>
      <c r="F13" s="166"/>
    </row>
    <row r="14" ht="9" customHeight="1" spans="2:6">
      <c r="B14" s="18"/>
      <c r="C14" s="19"/>
      <c r="D14" s="19"/>
      <c r="E14" s="19"/>
      <c r="F14" s="19"/>
    </row>
    <row r="15" spans="2:6">
      <c r="B15" s="18"/>
      <c r="C15" s="22" t="s">
        <v>7</v>
      </c>
      <c r="D15" s="19"/>
      <c r="E15" s="19"/>
      <c r="F15" s="19"/>
    </row>
    <row r="16" ht="9" customHeight="1" spans="2:6">
      <c r="B16" s="18"/>
      <c r="C16" s="23"/>
      <c r="D16" s="19"/>
      <c r="E16" s="19"/>
      <c r="F16" s="19"/>
    </row>
    <row r="17" ht="18" spans="2:6">
      <c r="B17" s="18"/>
      <c r="C17" s="24" t="s">
        <v>8</v>
      </c>
      <c r="D17" s="25" t="s">
        <v>9</v>
      </c>
      <c r="E17" s="25"/>
      <c r="F17" s="25"/>
    </row>
    <row r="18" ht="9" customHeight="1" spans="2:6">
      <c r="B18" s="18"/>
      <c r="C18" s="26"/>
      <c r="D18" s="11"/>
      <c r="E18" s="11"/>
      <c r="F18" s="11"/>
    </row>
    <row r="19" ht="18" spans="2:6">
      <c r="B19" s="18"/>
      <c r="C19" s="24" t="s">
        <v>10</v>
      </c>
      <c r="D19" s="25" t="s">
        <v>11</v>
      </c>
      <c r="E19" s="25"/>
      <c r="F19" s="25"/>
    </row>
    <row r="20" ht="9" customHeight="1" spans="2:6">
      <c r="B20" s="18"/>
      <c r="C20" s="26"/>
      <c r="D20" s="11"/>
      <c r="E20" s="11"/>
      <c r="F20" s="11"/>
    </row>
    <row r="21" ht="18" spans="2:6">
      <c r="B21" s="5"/>
      <c r="C21" s="24" t="s">
        <v>12</v>
      </c>
      <c r="D21" s="25">
        <v>11</v>
      </c>
      <c r="E21" s="25" t="s">
        <v>13</v>
      </c>
      <c r="F21" s="25"/>
    </row>
    <row r="22" ht="11.1" customHeight="1" spans="2:6">
      <c r="B22" s="5"/>
      <c r="C22" s="26"/>
      <c r="D22" s="11"/>
      <c r="E22" s="11"/>
      <c r="F22" s="11"/>
    </row>
    <row r="23" ht="15" customHeight="1" spans="2:6">
      <c r="B23" s="5"/>
      <c r="C23" s="24" t="s">
        <v>14</v>
      </c>
      <c r="D23" s="28"/>
      <c r="E23" s="11"/>
      <c r="F23" s="11"/>
    </row>
    <row r="24" ht="17.25" spans="2:6">
      <c r="B24" s="5"/>
      <c r="C24" s="29"/>
      <c r="D24" s="30"/>
      <c r="E24" s="30"/>
      <c r="F24" s="30"/>
    </row>
    <row r="25" ht="24" customHeight="1" spans="2:6">
      <c r="B25" s="31" t="s">
        <v>15</v>
      </c>
      <c r="C25" s="32" t="s">
        <v>16</v>
      </c>
      <c r="D25" s="31" t="s">
        <v>17</v>
      </c>
      <c r="E25" s="31" t="s">
        <v>18</v>
      </c>
      <c r="F25" s="30"/>
    </row>
    <row r="26" ht="18" customHeight="1" spans="2:6">
      <c r="B26" s="34">
        <v>1</v>
      </c>
      <c r="C26" s="286" t="s">
        <v>19</v>
      </c>
      <c r="D26" s="36">
        <v>6</v>
      </c>
      <c r="E26" s="36">
        <v>48000</v>
      </c>
      <c r="F26" s="339"/>
    </row>
    <row r="27" ht="18" customHeight="1" spans="2:6">
      <c r="B27" s="34">
        <v>2</v>
      </c>
      <c r="C27" s="286" t="s">
        <v>20</v>
      </c>
      <c r="D27" s="36">
        <v>10</v>
      </c>
      <c r="E27" s="36">
        <v>425251.8</v>
      </c>
      <c r="F27" s="30"/>
    </row>
    <row r="28" ht="18" customHeight="1" spans="2:6">
      <c r="B28" s="42">
        <v>3</v>
      </c>
      <c r="C28" s="289" t="s">
        <v>21</v>
      </c>
      <c r="D28" s="171">
        <f>D27/D26</f>
        <v>1.66666666666667</v>
      </c>
      <c r="E28" s="171">
        <f>E27/E26</f>
        <v>8.8594125</v>
      </c>
      <c r="F28" s="339"/>
    </row>
    <row r="29" ht="12" customHeight="1" spans="2:6">
      <c r="B29" s="5"/>
      <c r="C29" s="48"/>
      <c r="D29" s="30"/>
      <c r="E29" s="30"/>
      <c r="F29" s="30"/>
    </row>
    <row r="30" spans="2:6">
      <c r="B30" s="5"/>
      <c r="C30" s="304" t="s">
        <v>22</v>
      </c>
      <c r="D30" s="5"/>
      <c r="E30" s="5"/>
      <c r="F30" s="5"/>
    </row>
    <row r="31" s="1" customFormat="1" ht="30" customHeight="1" spans="2:6">
      <c r="B31" s="32" t="s">
        <v>15</v>
      </c>
      <c r="C31" s="32" t="s">
        <v>23</v>
      </c>
      <c r="D31" s="32" t="s">
        <v>24</v>
      </c>
      <c r="E31" s="32" t="s">
        <v>25</v>
      </c>
      <c r="F31" s="32" t="s">
        <v>26</v>
      </c>
    </row>
    <row r="32" spans="2:6">
      <c r="B32" s="34">
        <v>1</v>
      </c>
      <c r="C32" s="305" t="s">
        <v>27</v>
      </c>
      <c r="D32" s="177">
        <v>10</v>
      </c>
      <c r="E32" s="306">
        <v>30</v>
      </c>
      <c r="F32" s="306">
        <f>D32*E32</f>
        <v>300</v>
      </c>
    </row>
    <row r="33" ht="30" spans="2:6">
      <c r="B33" s="69">
        <v>2</v>
      </c>
      <c r="C33" s="308" t="s">
        <v>28</v>
      </c>
      <c r="D33" s="297">
        <v>16398.27793375</v>
      </c>
      <c r="E33" s="309">
        <v>0.02</v>
      </c>
      <c r="F33" s="310">
        <f>D33*E33</f>
        <v>327.965558675</v>
      </c>
    </row>
    <row r="34" spans="2:6">
      <c r="B34" s="311"/>
      <c r="C34" s="311"/>
      <c r="D34" s="312"/>
      <c r="E34" s="313" t="s">
        <v>29</v>
      </c>
      <c r="F34" s="314">
        <f>SUM(F32:F33)</f>
        <v>627.965558675</v>
      </c>
    </row>
    <row r="35" spans="2:6">
      <c r="B35" s="5"/>
      <c r="C35" s="5"/>
      <c r="D35" s="315"/>
      <c r="E35" s="5"/>
      <c r="F35" s="316"/>
    </row>
    <row r="36" spans="2:6">
      <c r="B36" s="5"/>
      <c r="C36" s="304" t="s">
        <v>30</v>
      </c>
      <c r="D36" s="315"/>
      <c r="E36" s="5"/>
      <c r="F36" s="316"/>
    </row>
    <row r="37" s="1" customFormat="1" ht="30" customHeight="1" spans="2:6">
      <c r="B37" s="32" t="s">
        <v>15</v>
      </c>
      <c r="C37" s="32" t="s">
        <v>23</v>
      </c>
      <c r="D37" s="32" t="s">
        <v>24</v>
      </c>
      <c r="E37" s="32" t="s">
        <v>25</v>
      </c>
      <c r="F37" s="32" t="s">
        <v>31</v>
      </c>
    </row>
    <row r="38" spans="2:6">
      <c r="B38" s="34">
        <v>1</v>
      </c>
      <c r="C38" s="305" t="s">
        <v>32</v>
      </c>
      <c r="D38" s="177">
        <v>0</v>
      </c>
      <c r="E38" s="306">
        <v>30</v>
      </c>
      <c r="F38" s="306">
        <f>D38*E38</f>
        <v>0</v>
      </c>
    </row>
    <row r="39" spans="2:6">
      <c r="B39" s="34">
        <v>2</v>
      </c>
      <c r="C39" s="305" t="s">
        <v>33</v>
      </c>
      <c r="D39" s="177">
        <v>0</v>
      </c>
      <c r="E39" s="306">
        <v>50</v>
      </c>
      <c r="F39" s="306">
        <f>D39*E39</f>
        <v>0</v>
      </c>
    </row>
    <row r="40" spans="2:6">
      <c r="B40" s="34">
        <v>3</v>
      </c>
      <c r="C40" s="305" t="s">
        <v>34</v>
      </c>
      <c r="D40" s="177">
        <v>0</v>
      </c>
      <c r="E40" s="317">
        <v>0.01</v>
      </c>
      <c r="F40" s="318">
        <f>D40*E40</f>
        <v>0</v>
      </c>
    </row>
    <row r="41" spans="2:6">
      <c r="B41" s="42">
        <v>4</v>
      </c>
      <c r="C41" s="319" t="s">
        <v>35</v>
      </c>
      <c r="D41" s="297">
        <v>0</v>
      </c>
      <c r="E41" s="320">
        <v>30</v>
      </c>
      <c r="F41" s="320">
        <f>D41*E41</f>
        <v>0</v>
      </c>
    </row>
    <row r="42" spans="2:6">
      <c r="B42" s="311"/>
      <c r="C42" s="311"/>
      <c r="D42" s="312"/>
      <c r="E42" s="321" t="s">
        <v>29</v>
      </c>
      <c r="F42" s="322">
        <f>-SUM(F38:F41)</f>
        <v>0</v>
      </c>
    </row>
    <row r="43" spans="2:6">
      <c r="B43" s="5"/>
      <c r="C43" s="5"/>
      <c r="D43" s="315"/>
      <c r="E43" s="5"/>
      <c r="F43" s="316"/>
    </row>
    <row r="44" ht="17.25" spans="2:6">
      <c r="B44" s="5"/>
      <c r="C44" s="304" t="s">
        <v>36</v>
      </c>
      <c r="D44" s="5"/>
      <c r="E44" s="323" t="e">
        <f>E46/D23</f>
        <v>#DIV/0!</v>
      </c>
      <c r="F44" s="5"/>
    </row>
    <row r="45" spans="2:6">
      <c r="B45" s="5"/>
      <c r="C45" s="5"/>
      <c r="D45" s="5"/>
      <c r="E45" s="5"/>
      <c r="F45" s="5"/>
    </row>
    <row r="46" ht="18" spans="2:6">
      <c r="B46" s="5"/>
      <c r="C46" s="324" t="s">
        <v>37</v>
      </c>
      <c r="D46" s="325"/>
      <c r="E46" s="326">
        <f>F34+F42</f>
        <v>627.965558675</v>
      </c>
      <c r="F46" s="5"/>
    </row>
    <row r="47" spans="2:6">
      <c r="B47" s="5"/>
      <c r="C47" s="5"/>
      <c r="D47" s="5"/>
      <c r="E47" s="5"/>
      <c r="F47" s="5"/>
    </row>
    <row r="48" spans="2:6">
      <c r="B48" s="5"/>
      <c r="C48" s="5" t="s">
        <v>38</v>
      </c>
      <c r="D48" s="5"/>
      <c r="E48" s="5"/>
      <c r="F48" s="5"/>
    </row>
    <row r="49" spans="2:6">
      <c r="B49" s="5"/>
      <c r="C49" s="5"/>
      <c r="D49" s="5"/>
      <c r="E49" s="5"/>
      <c r="F49" s="5"/>
    </row>
    <row r="50" spans="2:6">
      <c r="B50" s="5"/>
      <c r="C50" s="5" t="s">
        <v>39</v>
      </c>
      <c r="D50" s="5"/>
      <c r="E50" s="5"/>
      <c r="F50" s="5"/>
    </row>
    <row r="51" spans="2:6">
      <c r="B51" s="5"/>
      <c r="C51" s="5"/>
      <c r="D51" s="5"/>
      <c r="E51" s="5"/>
      <c r="F51" s="5"/>
    </row>
    <row r="52" ht="39" customHeight="1" spans="2:6">
      <c r="B52" s="5"/>
      <c r="C52" s="327" t="s">
        <v>40</v>
      </c>
      <c r="D52" s="328"/>
      <c r="E52" s="328"/>
      <c r="F52" s="328"/>
    </row>
  </sheetData>
  <mergeCells count="12">
    <mergeCell ref="B3:F3"/>
    <mergeCell ref="E5:F5"/>
    <mergeCell ref="B7:F7"/>
    <mergeCell ref="B8:F8"/>
    <mergeCell ref="B10:F10"/>
    <mergeCell ref="B11:F11"/>
    <mergeCell ref="D13:F13"/>
    <mergeCell ref="D17:F17"/>
    <mergeCell ref="D19:F19"/>
    <mergeCell ref="E21:F21"/>
    <mergeCell ref="D24:F24"/>
    <mergeCell ref="C52:F52"/>
  </mergeCells>
  <pageMargins left="0.21" right="0.21" top="0.28" bottom="0.36" header="0.5" footer="0.31496062992126"/>
  <pageSetup paperSize="9" scale="77" fitToHeight="100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B1:J64"/>
  <sheetViews>
    <sheetView view="pageBreakPreview" zoomScaleNormal="150" topLeftCell="A19" workbookViewId="0">
      <selection activeCell="F26" sqref="F26"/>
    </sheetView>
  </sheetViews>
  <sheetFormatPr defaultColWidth="9.14285714285714" defaultRowHeight="16.5"/>
  <cols>
    <col min="1" max="1" width="4.57142857142857" style="2" customWidth="1"/>
    <col min="2" max="2" width="4.85714285714286" style="2" customWidth="1"/>
    <col min="3" max="3" width="51.1428571428571" style="2" customWidth="1"/>
    <col min="4" max="4" width="21.2857142857143" style="2" customWidth="1"/>
    <col min="5" max="5" width="19" style="2" customWidth="1"/>
    <col min="6" max="6" width="18.8571428571429" style="2" customWidth="1"/>
    <col min="7" max="7" width="16.5714285714286" style="2" customWidth="1"/>
    <col min="8" max="8" width="10" style="2" customWidth="1"/>
    <col min="9" max="9" width="3.28571428571429" style="2" customWidth="1"/>
    <col min="10" max="10" width="9" style="2" customWidth="1"/>
    <col min="11" max="11" width="28.5714285714286" style="2" customWidth="1"/>
    <col min="12" max="16384" width="9.14285714285714" style="2"/>
  </cols>
  <sheetData>
    <row r="1" ht="59.25" customHeight="1" spans="2:8">
      <c r="B1" s="3" t="s">
        <v>159</v>
      </c>
      <c r="C1" s="3"/>
      <c r="D1" s="3"/>
      <c r="E1" s="3"/>
      <c r="F1" s="3"/>
      <c r="G1" s="3"/>
      <c r="H1" s="4"/>
    </row>
    <row r="2" spans="2:7">
      <c r="B2" s="5"/>
      <c r="C2" s="5"/>
      <c r="D2" s="5"/>
      <c r="E2" s="5"/>
      <c r="F2" s="5"/>
      <c r="G2" s="5"/>
    </row>
    <row r="3" ht="21" spans="2:7">
      <c r="B3" s="6" t="s">
        <v>160</v>
      </c>
      <c r="C3" s="7"/>
      <c r="D3" s="7"/>
      <c r="E3" s="7"/>
      <c r="F3" s="7"/>
      <c r="G3" s="5"/>
    </row>
    <row r="4" ht="11.1" customHeight="1" spans="2:7">
      <c r="B4" s="6"/>
      <c r="C4" s="7"/>
      <c r="D4" s="7"/>
      <c r="E4" s="7"/>
      <c r="F4" s="7"/>
      <c r="G4" s="5"/>
    </row>
    <row r="5" ht="17.25" spans="2:7">
      <c r="B5" s="5"/>
      <c r="C5" s="8"/>
      <c r="D5" s="5"/>
      <c r="E5" s="9"/>
      <c r="F5" s="10" t="s">
        <v>1</v>
      </c>
      <c r="G5" s="10"/>
    </row>
    <row r="6" ht="8.1" customHeight="1" spans="2:7">
      <c r="B6" s="11"/>
      <c r="C6" s="5"/>
      <c r="D6" s="5"/>
      <c r="E6" s="5"/>
      <c r="F6" s="5"/>
      <c r="G6" s="5"/>
    </row>
    <row r="7" ht="18" spans="2:7">
      <c r="B7" s="12" t="s">
        <v>2</v>
      </c>
      <c r="C7" s="13"/>
      <c r="D7" s="13"/>
      <c r="E7" s="13"/>
      <c r="F7" s="13"/>
      <c r="G7" s="5"/>
    </row>
    <row r="8" spans="2:7">
      <c r="B8" s="14"/>
      <c r="C8" s="15"/>
      <c r="D8" s="15"/>
      <c r="E8" s="15"/>
      <c r="F8" s="15"/>
      <c r="G8" s="5"/>
    </row>
    <row r="9" ht="18" spans="2:7">
      <c r="B9" s="16" t="s">
        <v>161</v>
      </c>
      <c r="C9" s="17"/>
      <c r="D9" s="17"/>
      <c r="E9" s="17"/>
      <c r="F9" s="17"/>
      <c r="G9" s="5"/>
    </row>
    <row r="10" spans="2:7">
      <c r="B10" s="18" t="s">
        <v>5</v>
      </c>
      <c r="C10" s="19"/>
      <c r="D10" s="19"/>
      <c r="E10" s="19"/>
      <c r="F10" s="19"/>
      <c r="G10" s="5"/>
    </row>
    <row r="11" ht="9" customHeight="1" spans="2:7">
      <c r="B11" s="18"/>
      <c r="C11" s="19"/>
      <c r="D11" s="19"/>
      <c r="E11" s="19"/>
      <c r="F11" s="19"/>
      <c r="G11" s="5"/>
    </row>
    <row r="12" ht="17.25" spans="2:7">
      <c r="B12" s="18"/>
      <c r="C12" s="20" t="s">
        <v>6</v>
      </c>
      <c r="D12" s="21">
        <v>45322</v>
      </c>
      <c r="E12" s="21"/>
      <c r="F12" s="21"/>
      <c r="G12" s="5"/>
    </row>
    <row r="13" ht="9" customHeight="1" spans="2:7">
      <c r="B13" s="18"/>
      <c r="C13" s="19"/>
      <c r="D13" s="19"/>
      <c r="E13" s="19"/>
      <c r="F13" s="19"/>
      <c r="G13" s="5"/>
    </row>
    <row r="14" spans="2:7">
      <c r="B14" s="18"/>
      <c r="C14" s="22" t="s">
        <v>7</v>
      </c>
      <c r="D14" s="19"/>
      <c r="E14" s="19"/>
      <c r="F14" s="19"/>
      <c r="G14" s="5"/>
    </row>
    <row r="15" ht="9" customHeight="1" spans="2:7">
      <c r="B15" s="18"/>
      <c r="C15" s="23"/>
      <c r="D15" s="19"/>
      <c r="E15" s="19"/>
      <c r="F15" s="19"/>
      <c r="G15" s="5"/>
    </row>
    <row r="16" ht="18" spans="2:7">
      <c r="B16" s="18"/>
      <c r="C16" s="24" t="s">
        <v>8</v>
      </c>
      <c r="D16" s="25" t="s">
        <v>162</v>
      </c>
      <c r="E16" s="25"/>
      <c r="F16" s="25"/>
      <c r="G16" s="5"/>
    </row>
    <row r="17" spans="2:7">
      <c r="B17" s="18"/>
      <c r="C17" s="26"/>
      <c r="D17" s="11"/>
      <c r="E17" s="11"/>
      <c r="F17" s="11"/>
      <c r="G17" s="5"/>
    </row>
    <row r="18" ht="18" spans="2:7">
      <c r="B18" s="18"/>
      <c r="C18" s="24" t="s">
        <v>10</v>
      </c>
      <c r="D18" s="25" t="s">
        <v>163</v>
      </c>
      <c r="E18" s="25"/>
      <c r="F18" s="25"/>
      <c r="G18" s="5"/>
    </row>
    <row r="19" spans="2:7">
      <c r="B19" s="18"/>
      <c r="C19" s="26"/>
      <c r="D19" s="11"/>
      <c r="E19" s="11"/>
      <c r="F19" s="11"/>
      <c r="G19" s="5"/>
    </row>
    <row r="20" ht="18" spans="2:7">
      <c r="B20" s="5"/>
      <c r="C20" s="24" t="s">
        <v>12</v>
      </c>
      <c r="D20" s="27">
        <v>3</v>
      </c>
      <c r="E20" s="25" t="s">
        <v>13</v>
      </c>
      <c r="F20" s="25"/>
      <c r="G20" s="5"/>
    </row>
    <row r="21" spans="2:7">
      <c r="B21" s="5"/>
      <c r="C21" s="26"/>
      <c r="D21" s="11"/>
      <c r="E21" s="11"/>
      <c r="F21" s="11"/>
      <c r="G21" s="5"/>
    </row>
    <row r="22" ht="18" spans="2:7">
      <c r="B22" s="5"/>
      <c r="C22" s="24" t="s">
        <v>14</v>
      </c>
      <c r="D22" s="28">
        <v>2000</v>
      </c>
      <c r="E22" s="11" t="s">
        <v>164</v>
      </c>
      <c r="F22" s="11"/>
      <c r="G22" s="5"/>
    </row>
    <row r="23" ht="17.25" spans="2:7">
      <c r="B23" s="5"/>
      <c r="C23" s="29"/>
      <c r="D23" s="30"/>
      <c r="E23" s="30"/>
      <c r="F23" s="30"/>
      <c r="G23" s="5"/>
    </row>
    <row r="24" ht="27" spans="2:7">
      <c r="B24" s="31" t="s">
        <v>15</v>
      </c>
      <c r="C24" s="32" t="s">
        <v>85</v>
      </c>
      <c r="D24" s="32"/>
      <c r="E24" s="31" t="s">
        <v>165</v>
      </c>
      <c r="F24" s="31" t="s">
        <v>166</v>
      </c>
      <c r="G24" s="33" t="s">
        <v>48</v>
      </c>
    </row>
    <row r="25" spans="2:7">
      <c r="B25" s="34">
        <v>1</v>
      </c>
      <c r="C25" s="35" t="s">
        <v>167</v>
      </c>
      <c r="D25" s="35"/>
      <c r="E25" s="36">
        <v>0</v>
      </c>
      <c r="F25" s="36">
        <v>0</v>
      </c>
      <c r="G25" s="37" t="e">
        <f>F25/E25</f>
        <v>#DIV/0!</v>
      </c>
    </row>
    <row r="26" spans="2:7">
      <c r="B26" s="38"/>
      <c r="C26" s="39" t="s">
        <v>168</v>
      </c>
      <c r="D26" s="40"/>
      <c r="E26" s="41">
        <v>150</v>
      </c>
      <c r="F26" s="41">
        <v>0</v>
      </c>
      <c r="G26" s="37">
        <f>F26/E26</f>
        <v>0</v>
      </c>
    </row>
    <row r="27" ht="17.25" spans="2:7">
      <c r="B27" s="42"/>
      <c r="C27" s="43" t="s">
        <v>21</v>
      </c>
      <c r="D27" s="44"/>
      <c r="E27" s="44"/>
      <c r="F27" s="45"/>
      <c r="G27" s="46" t="e">
        <f>(G25+G26)/2</f>
        <v>#DIV/0!</v>
      </c>
    </row>
    <row r="28" spans="2:7">
      <c r="B28" s="47"/>
      <c r="C28" s="48"/>
      <c r="D28" s="48"/>
      <c r="E28" s="30"/>
      <c r="F28" s="30"/>
      <c r="G28" s="30"/>
    </row>
    <row r="29" spans="2:7">
      <c r="B29" s="47"/>
      <c r="C29" s="49" t="s">
        <v>22</v>
      </c>
      <c r="D29" s="49"/>
      <c r="E29" s="47"/>
      <c r="F29" s="47"/>
      <c r="G29" s="47"/>
    </row>
    <row r="30" s="1" customFormat="1" ht="15" spans="2:7">
      <c r="B30" s="32" t="s">
        <v>15</v>
      </c>
      <c r="C30" s="32" t="s">
        <v>23</v>
      </c>
      <c r="D30" s="32"/>
      <c r="E30" s="32" t="s">
        <v>24</v>
      </c>
      <c r="F30" s="32" t="s">
        <v>25</v>
      </c>
      <c r="G30" s="32" t="s">
        <v>86</v>
      </c>
    </row>
    <row r="31" spans="2:7">
      <c r="B31" s="50"/>
      <c r="C31" s="50"/>
      <c r="D31" s="50"/>
      <c r="E31" s="50"/>
      <c r="F31" s="50"/>
      <c r="G31" s="50"/>
    </row>
    <row r="32" spans="2:7">
      <c r="B32" s="51">
        <v>1</v>
      </c>
      <c r="C32" s="52" t="s">
        <v>169</v>
      </c>
      <c r="D32" s="51" t="s">
        <v>167</v>
      </c>
      <c r="E32" s="53">
        <v>0</v>
      </c>
      <c r="F32" s="53">
        <v>200</v>
      </c>
      <c r="G32" s="53">
        <f t="shared" ref="G32:G37" si="0">E32*F32</f>
        <v>0</v>
      </c>
    </row>
    <row r="33" spans="2:7">
      <c r="B33" s="51">
        <v>2</v>
      </c>
      <c r="C33" s="52" t="s">
        <v>170</v>
      </c>
      <c r="D33" s="51" t="s">
        <v>168</v>
      </c>
      <c r="E33" s="53">
        <v>0</v>
      </c>
      <c r="F33" s="53">
        <v>10</v>
      </c>
      <c r="G33" s="53">
        <f t="shared" si="0"/>
        <v>0</v>
      </c>
    </row>
    <row r="34" spans="2:7">
      <c r="B34" s="51">
        <v>3</v>
      </c>
      <c r="C34" s="54" t="s">
        <v>171</v>
      </c>
      <c r="D34" s="54"/>
      <c r="E34" s="53">
        <v>0</v>
      </c>
      <c r="F34" s="53">
        <v>500</v>
      </c>
      <c r="G34" s="53">
        <f t="shared" si="0"/>
        <v>0</v>
      </c>
    </row>
    <row r="35" spans="2:7">
      <c r="B35" s="51">
        <v>4</v>
      </c>
      <c r="C35" s="54" t="s">
        <v>172</v>
      </c>
      <c r="D35" s="54"/>
      <c r="E35" s="53">
        <v>0</v>
      </c>
      <c r="F35" s="53">
        <v>300</v>
      </c>
      <c r="G35" s="53">
        <f t="shared" si="0"/>
        <v>0</v>
      </c>
    </row>
    <row r="36" spans="2:7">
      <c r="B36" s="51">
        <v>5</v>
      </c>
      <c r="C36" s="55" t="s">
        <v>173</v>
      </c>
      <c r="D36" s="55"/>
      <c r="E36" s="56">
        <v>0</v>
      </c>
      <c r="F36" s="57">
        <v>0.0001</v>
      </c>
      <c r="G36" s="56">
        <f t="shared" si="0"/>
        <v>0</v>
      </c>
    </row>
    <row r="37" spans="2:7">
      <c r="B37" s="51">
        <v>6</v>
      </c>
      <c r="C37" s="58" t="s">
        <v>174</v>
      </c>
      <c r="D37" s="59"/>
      <c r="E37" s="56">
        <v>0</v>
      </c>
      <c r="F37" s="57">
        <v>0.001</v>
      </c>
      <c r="G37" s="56">
        <f t="shared" si="0"/>
        <v>0</v>
      </c>
    </row>
    <row r="38" s="1" customFormat="1" spans="2:9">
      <c r="B38" s="60"/>
      <c r="C38" s="61"/>
      <c r="D38" s="61"/>
      <c r="E38" s="61"/>
      <c r="F38" s="61"/>
      <c r="G38" s="62" t="e">
        <f>IF(G27&lt;0.5,0,SUM(G32:G37))</f>
        <v>#DIV/0!</v>
      </c>
      <c r="H38" s="2"/>
      <c r="I38" s="2"/>
    </row>
    <row r="39" spans="2:7">
      <c r="B39" s="63"/>
      <c r="C39" s="64" t="s">
        <v>30</v>
      </c>
      <c r="D39" s="63"/>
      <c r="E39" s="63"/>
      <c r="F39" s="63"/>
      <c r="G39" s="63"/>
    </row>
    <row r="40" ht="34.5" spans="2:7">
      <c r="B40" s="32" t="s">
        <v>15</v>
      </c>
      <c r="C40" s="32" t="s">
        <v>23</v>
      </c>
      <c r="D40" s="32"/>
      <c r="E40" s="32" t="s">
        <v>24</v>
      </c>
      <c r="F40" s="32" t="s">
        <v>25</v>
      </c>
      <c r="G40" s="32" t="s">
        <v>90</v>
      </c>
    </row>
    <row r="41" spans="2:7">
      <c r="B41" s="65">
        <v>4</v>
      </c>
      <c r="C41" s="66" t="s">
        <v>35</v>
      </c>
      <c r="D41" s="66"/>
      <c r="E41" s="67">
        <v>0</v>
      </c>
      <c r="F41" s="67">
        <v>30</v>
      </c>
      <c r="G41" s="68">
        <f>E41*F41</f>
        <v>0</v>
      </c>
    </row>
    <row r="42" spans="2:7">
      <c r="B42" s="69">
        <v>5</v>
      </c>
      <c r="C42" s="70" t="s">
        <v>91</v>
      </c>
      <c r="D42" s="70"/>
      <c r="E42" s="71">
        <v>0</v>
      </c>
      <c r="F42" s="71">
        <v>100</v>
      </c>
      <c r="G42" s="68">
        <f>E42*F42</f>
        <v>0</v>
      </c>
    </row>
    <row r="43" ht="17.25" spans="2:7">
      <c r="B43" s="72"/>
      <c r="C43" s="72"/>
      <c r="D43" s="72"/>
      <c r="E43" s="73"/>
      <c r="F43" s="47"/>
      <c r="G43" s="74">
        <f>SUM(G41:G42)</f>
        <v>0</v>
      </c>
    </row>
    <row r="44" ht="21" spans="2:10">
      <c r="B44" s="72"/>
      <c r="C44" s="72"/>
      <c r="D44" s="75" t="s">
        <v>175</v>
      </c>
      <c r="E44" s="75"/>
      <c r="F44" s="75"/>
      <c r="G44" s="76" t="e">
        <f>IF((G38-G43)&gt;(D22*1.5),D22*1.5,G38-G43)</f>
        <v>#DIV/0!</v>
      </c>
      <c r="H44" s="77"/>
      <c r="J44" s="77"/>
    </row>
    <row r="45" ht="21" spans="2:7">
      <c r="B45" s="72"/>
      <c r="C45" s="72"/>
      <c r="D45" s="78" t="s">
        <v>106</v>
      </c>
      <c r="E45" s="78"/>
      <c r="F45" s="78"/>
      <c r="G45" s="79" t="e">
        <f>(G38-G43)/D22</f>
        <v>#DIV/0!</v>
      </c>
    </row>
    <row r="46" ht="41.1" customHeight="1" spans="2:7">
      <c r="B46" s="47"/>
      <c r="C46" s="80" t="s">
        <v>176</v>
      </c>
      <c r="D46" s="80"/>
      <c r="E46" s="81"/>
      <c r="F46" s="81"/>
      <c r="G46" s="81"/>
    </row>
    <row r="47" ht="38.1" customHeight="1" spans="2:7">
      <c r="B47" s="47"/>
      <c r="C47" s="82" t="s">
        <v>177</v>
      </c>
      <c r="D47" s="82"/>
      <c r="E47" s="83"/>
      <c r="F47" s="83"/>
      <c r="G47" s="83"/>
    </row>
    <row r="48" ht="42.95" customHeight="1" spans="2:7">
      <c r="B48" s="47"/>
      <c r="C48" s="82" t="s">
        <v>178</v>
      </c>
      <c r="D48" s="82"/>
      <c r="E48" s="83"/>
      <c r="F48" s="83"/>
      <c r="G48" s="83"/>
    </row>
    <row r="49" ht="18" spans="2:7">
      <c r="B49" s="47"/>
      <c r="C49" s="82"/>
      <c r="D49" s="82"/>
      <c r="E49" s="83"/>
      <c r="F49" s="83"/>
      <c r="G49" s="83"/>
    </row>
    <row r="50" ht="21" spans="2:7">
      <c r="B50" s="47"/>
      <c r="C50" s="84" t="s">
        <v>179</v>
      </c>
      <c r="D50" s="5"/>
      <c r="E50" s="5"/>
      <c r="F50" s="5"/>
      <c r="G50" s="5"/>
    </row>
    <row r="51" ht="21" spans="2:7">
      <c r="B51" s="47"/>
      <c r="C51" s="84"/>
      <c r="D51" s="5"/>
      <c r="E51" s="5"/>
      <c r="F51" s="5"/>
      <c r="G51" s="5"/>
    </row>
    <row r="52" ht="21" spans="2:7">
      <c r="B52" s="5"/>
      <c r="C52" s="84"/>
      <c r="D52" s="5"/>
      <c r="E52" s="5"/>
      <c r="F52" s="5"/>
      <c r="G52" s="5"/>
    </row>
    <row r="53" spans="2:7">
      <c r="B53" s="5"/>
      <c r="C53" s="5"/>
      <c r="D53" s="5"/>
      <c r="E53" s="5"/>
      <c r="F53" s="5"/>
      <c r="G53" s="5"/>
    </row>
    <row r="54" spans="2:7">
      <c r="B54" s="5"/>
      <c r="C54" s="5"/>
      <c r="D54" s="5"/>
      <c r="E54" s="5"/>
      <c r="F54" s="5"/>
      <c r="G54" s="5"/>
    </row>
    <row r="58" spans="4:6">
      <c r="D58" s="85" t="s">
        <v>180</v>
      </c>
      <c r="E58" s="85" t="s">
        <v>181</v>
      </c>
      <c r="F58" s="85" t="s">
        <v>182</v>
      </c>
    </row>
    <row r="59" spans="4:6">
      <c r="D59" s="85">
        <v>3600</v>
      </c>
      <c r="E59" s="85">
        <v>1440</v>
      </c>
      <c r="F59" s="85">
        <f>D59+E59</f>
        <v>5040</v>
      </c>
    </row>
    <row r="60" spans="6:6">
      <c r="F60" s="86"/>
    </row>
    <row r="61" spans="4:6">
      <c r="D61" s="85" t="s">
        <v>180</v>
      </c>
      <c r="E61" s="85" t="s">
        <v>119</v>
      </c>
      <c r="F61" s="85" t="s">
        <v>182</v>
      </c>
    </row>
    <row r="62" spans="4:6">
      <c r="D62" s="85">
        <v>3600</v>
      </c>
      <c r="E62" s="87" t="e">
        <f>G44</f>
        <v>#DIV/0!</v>
      </c>
      <c r="F62" s="87" t="e">
        <f>D62+E62</f>
        <v>#DIV/0!</v>
      </c>
    </row>
    <row r="64" spans="4:6">
      <c r="D64" s="88" t="s">
        <v>183</v>
      </c>
      <c r="E64" s="88"/>
      <c r="F64" s="89" t="e">
        <f>F62-F59</f>
        <v>#DIV/0!</v>
      </c>
    </row>
  </sheetData>
  <mergeCells count="33">
    <mergeCell ref="B1:G1"/>
    <mergeCell ref="B3:F3"/>
    <mergeCell ref="F5:G5"/>
    <mergeCell ref="B7:F7"/>
    <mergeCell ref="B8:F8"/>
    <mergeCell ref="B9:F9"/>
    <mergeCell ref="B10:F10"/>
    <mergeCell ref="D12:F12"/>
    <mergeCell ref="D16:F16"/>
    <mergeCell ref="D18:F18"/>
    <mergeCell ref="E20:F20"/>
    <mergeCell ref="D23:F23"/>
    <mergeCell ref="C24:D24"/>
    <mergeCell ref="C25:D25"/>
    <mergeCell ref="C27:F27"/>
    <mergeCell ref="C34:D34"/>
    <mergeCell ref="C35:D35"/>
    <mergeCell ref="C36:D36"/>
    <mergeCell ref="C37:D37"/>
    <mergeCell ref="C40:D40"/>
    <mergeCell ref="C41:D41"/>
    <mergeCell ref="C42:D42"/>
    <mergeCell ref="D44:F44"/>
    <mergeCell ref="D45:F45"/>
    <mergeCell ref="C46:G46"/>
    <mergeCell ref="C47:G47"/>
    <mergeCell ref="C48:G48"/>
    <mergeCell ref="D64:E64"/>
    <mergeCell ref="B30:B31"/>
    <mergeCell ref="E30:E31"/>
    <mergeCell ref="F30:F31"/>
    <mergeCell ref="G30:G31"/>
    <mergeCell ref="C30:D31"/>
  </mergeCells>
  <pageMargins left="0.25" right="0.25" top="0.75" bottom="0.75" header="0.3" footer="0.3"/>
  <pageSetup paperSize="9" scale="73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B1:J64"/>
  <sheetViews>
    <sheetView view="pageBreakPreview" zoomScaleNormal="150" topLeftCell="A34" workbookViewId="0">
      <selection activeCell="C50" sqref="C50"/>
    </sheetView>
  </sheetViews>
  <sheetFormatPr defaultColWidth="9.14285714285714" defaultRowHeight="16.5"/>
  <cols>
    <col min="1" max="1" width="4.57142857142857" style="2" customWidth="1"/>
    <col min="2" max="2" width="4.85714285714286" style="2" customWidth="1"/>
    <col min="3" max="3" width="51.1428571428571" style="2" customWidth="1"/>
    <col min="4" max="4" width="21.2857142857143" style="2" customWidth="1"/>
    <col min="5" max="5" width="19" style="2" customWidth="1"/>
    <col min="6" max="6" width="18.8571428571429" style="2" customWidth="1"/>
    <col min="7" max="7" width="16.5714285714286" style="2" customWidth="1"/>
    <col min="8" max="8" width="10" style="2" customWidth="1"/>
    <col min="9" max="9" width="3.28571428571429" style="2" customWidth="1"/>
    <col min="10" max="10" width="9" style="2" customWidth="1"/>
    <col min="11" max="11" width="28.5714285714286" style="2" customWidth="1"/>
    <col min="12" max="16384" width="9.14285714285714" style="2"/>
  </cols>
  <sheetData>
    <row r="1" ht="59.25" customHeight="1" spans="2:8">
      <c r="B1" s="3" t="s">
        <v>159</v>
      </c>
      <c r="C1" s="3"/>
      <c r="D1" s="3"/>
      <c r="E1" s="3"/>
      <c r="F1" s="3"/>
      <c r="G1" s="3"/>
      <c r="H1" s="4"/>
    </row>
    <row r="2" spans="2:7">
      <c r="B2" s="5"/>
      <c r="C2" s="5"/>
      <c r="D2" s="5"/>
      <c r="E2" s="5"/>
      <c r="F2" s="5"/>
      <c r="G2" s="5"/>
    </row>
    <row r="3" ht="21" spans="2:7">
      <c r="B3" s="6" t="s">
        <v>160</v>
      </c>
      <c r="C3" s="7"/>
      <c r="D3" s="7"/>
      <c r="E3" s="7"/>
      <c r="F3" s="7"/>
      <c r="G3" s="5"/>
    </row>
    <row r="4" ht="11.1" customHeight="1" spans="2:7">
      <c r="B4" s="6"/>
      <c r="C4" s="7"/>
      <c r="D4" s="7"/>
      <c r="E4" s="7"/>
      <c r="F4" s="7"/>
      <c r="G4" s="5"/>
    </row>
    <row r="5" ht="17.25" spans="2:7">
      <c r="B5" s="5"/>
      <c r="C5" s="8"/>
      <c r="D5" s="5"/>
      <c r="E5" s="9"/>
      <c r="F5" s="10" t="s">
        <v>1</v>
      </c>
      <c r="G5" s="10"/>
    </row>
    <row r="6" ht="8.1" customHeight="1" spans="2:7">
      <c r="B6" s="11"/>
      <c r="C6" s="5"/>
      <c r="D6" s="5"/>
      <c r="E6" s="5"/>
      <c r="F6" s="5"/>
      <c r="G6" s="5"/>
    </row>
    <row r="7" ht="18" spans="2:7">
      <c r="B7" s="12" t="s">
        <v>2</v>
      </c>
      <c r="C7" s="13"/>
      <c r="D7" s="13"/>
      <c r="E7" s="13"/>
      <c r="F7" s="13"/>
      <c r="G7" s="5"/>
    </row>
    <row r="8" spans="2:7">
      <c r="B8" s="14"/>
      <c r="C8" s="15"/>
      <c r="D8" s="15"/>
      <c r="E8" s="15"/>
      <c r="F8" s="15"/>
      <c r="G8" s="5"/>
    </row>
    <row r="9" ht="18" spans="2:7">
      <c r="B9" s="16" t="s">
        <v>161</v>
      </c>
      <c r="C9" s="17"/>
      <c r="D9" s="17"/>
      <c r="E9" s="17"/>
      <c r="F9" s="17"/>
      <c r="G9" s="5"/>
    </row>
    <row r="10" spans="2:7">
      <c r="B10" s="18" t="s">
        <v>5</v>
      </c>
      <c r="C10" s="19"/>
      <c r="D10" s="19"/>
      <c r="E10" s="19"/>
      <c r="F10" s="19"/>
      <c r="G10" s="5"/>
    </row>
    <row r="11" ht="9" customHeight="1" spans="2:7">
      <c r="B11" s="18"/>
      <c r="C11" s="19"/>
      <c r="D11" s="19"/>
      <c r="E11" s="19"/>
      <c r="F11" s="19"/>
      <c r="G11" s="5"/>
    </row>
    <row r="12" ht="17.25" spans="2:7">
      <c r="B12" s="18"/>
      <c r="C12" s="20" t="s">
        <v>6</v>
      </c>
      <c r="D12" s="21">
        <v>45322</v>
      </c>
      <c r="E12" s="21"/>
      <c r="F12" s="21"/>
      <c r="G12" s="5"/>
    </row>
    <row r="13" ht="9" customHeight="1" spans="2:7">
      <c r="B13" s="18"/>
      <c r="C13" s="19"/>
      <c r="D13" s="19"/>
      <c r="E13" s="19"/>
      <c r="F13" s="19"/>
      <c r="G13" s="5"/>
    </row>
    <row r="14" spans="2:7">
      <c r="B14" s="18"/>
      <c r="C14" s="22" t="s">
        <v>7</v>
      </c>
      <c r="D14" s="19"/>
      <c r="E14" s="19"/>
      <c r="F14" s="19"/>
      <c r="G14" s="5"/>
    </row>
    <row r="15" ht="9" customHeight="1" spans="2:7">
      <c r="B15" s="18"/>
      <c r="C15" s="23"/>
      <c r="D15" s="19"/>
      <c r="E15" s="19"/>
      <c r="F15" s="19"/>
      <c r="G15" s="5"/>
    </row>
    <row r="16" ht="18" spans="2:7">
      <c r="B16" s="18"/>
      <c r="C16" s="24" t="s">
        <v>8</v>
      </c>
      <c r="D16" s="25" t="s">
        <v>184</v>
      </c>
      <c r="E16" s="25"/>
      <c r="F16" s="25"/>
      <c r="G16" s="5"/>
    </row>
    <row r="17" spans="2:7">
      <c r="B17" s="18"/>
      <c r="C17" s="26"/>
      <c r="D17" s="11"/>
      <c r="E17" s="11"/>
      <c r="F17" s="11"/>
      <c r="G17" s="5"/>
    </row>
    <row r="18" ht="18" spans="2:7">
      <c r="B18" s="18"/>
      <c r="C18" s="24" t="s">
        <v>10</v>
      </c>
      <c r="D18" s="25" t="s">
        <v>185</v>
      </c>
      <c r="E18" s="25"/>
      <c r="F18" s="25"/>
      <c r="G18" s="5"/>
    </row>
    <row r="19" spans="2:7">
      <c r="B19" s="18"/>
      <c r="C19" s="26"/>
      <c r="D19" s="11"/>
      <c r="E19" s="11"/>
      <c r="F19" s="11"/>
      <c r="G19" s="5"/>
    </row>
    <row r="20" ht="18" spans="2:7">
      <c r="B20" s="5"/>
      <c r="C20" s="24" t="s">
        <v>12</v>
      </c>
      <c r="D20" s="27">
        <v>3</v>
      </c>
      <c r="E20" s="25" t="s">
        <v>13</v>
      </c>
      <c r="F20" s="25"/>
      <c r="G20" s="5"/>
    </row>
    <row r="21" spans="2:7">
      <c r="B21" s="5"/>
      <c r="C21" s="26"/>
      <c r="D21" s="11"/>
      <c r="E21" s="11"/>
      <c r="F21" s="11"/>
      <c r="G21" s="5"/>
    </row>
    <row r="22" ht="18" spans="2:7">
      <c r="B22" s="5"/>
      <c r="C22" s="24" t="s">
        <v>14</v>
      </c>
      <c r="D22" s="28">
        <v>1750</v>
      </c>
      <c r="E22" s="11" t="s">
        <v>164</v>
      </c>
      <c r="F22" s="11"/>
      <c r="G22" s="5"/>
    </row>
    <row r="23" ht="17.25" spans="2:7">
      <c r="B23" s="5"/>
      <c r="C23" s="29"/>
      <c r="D23" s="30"/>
      <c r="E23" s="30"/>
      <c r="F23" s="30"/>
      <c r="G23" s="5"/>
    </row>
    <row r="24" ht="27" spans="2:7">
      <c r="B24" s="31" t="s">
        <v>15</v>
      </c>
      <c r="C24" s="32" t="s">
        <v>85</v>
      </c>
      <c r="D24" s="32"/>
      <c r="E24" s="31" t="s">
        <v>165</v>
      </c>
      <c r="F24" s="31" t="s">
        <v>166</v>
      </c>
      <c r="G24" s="33" t="s">
        <v>48</v>
      </c>
    </row>
    <row r="25" spans="2:7">
      <c r="B25" s="34">
        <v>1</v>
      </c>
      <c r="C25" s="35" t="s">
        <v>167</v>
      </c>
      <c r="D25" s="35"/>
      <c r="E25" s="36"/>
      <c r="F25" s="36">
        <v>0</v>
      </c>
      <c r="G25" s="37" t="e">
        <f>F25/E25</f>
        <v>#DIV/0!</v>
      </c>
    </row>
    <row r="26" spans="2:7">
      <c r="B26" s="38"/>
      <c r="C26" s="39" t="s">
        <v>168</v>
      </c>
      <c r="D26" s="40"/>
      <c r="E26" s="41"/>
      <c r="F26" s="41">
        <v>0</v>
      </c>
      <c r="G26" s="37" t="e">
        <f>F26/E26</f>
        <v>#DIV/0!</v>
      </c>
    </row>
    <row r="27" ht="17.25" spans="2:7">
      <c r="B27" s="42"/>
      <c r="C27" s="43" t="s">
        <v>21</v>
      </c>
      <c r="D27" s="44"/>
      <c r="E27" s="44"/>
      <c r="F27" s="45"/>
      <c r="G27" s="46" t="e">
        <f>(G25+G26)/2</f>
        <v>#DIV/0!</v>
      </c>
    </row>
    <row r="28" spans="2:7">
      <c r="B28" s="47"/>
      <c r="C28" s="48"/>
      <c r="D28" s="48"/>
      <c r="E28" s="30"/>
      <c r="F28" s="30"/>
      <c r="G28" s="30"/>
    </row>
    <row r="29" spans="2:7">
      <c r="B29" s="47"/>
      <c r="C29" s="49" t="s">
        <v>22</v>
      </c>
      <c r="D29" s="49"/>
      <c r="E29" s="47"/>
      <c r="F29" s="47"/>
      <c r="G29" s="47"/>
    </row>
    <row r="30" s="1" customFormat="1" ht="15" spans="2:7">
      <c r="B30" s="32" t="s">
        <v>15</v>
      </c>
      <c r="C30" s="32" t="s">
        <v>23</v>
      </c>
      <c r="D30" s="32"/>
      <c r="E30" s="32" t="s">
        <v>24</v>
      </c>
      <c r="F30" s="32" t="s">
        <v>25</v>
      </c>
      <c r="G30" s="32" t="s">
        <v>86</v>
      </c>
    </row>
    <row r="31" spans="2:7">
      <c r="B31" s="50"/>
      <c r="C31" s="50"/>
      <c r="D31" s="50"/>
      <c r="E31" s="50"/>
      <c r="F31" s="50"/>
      <c r="G31" s="50"/>
    </row>
    <row r="32" spans="2:7">
      <c r="B32" s="51">
        <v>1</v>
      </c>
      <c r="C32" s="52" t="s">
        <v>169</v>
      </c>
      <c r="D32" s="51" t="s">
        <v>167</v>
      </c>
      <c r="E32" s="53">
        <v>0</v>
      </c>
      <c r="F32" s="53">
        <v>200</v>
      </c>
      <c r="G32" s="53">
        <f t="shared" ref="G32:G37" si="0">E32*F32</f>
        <v>0</v>
      </c>
    </row>
    <row r="33" spans="2:7">
      <c r="B33" s="51">
        <v>2</v>
      </c>
      <c r="C33" s="52" t="s">
        <v>170</v>
      </c>
      <c r="D33" s="51" t="s">
        <v>168</v>
      </c>
      <c r="E33" s="53">
        <v>0</v>
      </c>
      <c r="F33" s="53">
        <v>10</v>
      </c>
      <c r="G33" s="53">
        <f t="shared" si="0"/>
        <v>0</v>
      </c>
    </row>
    <row r="34" spans="2:7">
      <c r="B34" s="51">
        <v>3</v>
      </c>
      <c r="C34" s="54" t="s">
        <v>171</v>
      </c>
      <c r="D34" s="54"/>
      <c r="E34" s="53">
        <v>0</v>
      </c>
      <c r="F34" s="53">
        <v>500</v>
      </c>
      <c r="G34" s="53">
        <f t="shared" si="0"/>
        <v>0</v>
      </c>
    </row>
    <row r="35" spans="2:7">
      <c r="B35" s="51">
        <v>4</v>
      </c>
      <c r="C35" s="54" t="s">
        <v>172</v>
      </c>
      <c r="D35" s="54"/>
      <c r="E35" s="53">
        <v>0</v>
      </c>
      <c r="F35" s="53">
        <v>300</v>
      </c>
      <c r="G35" s="53">
        <f t="shared" si="0"/>
        <v>0</v>
      </c>
    </row>
    <row r="36" spans="2:7">
      <c r="B36" s="51">
        <v>5</v>
      </c>
      <c r="C36" s="55" t="s">
        <v>173</v>
      </c>
      <c r="D36" s="55"/>
      <c r="E36" s="56">
        <v>0</v>
      </c>
      <c r="F36" s="57">
        <v>0.0001</v>
      </c>
      <c r="G36" s="56">
        <f t="shared" si="0"/>
        <v>0</v>
      </c>
    </row>
    <row r="37" spans="2:7">
      <c r="B37" s="51">
        <v>6</v>
      </c>
      <c r="C37" s="58" t="s">
        <v>174</v>
      </c>
      <c r="D37" s="59"/>
      <c r="E37" s="56">
        <v>0</v>
      </c>
      <c r="F37" s="57">
        <v>0.001</v>
      </c>
      <c r="G37" s="56">
        <f t="shared" si="0"/>
        <v>0</v>
      </c>
    </row>
    <row r="38" s="1" customFormat="1" spans="2:9">
      <c r="B38" s="60"/>
      <c r="C38" s="61"/>
      <c r="D38" s="61"/>
      <c r="E38" s="61"/>
      <c r="F38" s="61"/>
      <c r="G38" s="62" t="e">
        <f>IF(G27&lt;0.5,0,SUM(G32:G37))</f>
        <v>#DIV/0!</v>
      </c>
      <c r="H38" s="2"/>
      <c r="I38" s="2"/>
    </row>
    <row r="39" spans="2:7">
      <c r="B39" s="63"/>
      <c r="C39" s="64" t="s">
        <v>30</v>
      </c>
      <c r="D39" s="63"/>
      <c r="E39" s="63"/>
      <c r="F39" s="63"/>
      <c r="G39" s="63"/>
    </row>
    <row r="40" ht="34.5" spans="2:7">
      <c r="B40" s="32" t="s">
        <v>15</v>
      </c>
      <c r="C40" s="32" t="s">
        <v>23</v>
      </c>
      <c r="D40" s="32"/>
      <c r="E40" s="32" t="s">
        <v>24</v>
      </c>
      <c r="F40" s="32" t="s">
        <v>25</v>
      </c>
      <c r="G40" s="32" t="s">
        <v>90</v>
      </c>
    </row>
    <row r="41" spans="2:7">
      <c r="B41" s="65">
        <v>4</v>
      </c>
      <c r="C41" s="66" t="s">
        <v>35</v>
      </c>
      <c r="D41" s="66"/>
      <c r="E41" s="67">
        <v>0</v>
      </c>
      <c r="F41" s="67">
        <v>30</v>
      </c>
      <c r="G41" s="68">
        <f>E41*F41</f>
        <v>0</v>
      </c>
    </row>
    <row r="42" spans="2:7">
      <c r="B42" s="69">
        <v>5</v>
      </c>
      <c r="C42" s="70" t="s">
        <v>91</v>
      </c>
      <c r="D42" s="70"/>
      <c r="E42" s="71">
        <v>0</v>
      </c>
      <c r="F42" s="71">
        <v>100</v>
      </c>
      <c r="G42" s="68">
        <f>E42*F42</f>
        <v>0</v>
      </c>
    </row>
    <row r="43" ht="17.25" spans="2:7">
      <c r="B43" s="72"/>
      <c r="C43" s="72"/>
      <c r="D43" s="72"/>
      <c r="E43" s="73"/>
      <c r="F43" s="47"/>
      <c r="G43" s="74">
        <f>SUM(G41:G42)</f>
        <v>0</v>
      </c>
    </row>
    <row r="44" ht="21" spans="2:10">
      <c r="B44" s="72"/>
      <c r="C44" s="72"/>
      <c r="D44" s="75" t="s">
        <v>175</v>
      </c>
      <c r="E44" s="75"/>
      <c r="F44" s="75"/>
      <c r="G44" s="76" t="e">
        <f>IF((G38-G43)&gt;(D22*1.5),D22*1.5,G38-G43)</f>
        <v>#DIV/0!</v>
      </c>
      <c r="H44" s="77"/>
      <c r="J44" s="77"/>
    </row>
    <row r="45" ht="21" spans="2:7">
      <c r="B45" s="72"/>
      <c r="C45" s="72"/>
      <c r="D45" s="78" t="s">
        <v>106</v>
      </c>
      <c r="E45" s="78"/>
      <c r="F45" s="78"/>
      <c r="G45" s="79" t="e">
        <f>(G38-G43)/D22</f>
        <v>#DIV/0!</v>
      </c>
    </row>
    <row r="46" ht="41.1" customHeight="1" spans="2:7">
      <c r="B46" s="47"/>
      <c r="C46" s="80" t="s">
        <v>176</v>
      </c>
      <c r="D46" s="80"/>
      <c r="E46" s="81"/>
      <c r="F46" s="81"/>
      <c r="G46" s="81"/>
    </row>
    <row r="47" ht="38.1" customHeight="1" spans="2:7">
      <c r="B47" s="47"/>
      <c r="C47" s="82" t="s">
        <v>177</v>
      </c>
      <c r="D47" s="82"/>
      <c r="E47" s="83"/>
      <c r="F47" s="83"/>
      <c r="G47" s="83"/>
    </row>
    <row r="48" ht="42.95" customHeight="1" spans="2:7">
      <c r="B48" s="47"/>
      <c r="C48" s="82" t="s">
        <v>178</v>
      </c>
      <c r="D48" s="82"/>
      <c r="E48" s="83"/>
      <c r="F48" s="83"/>
      <c r="G48" s="83"/>
    </row>
    <row r="49" ht="18" spans="2:7">
      <c r="B49" s="47"/>
      <c r="C49" s="82"/>
      <c r="D49" s="82"/>
      <c r="E49" s="83"/>
      <c r="F49" s="83"/>
      <c r="G49" s="83"/>
    </row>
    <row r="50" ht="21" spans="2:7">
      <c r="B50" s="47"/>
      <c r="C50" s="84" t="s">
        <v>179</v>
      </c>
      <c r="D50" s="5"/>
      <c r="E50" s="5"/>
      <c r="F50" s="5"/>
      <c r="G50" s="5"/>
    </row>
    <row r="51" ht="21" spans="2:7">
      <c r="B51" s="47"/>
      <c r="C51" s="84"/>
      <c r="D51" s="5"/>
      <c r="E51" s="5"/>
      <c r="F51" s="5"/>
      <c r="G51" s="5"/>
    </row>
    <row r="52" ht="21" spans="2:7">
      <c r="B52" s="5"/>
      <c r="C52" s="84"/>
      <c r="D52" s="5"/>
      <c r="E52" s="5"/>
      <c r="F52" s="5"/>
      <c r="G52" s="5"/>
    </row>
    <row r="53" spans="2:7">
      <c r="B53" s="5"/>
      <c r="C53" s="5"/>
      <c r="D53" s="5"/>
      <c r="E53" s="5"/>
      <c r="F53" s="5"/>
      <c r="G53" s="5"/>
    </row>
    <row r="54" spans="2:7">
      <c r="B54" s="5"/>
      <c r="C54" s="5"/>
      <c r="D54" s="5"/>
      <c r="E54" s="5"/>
      <c r="F54" s="5"/>
      <c r="G54" s="5"/>
    </row>
    <row r="58" spans="4:6">
      <c r="D58" s="85" t="s">
        <v>180</v>
      </c>
      <c r="E58" s="85" t="s">
        <v>181</v>
      </c>
      <c r="F58" s="85" t="s">
        <v>182</v>
      </c>
    </row>
    <row r="59" spans="4:6">
      <c r="D59" s="85">
        <v>3600</v>
      </c>
      <c r="E59" s="85">
        <v>1440</v>
      </c>
      <c r="F59" s="85">
        <f>D59+E59</f>
        <v>5040</v>
      </c>
    </row>
    <row r="60" spans="6:6">
      <c r="F60" s="86"/>
    </row>
    <row r="61" spans="4:6">
      <c r="D61" s="85" t="s">
        <v>180</v>
      </c>
      <c r="E61" s="85" t="s">
        <v>119</v>
      </c>
      <c r="F61" s="85" t="s">
        <v>182</v>
      </c>
    </row>
    <row r="62" spans="4:6">
      <c r="D62" s="85">
        <v>3600</v>
      </c>
      <c r="E62" s="87" t="e">
        <f>G44</f>
        <v>#DIV/0!</v>
      </c>
      <c r="F62" s="87" t="e">
        <f>D62+E62</f>
        <v>#DIV/0!</v>
      </c>
    </row>
    <row r="64" spans="4:6">
      <c r="D64" s="88" t="s">
        <v>183</v>
      </c>
      <c r="E64" s="88"/>
      <c r="F64" s="89" t="e">
        <f>F62-F59</f>
        <v>#DIV/0!</v>
      </c>
    </row>
  </sheetData>
  <mergeCells count="33">
    <mergeCell ref="B1:G1"/>
    <mergeCell ref="B3:F3"/>
    <mergeCell ref="F5:G5"/>
    <mergeCell ref="B7:F7"/>
    <mergeCell ref="B8:F8"/>
    <mergeCell ref="B9:F9"/>
    <mergeCell ref="B10:F10"/>
    <mergeCell ref="D12:F12"/>
    <mergeCell ref="D16:F16"/>
    <mergeCell ref="D18:F18"/>
    <mergeCell ref="E20:F20"/>
    <mergeCell ref="D23:F23"/>
    <mergeCell ref="C24:D24"/>
    <mergeCell ref="C25:D25"/>
    <mergeCell ref="C27:F27"/>
    <mergeCell ref="C34:D34"/>
    <mergeCell ref="C35:D35"/>
    <mergeCell ref="C36:D36"/>
    <mergeCell ref="C37:D37"/>
    <mergeCell ref="C40:D40"/>
    <mergeCell ref="C41:D41"/>
    <mergeCell ref="C42:D42"/>
    <mergeCell ref="D44:F44"/>
    <mergeCell ref="D45:F45"/>
    <mergeCell ref="C46:G46"/>
    <mergeCell ref="C47:G47"/>
    <mergeCell ref="C48:G48"/>
    <mergeCell ref="D64:E64"/>
    <mergeCell ref="B30:B31"/>
    <mergeCell ref="E30:E31"/>
    <mergeCell ref="F30:F31"/>
    <mergeCell ref="G30:G31"/>
    <mergeCell ref="C30:D31"/>
  </mergeCells>
  <pageMargins left="0.25" right="0.25" top="0.75" bottom="0.75" header="0.3" footer="0.3"/>
  <pageSetup paperSize="9" scale="73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B2:F53"/>
  <sheetViews>
    <sheetView zoomScale="130" zoomScaleNormal="130" workbookViewId="0">
      <selection activeCell="I6" sqref="I6"/>
    </sheetView>
  </sheetViews>
  <sheetFormatPr defaultColWidth="9.14285714285714" defaultRowHeight="16.5" outlineLevelCol="5"/>
  <cols>
    <col min="1" max="1" width="4.57142857142857" style="2" customWidth="1"/>
    <col min="2" max="2" width="7" style="2" customWidth="1"/>
    <col min="3" max="3" width="63" style="2" customWidth="1"/>
    <col min="4" max="4" width="16.4285714285714" style="2" customWidth="1"/>
    <col min="5" max="5" width="17.4285714285714" style="2" customWidth="1"/>
    <col min="6" max="6" width="16.5714285714286" style="2" customWidth="1"/>
    <col min="7" max="7" width="3.71428571428571" style="2" customWidth="1"/>
    <col min="8" max="16384" width="9.14285714285714" style="2"/>
  </cols>
  <sheetData>
    <row r="2" spans="2:6">
      <c r="B2" s="5"/>
      <c r="C2" s="5"/>
      <c r="D2" s="5"/>
      <c r="E2" s="5"/>
      <c r="F2" s="5"/>
    </row>
    <row r="3" ht="21" spans="2:6">
      <c r="B3" s="6" t="s">
        <v>0</v>
      </c>
      <c r="C3" s="7"/>
      <c r="D3" s="7"/>
      <c r="E3" s="7"/>
      <c r="F3" s="7"/>
    </row>
    <row r="4" ht="11.1" customHeight="1" spans="2:6">
      <c r="B4" s="6"/>
      <c r="C4" s="7"/>
      <c r="D4" s="7"/>
      <c r="E4" s="7"/>
      <c r="F4" s="7"/>
    </row>
    <row r="5" ht="17.25" spans="2:6">
      <c r="B5" s="5"/>
      <c r="C5" s="8"/>
      <c r="D5" s="5"/>
      <c r="E5" s="10" t="s">
        <v>1</v>
      </c>
      <c r="F5" s="10"/>
    </row>
    <row r="6" ht="8.1" customHeight="1" spans="2:6">
      <c r="B6" s="11"/>
      <c r="C6" s="5"/>
      <c r="D6" s="5"/>
      <c r="E6" s="5"/>
      <c r="F6" s="5"/>
    </row>
    <row r="7" ht="21" customHeight="1" spans="2:6">
      <c r="B7" s="12" t="s">
        <v>2</v>
      </c>
      <c r="C7" s="13"/>
      <c r="D7" s="13"/>
      <c r="E7" s="13"/>
      <c r="F7" s="13"/>
    </row>
    <row r="8" ht="21" customHeight="1" spans="2:6">
      <c r="B8" s="14" t="s">
        <v>41</v>
      </c>
      <c r="C8" s="15"/>
      <c r="D8" s="15"/>
      <c r="E8" s="15"/>
      <c r="F8" s="15"/>
    </row>
    <row r="9" ht="5.1" customHeight="1" spans="2:6">
      <c r="B9" s="11"/>
      <c r="C9" s="5"/>
      <c r="D9" s="5"/>
      <c r="E9" s="5"/>
      <c r="F9" s="5"/>
    </row>
    <row r="10" ht="18" spans="2:6">
      <c r="B10" s="16" t="s">
        <v>4</v>
      </c>
      <c r="C10" s="17"/>
      <c r="D10" s="17"/>
      <c r="E10" s="17"/>
      <c r="F10" s="17"/>
    </row>
    <row r="11" spans="2:6">
      <c r="B11" s="18" t="s">
        <v>5</v>
      </c>
      <c r="C11" s="19"/>
      <c r="D11" s="19"/>
      <c r="E11" s="19"/>
      <c r="F11" s="19"/>
    </row>
    <row r="12" ht="9" customHeight="1" spans="2:6">
      <c r="B12" s="18"/>
      <c r="C12" s="19"/>
      <c r="D12" s="19"/>
      <c r="E12" s="19"/>
      <c r="F12" s="19"/>
    </row>
    <row r="13" ht="17.25" spans="2:6">
      <c r="B13" s="18"/>
      <c r="C13" s="20" t="s">
        <v>6</v>
      </c>
      <c r="D13" s="166">
        <v>42826</v>
      </c>
      <c r="E13" s="166"/>
      <c r="F13" s="166"/>
    </row>
    <row r="14" ht="9" customHeight="1" spans="2:6">
      <c r="B14" s="18"/>
      <c r="C14" s="19"/>
      <c r="D14" s="19"/>
      <c r="E14" s="19"/>
      <c r="F14" s="19"/>
    </row>
    <row r="15" spans="2:6">
      <c r="B15" s="18"/>
      <c r="C15" s="22" t="s">
        <v>7</v>
      </c>
      <c r="D15" s="19"/>
      <c r="E15" s="19"/>
      <c r="F15" s="19"/>
    </row>
    <row r="16" ht="9" customHeight="1" spans="2:6">
      <c r="B16" s="18"/>
      <c r="C16" s="23"/>
      <c r="D16" s="19"/>
      <c r="E16" s="19"/>
      <c r="F16" s="19"/>
    </row>
    <row r="17" ht="18" spans="2:6">
      <c r="B17" s="18"/>
      <c r="C17" s="24" t="s">
        <v>8</v>
      </c>
      <c r="D17" s="25" t="s">
        <v>42</v>
      </c>
      <c r="E17" s="25"/>
      <c r="F17" s="25"/>
    </row>
    <row r="18" ht="9" customHeight="1" spans="2:6">
      <c r="B18" s="18"/>
      <c r="C18" s="26"/>
      <c r="D18" s="11"/>
      <c r="E18" s="11"/>
      <c r="F18" s="11"/>
    </row>
    <row r="19" ht="18" spans="2:6">
      <c r="B19" s="18"/>
      <c r="C19" s="24" t="s">
        <v>10</v>
      </c>
      <c r="D19" s="25" t="s">
        <v>43</v>
      </c>
      <c r="E19" s="25"/>
      <c r="F19" s="25"/>
    </row>
    <row r="20" ht="9" customHeight="1" spans="2:6">
      <c r="B20" s="18"/>
      <c r="C20" s="26"/>
      <c r="D20" s="11"/>
      <c r="E20" s="11"/>
      <c r="F20" s="11"/>
    </row>
    <row r="21" ht="18" spans="2:6">
      <c r="B21" s="5"/>
      <c r="C21" s="24" t="s">
        <v>12</v>
      </c>
      <c r="D21" s="25">
        <v>8</v>
      </c>
      <c r="E21" s="25" t="s">
        <v>13</v>
      </c>
      <c r="F21" s="25"/>
    </row>
    <row r="22" ht="11.1" customHeight="1" spans="2:6">
      <c r="B22" s="5"/>
      <c r="C22" s="26"/>
      <c r="D22" s="11"/>
      <c r="E22" s="11"/>
      <c r="F22" s="11"/>
    </row>
    <row r="23" ht="15" customHeight="1" spans="2:6">
      <c r="B23" s="5"/>
      <c r="C23" s="24" t="s">
        <v>14</v>
      </c>
      <c r="D23" s="28"/>
      <c r="E23" s="11"/>
      <c r="F23" s="11"/>
    </row>
    <row r="24" ht="17.25" spans="2:6">
      <c r="B24" s="5"/>
      <c r="C24" s="29"/>
      <c r="D24" s="30"/>
      <c r="E24" s="30"/>
      <c r="F24" s="30"/>
    </row>
    <row r="25" ht="24" customHeight="1" spans="2:6">
      <c r="B25" s="31" t="s">
        <v>15</v>
      </c>
      <c r="C25" s="32" t="s">
        <v>16</v>
      </c>
      <c r="D25" s="31" t="s">
        <v>17</v>
      </c>
      <c r="E25" s="31" t="s">
        <v>18</v>
      </c>
      <c r="F25" s="30"/>
    </row>
    <row r="26" ht="18" customHeight="1" spans="2:6">
      <c r="B26" s="34">
        <v>1</v>
      </c>
      <c r="C26" s="286" t="s">
        <v>19</v>
      </c>
      <c r="D26" s="36">
        <v>3</v>
      </c>
      <c r="E26" s="36">
        <v>450000</v>
      </c>
      <c r="F26" s="339"/>
    </row>
    <row r="27" ht="18" customHeight="1" spans="2:6">
      <c r="B27" s="34">
        <v>2</v>
      </c>
      <c r="C27" s="286" t="s">
        <v>20</v>
      </c>
      <c r="D27" s="36">
        <v>3</v>
      </c>
      <c r="E27" s="36">
        <v>520000</v>
      </c>
      <c r="F27" s="30"/>
    </row>
    <row r="28" ht="18" customHeight="1" spans="2:6">
      <c r="B28" s="42">
        <v>3</v>
      </c>
      <c r="C28" s="289" t="s">
        <v>21</v>
      </c>
      <c r="D28" s="171">
        <f>D27/D26</f>
        <v>1</v>
      </c>
      <c r="E28" s="171">
        <f>E27/E26</f>
        <v>1.15555555555556</v>
      </c>
      <c r="F28" s="339"/>
    </row>
    <row r="29" ht="12" customHeight="1" spans="2:6">
      <c r="B29" s="5"/>
      <c r="C29" s="48"/>
      <c r="D29" s="30"/>
      <c r="E29" s="30"/>
      <c r="F29" s="30"/>
    </row>
    <row r="30" spans="2:6">
      <c r="B30" s="5"/>
      <c r="C30" s="304" t="s">
        <v>22</v>
      </c>
      <c r="D30" s="5"/>
      <c r="E30" s="5"/>
      <c r="F30" s="5"/>
    </row>
    <row r="31" s="1" customFormat="1" ht="30" customHeight="1" spans="2:6">
      <c r="B31" s="32" t="s">
        <v>15</v>
      </c>
      <c r="C31" s="32" t="s">
        <v>23</v>
      </c>
      <c r="D31" s="32" t="s">
        <v>24</v>
      </c>
      <c r="E31" s="32" t="s">
        <v>25</v>
      </c>
      <c r="F31" s="32" t="s">
        <v>26</v>
      </c>
    </row>
    <row r="32" spans="2:6">
      <c r="B32" s="34">
        <v>1</v>
      </c>
      <c r="C32" s="305" t="s">
        <v>27</v>
      </c>
      <c r="D32" s="177">
        <v>3</v>
      </c>
      <c r="E32" s="306">
        <v>60</v>
      </c>
      <c r="F32" s="306">
        <f>D32*E32</f>
        <v>180</v>
      </c>
    </row>
    <row r="33" spans="2:6">
      <c r="B33" s="38">
        <v>2</v>
      </c>
      <c r="C33" s="305" t="s">
        <v>44</v>
      </c>
      <c r="D33" s="189">
        <v>0</v>
      </c>
      <c r="E33" s="307">
        <v>30</v>
      </c>
      <c r="F33" s="307"/>
    </row>
    <row r="34" ht="30" spans="2:6">
      <c r="B34" s="69">
        <v>3</v>
      </c>
      <c r="C34" s="308" t="s">
        <v>28</v>
      </c>
      <c r="D34" s="297">
        <v>80728.14236625</v>
      </c>
      <c r="E34" s="309">
        <v>0.02</v>
      </c>
      <c r="F34" s="310">
        <f>D34*E34</f>
        <v>1614.562847325</v>
      </c>
    </row>
    <row r="35" spans="2:6">
      <c r="B35" s="311"/>
      <c r="C35" s="311"/>
      <c r="D35" s="312"/>
      <c r="E35" s="313" t="s">
        <v>29</v>
      </c>
      <c r="F35" s="314">
        <f>SUM(F32:F34)</f>
        <v>1794.562847325</v>
      </c>
    </row>
    <row r="36" spans="2:6">
      <c r="B36" s="5"/>
      <c r="C36" s="5"/>
      <c r="D36" s="315"/>
      <c r="E36" s="5"/>
      <c r="F36" s="316"/>
    </row>
    <row r="37" spans="2:6">
      <c r="B37" s="5"/>
      <c r="C37" s="304" t="s">
        <v>30</v>
      </c>
      <c r="D37" s="315"/>
      <c r="E37" s="5"/>
      <c r="F37" s="316"/>
    </row>
    <row r="38" s="1" customFormat="1" ht="30" customHeight="1" spans="2:6">
      <c r="B38" s="32" t="s">
        <v>15</v>
      </c>
      <c r="C38" s="32" t="s">
        <v>23</v>
      </c>
      <c r="D38" s="32" t="s">
        <v>24</v>
      </c>
      <c r="E38" s="32" t="s">
        <v>25</v>
      </c>
      <c r="F38" s="32" t="s">
        <v>31</v>
      </c>
    </row>
    <row r="39" spans="2:6">
      <c r="B39" s="34">
        <v>1</v>
      </c>
      <c r="C39" s="305" t="s">
        <v>32</v>
      </c>
      <c r="D39" s="177">
        <v>0</v>
      </c>
      <c r="E39" s="306">
        <v>30</v>
      </c>
      <c r="F39" s="306">
        <f>D39*E39</f>
        <v>0</v>
      </c>
    </row>
    <row r="40" spans="2:6">
      <c r="B40" s="34">
        <v>2</v>
      </c>
      <c r="C40" s="305" t="s">
        <v>33</v>
      </c>
      <c r="D40" s="177">
        <v>0</v>
      </c>
      <c r="E40" s="306">
        <v>50</v>
      </c>
      <c r="F40" s="306">
        <f>D40*E40</f>
        <v>0</v>
      </c>
    </row>
    <row r="41" spans="2:6">
      <c r="B41" s="34">
        <v>3</v>
      </c>
      <c r="C41" s="305" t="s">
        <v>34</v>
      </c>
      <c r="D41" s="177">
        <v>0</v>
      </c>
      <c r="E41" s="317">
        <v>0.01</v>
      </c>
      <c r="F41" s="318">
        <f>D41*E41</f>
        <v>0</v>
      </c>
    </row>
    <row r="42" spans="2:6">
      <c r="B42" s="42">
        <v>4</v>
      </c>
      <c r="C42" s="319" t="s">
        <v>35</v>
      </c>
      <c r="D42" s="297">
        <v>0</v>
      </c>
      <c r="E42" s="320">
        <v>30</v>
      </c>
      <c r="F42" s="320">
        <f>D42*E42</f>
        <v>0</v>
      </c>
    </row>
    <row r="43" spans="2:6">
      <c r="B43" s="311"/>
      <c r="C43" s="311"/>
      <c r="D43" s="312"/>
      <c r="E43" s="321" t="s">
        <v>29</v>
      </c>
      <c r="F43" s="322">
        <f>-SUM(F39:F42)</f>
        <v>0</v>
      </c>
    </row>
    <row r="44" spans="2:6">
      <c r="B44" s="5"/>
      <c r="C44" s="5"/>
      <c r="D44" s="315"/>
      <c r="E44" s="5"/>
      <c r="F44" s="316"/>
    </row>
    <row r="45" ht="17.25" spans="2:6">
      <c r="B45" s="5"/>
      <c r="C45" s="304" t="s">
        <v>36</v>
      </c>
      <c r="D45" s="5"/>
      <c r="E45" s="323" t="e">
        <f>E47/D23</f>
        <v>#DIV/0!</v>
      </c>
      <c r="F45" s="5"/>
    </row>
    <row r="46" spans="2:6">
      <c r="B46" s="5"/>
      <c r="C46" s="5"/>
      <c r="D46" s="5"/>
      <c r="E46" s="5"/>
      <c r="F46" s="5"/>
    </row>
    <row r="47" ht="18" spans="2:6">
      <c r="B47" s="5"/>
      <c r="C47" s="324" t="s">
        <v>37</v>
      </c>
      <c r="D47" s="325"/>
      <c r="E47" s="326">
        <v>1795</v>
      </c>
      <c r="F47" s="5"/>
    </row>
    <row r="48" spans="2:6">
      <c r="B48" s="5"/>
      <c r="C48" s="5"/>
      <c r="D48" s="5"/>
      <c r="E48" s="5"/>
      <c r="F48" s="5"/>
    </row>
    <row r="49" spans="2:6">
      <c r="B49" s="5"/>
      <c r="C49" s="5" t="s">
        <v>38</v>
      </c>
      <c r="D49" s="5"/>
      <c r="E49" s="5"/>
      <c r="F49" s="5"/>
    </row>
    <row r="50" spans="2:6">
      <c r="B50" s="5"/>
      <c r="C50" s="5"/>
      <c r="D50" s="5"/>
      <c r="E50" s="5"/>
      <c r="F50" s="5"/>
    </row>
    <row r="51" spans="2:6">
      <c r="B51" s="5"/>
      <c r="C51" s="5" t="s">
        <v>39</v>
      </c>
      <c r="D51" s="5"/>
      <c r="E51" s="5"/>
      <c r="F51" s="5"/>
    </row>
    <row r="52" spans="2:6">
      <c r="B52" s="5"/>
      <c r="C52" s="5"/>
      <c r="D52" s="5"/>
      <c r="E52" s="5"/>
      <c r="F52" s="5"/>
    </row>
    <row r="53" ht="39" customHeight="1" spans="2:6">
      <c r="B53" s="5"/>
      <c r="C53" s="327" t="s">
        <v>40</v>
      </c>
      <c r="D53" s="328"/>
      <c r="E53" s="328"/>
      <c r="F53" s="328"/>
    </row>
  </sheetData>
  <mergeCells count="12">
    <mergeCell ref="B3:F3"/>
    <mergeCell ref="E5:F5"/>
    <mergeCell ref="B7:F7"/>
    <mergeCell ref="B8:F8"/>
    <mergeCell ref="B10:F10"/>
    <mergeCell ref="B11:F11"/>
    <mergeCell ref="D13:F13"/>
    <mergeCell ref="D17:F17"/>
    <mergeCell ref="D19:F19"/>
    <mergeCell ref="E21:F21"/>
    <mergeCell ref="D24:F24"/>
    <mergeCell ref="C53:F53"/>
  </mergeCells>
  <pageMargins left="0.21" right="0.21" top="0.28" bottom="0.36" header="0.5" footer="0.31496062992126"/>
  <pageSetup paperSize="9" scale="77" fitToHeight="10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fitToPage="1"/>
  </sheetPr>
  <dimension ref="B2:G57"/>
  <sheetViews>
    <sheetView zoomScale="115" zoomScaleNormal="115" topLeftCell="A40" workbookViewId="0">
      <selection activeCell="A56" sqref="A56:IV57"/>
    </sheetView>
  </sheetViews>
  <sheetFormatPr defaultColWidth="9.14285714285714" defaultRowHeight="16.5" outlineLevelCol="6"/>
  <cols>
    <col min="1" max="1" width="4.57142857142857" style="2" customWidth="1"/>
    <col min="2" max="2" width="7.28571428571429" style="2" customWidth="1"/>
    <col min="3" max="3" width="63" style="2" customWidth="1"/>
    <col min="4" max="4" width="16.4285714285714" style="2" customWidth="1"/>
    <col min="5" max="5" width="17.4285714285714" style="2" customWidth="1"/>
    <col min="6" max="6" width="16.5714285714286" style="2" customWidth="1"/>
    <col min="7" max="7" width="3.71428571428571" style="2" customWidth="1"/>
    <col min="8" max="16384" width="9.14285714285714" style="2"/>
  </cols>
  <sheetData>
    <row r="2" spans="2:6">
      <c r="B2" s="5"/>
      <c r="C2" s="5"/>
      <c r="D2" s="5"/>
      <c r="E2" s="5"/>
      <c r="F2" s="5"/>
    </row>
    <row r="3" ht="21" spans="2:6">
      <c r="B3" s="6" t="s">
        <v>0</v>
      </c>
      <c r="C3" s="7"/>
      <c r="D3" s="7"/>
      <c r="E3" s="7"/>
      <c r="F3" s="7"/>
    </row>
    <row r="4" ht="11.1" customHeight="1" spans="2:6">
      <c r="B4" s="6"/>
      <c r="C4" s="7"/>
      <c r="D4" s="7"/>
      <c r="E4" s="7"/>
      <c r="F4" s="7"/>
    </row>
    <row r="5" ht="17.25" spans="2:6">
      <c r="B5" s="5"/>
      <c r="C5" s="8"/>
      <c r="D5" s="5"/>
      <c r="E5" s="10" t="s">
        <v>1</v>
      </c>
      <c r="F5" s="10"/>
    </row>
    <row r="6" ht="8.1" customHeight="1" spans="2:6">
      <c r="B6" s="11"/>
      <c r="C6" s="5"/>
      <c r="D6" s="5"/>
      <c r="E6" s="5"/>
      <c r="F6" s="5"/>
    </row>
    <row r="7" ht="21" customHeight="1" spans="2:6">
      <c r="B7" s="12" t="s">
        <v>2</v>
      </c>
      <c r="C7" s="13"/>
      <c r="D7" s="13"/>
      <c r="E7" s="13"/>
      <c r="F7" s="13"/>
    </row>
    <row r="8" ht="21" customHeight="1" spans="2:6">
      <c r="B8" s="14" t="s">
        <v>3</v>
      </c>
      <c r="C8" s="15"/>
      <c r="D8" s="15"/>
      <c r="E8" s="15"/>
      <c r="F8" s="15"/>
    </row>
    <row r="9" ht="5.1" customHeight="1" spans="2:6">
      <c r="B9" s="11"/>
      <c r="C9" s="5"/>
      <c r="D9" s="5"/>
      <c r="E9" s="5"/>
      <c r="F9" s="5"/>
    </row>
    <row r="10" ht="18" spans="2:6">
      <c r="B10" s="16" t="s">
        <v>45</v>
      </c>
      <c r="C10" s="17"/>
      <c r="D10" s="17"/>
      <c r="E10" s="17"/>
      <c r="F10" s="17"/>
    </row>
    <row r="11" spans="2:6">
      <c r="B11" s="18" t="s">
        <v>5</v>
      </c>
      <c r="C11" s="19"/>
      <c r="D11" s="19"/>
      <c r="E11" s="19"/>
      <c r="F11" s="19"/>
    </row>
    <row r="12" ht="9" customHeight="1" spans="2:6">
      <c r="B12" s="18"/>
      <c r="C12" s="19"/>
      <c r="D12" s="19"/>
      <c r="E12" s="19"/>
      <c r="F12" s="19"/>
    </row>
    <row r="13" ht="17.25" spans="2:6">
      <c r="B13" s="18"/>
      <c r="C13" s="20" t="s">
        <v>6</v>
      </c>
      <c r="D13" s="166">
        <v>42826</v>
      </c>
      <c r="E13" s="166"/>
      <c r="F13" s="166"/>
    </row>
    <row r="14" ht="9" customHeight="1" spans="2:6">
      <c r="B14" s="18"/>
      <c r="C14" s="19"/>
      <c r="D14" s="19"/>
      <c r="E14" s="19"/>
      <c r="F14" s="19"/>
    </row>
    <row r="15" spans="2:6">
      <c r="B15" s="18"/>
      <c r="C15" s="22" t="s">
        <v>7</v>
      </c>
      <c r="D15" s="19"/>
      <c r="E15" s="19"/>
      <c r="F15" s="19"/>
    </row>
    <row r="16" ht="9" customHeight="1" spans="2:6">
      <c r="B16" s="18"/>
      <c r="C16" s="23"/>
      <c r="D16" s="19"/>
      <c r="E16" s="19"/>
      <c r="F16" s="19"/>
    </row>
    <row r="17" ht="18" spans="2:6">
      <c r="B17" s="18"/>
      <c r="C17" s="24" t="s">
        <v>8</v>
      </c>
      <c r="D17" s="25" t="s">
        <v>46</v>
      </c>
      <c r="E17" s="25"/>
      <c r="F17" s="25"/>
    </row>
    <row r="18" ht="9" customHeight="1" spans="2:6">
      <c r="B18" s="18"/>
      <c r="C18" s="26"/>
      <c r="D18" s="11"/>
      <c r="E18" s="11"/>
      <c r="F18" s="11"/>
    </row>
    <row r="19" ht="18" spans="2:6">
      <c r="B19" s="18"/>
      <c r="C19" s="24" t="s">
        <v>10</v>
      </c>
      <c r="D19" s="25" t="s">
        <v>11</v>
      </c>
      <c r="E19" s="25"/>
      <c r="F19" s="25"/>
    </row>
    <row r="20" ht="9" customHeight="1" spans="2:6">
      <c r="B20" s="18"/>
      <c r="C20" s="26"/>
      <c r="D20" s="11"/>
      <c r="E20" s="11"/>
      <c r="F20" s="11"/>
    </row>
    <row r="21" ht="18" spans="2:6">
      <c r="B21" s="5"/>
      <c r="C21" s="24" t="s">
        <v>12</v>
      </c>
      <c r="D21" s="25">
        <v>14</v>
      </c>
      <c r="E21" s="25" t="s">
        <v>13</v>
      </c>
      <c r="F21" s="25"/>
    </row>
    <row r="22" ht="11.1" customHeight="1" spans="2:6">
      <c r="B22" s="5"/>
      <c r="C22" s="26"/>
      <c r="D22" s="11"/>
      <c r="E22" s="11"/>
      <c r="F22" s="11"/>
    </row>
    <row r="23" ht="15" customHeight="1" spans="2:6">
      <c r="B23" s="5"/>
      <c r="C23" s="24" t="s">
        <v>14</v>
      </c>
      <c r="D23" s="28">
        <v>1000</v>
      </c>
      <c r="E23" s="11"/>
      <c r="F23" s="11"/>
    </row>
    <row r="24" ht="17.25" spans="2:6">
      <c r="B24" s="5"/>
      <c r="C24" s="29"/>
      <c r="D24" s="30"/>
      <c r="E24" s="30"/>
      <c r="F24" s="30"/>
    </row>
    <row r="25" ht="36" customHeight="1" spans="2:6">
      <c r="B25" s="31" t="s">
        <v>15</v>
      </c>
      <c r="C25" s="32" t="s">
        <v>47</v>
      </c>
      <c r="D25" s="31" t="s">
        <v>17</v>
      </c>
      <c r="E25" s="31" t="s">
        <v>18</v>
      </c>
      <c r="F25" s="167" t="s">
        <v>48</v>
      </c>
    </row>
    <row r="26" ht="18" customHeight="1" spans="2:6">
      <c r="B26" s="34">
        <v>1</v>
      </c>
      <c r="C26" s="286" t="s">
        <v>19</v>
      </c>
      <c r="D26" s="329">
        <v>12</v>
      </c>
      <c r="E26" s="329">
        <v>68400</v>
      </c>
      <c r="F26" s="301"/>
    </row>
    <row r="27" ht="18" customHeight="1" spans="2:6">
      <c r="B27" s="34">
        <v>2</v>
      </c>
      <c r="C27" s="286" t="s">
        <v>20</v>
      </c>
      <c r="D27" s="329">
        <v>23</v>
      </c>
      <c r="E27" s="329">
        <v>116448.6</v>
      </c>
      <c r="F27" s="302"/>
    </row>
    <row r="28" ht="18" customHeight="1" spans="2:6">
      <c r="B28" s="42">
        <v>3</v>
      </c>
      <c r="C28" s="303" t="s">
        <v>21</v>
      </c>
      <c r="D28" s="172">
        <f>D27/D26</f>
        <v>1.91666666666667</v>
      </c>
      <c r="E28" s="172">
        <f>E27/E26</f>
        <v>1.7024649122807</v>
      </c>
      <c r="F28" s="172">
        <f>(D28+E28)/2</f>
        <v>1.80956578947368</v>
      </c>
    </row>
    <row r="29" ht="12" customHeight="1" spans="2:6">
      <c r="B29" s="5"/>
      <c r="C29" s="48"/>
      <c r="D29" s="30"/>
      <c r="E29" s="30"/>
      <c r="F29" s="30"/>
    </row>
    <row r="30" spans="2:6">
      <c r="B30" s="5"/>
      <c r="C30" s="304" t="s">
        <v>22</v>
      </c>
      <c r="D30" s="5"/>
      <c r="E30" s="5"/>
      <c r="F30" s="5"/>
    </row>
    <row r="31" s="1" customFormat="1" ht="30" customHeight="1" spans="2:6">
      <c r="B31" s="32" t="s">
        <v>15</v>
      </c>
      <c r="C31" s="32" t="s">
        <v>23</v>
      </c>
      <c r="D31" s="32" t="s">
        <v>24</v>
      </c>
      <c r="E31" s="32" t="s">
        <v>25</v>
      </c>
      <c r="F31" s="32" t="s">
        <v>26</v>
      </c>
    </row>
    <row r="32" spans="2:6">
      <c r="B32" s="34">
        <v>1</v>
      </c>
      <c r="C32" s="305" t="s">
        <v>49</v>
      </c>
      <c r="D32" s="177">
        <v>14</v>
      </c>
      <c r="E32" s="306">
        <v>35</v>
      </c>
      <c r="F32" s="306">
        <f t="shared" ref="F32:F37" si="0">D32*E32</f>
        <v>490</v>
      </c>
    </row>
    <row r="33" spans="2:6">
      <c r="B33" s="34">
        <v>2</v>
      </c>
      <c r="C33" s="305" t="s">
        <v>50</v>
      </c>
      <c r="D33" s="177">
        <f>D27-D32</f>
        <v>9</v>
      </c>
      <c r="E33" s="306">
        <v>25</v>
      </c>
      <c r="F33" s="306">
        <f t="shared" si="0"/>
        <v>225</v>
      </c>
    </row>
    <row r="34" spans="2:6">
      <c r="B34" s="34">
        <v>3</v>
      </c>
      <c r="C34" s="305" t="s">
        <v>51</v>
      </c>
      <c r="D34" s="177">
        <v>450</v>
      </c>
      <c r="E34" s="330">
        <v>0.5</v>
      </c>
      <c r="F34" s="306">
        <f t="shared" si="0"/>
        <v>225</v>
      </c>
    </row>
    <row r="35" spans="2:6">
      <c r="B35" s="331">
        <v>4</v>
      </c>
      <c r="C35" s="332" t="s">
        <v>52</v>
      </c>
      <c r="D35" s="333">
        <v>2450</v>
      </c>
      <c r="E35" s="334">
        <v>0.03</v>
      </c>
      <c r="F35" s="335">
        <f t="shared" si="0"/>
        <v>73.5</v>
      </c>
    </row>
    <row r="36" spans="2:6">
      <c r="B36" s="34">
        <v>5</v>
      </c>
      <c r="C36" s="305" t="s">
        <v>53</v>
      </c>
      <c r="D36" s="177">
        <f>E27</f>
        <v>116448.6</v>
      </c>
      <c r="E36" s="336">
        <v>0.003</v>
      </c>
      <c r="F36" s="306">
        <f t="shared" si="0"/>
        <v>349.3458</v>
      </c>
    </row>
    <row r="37" ht="30" spans="2:7">
      <c r="B37" s="69">
        <v>6</v>
      </c>
      <c r="C37" s="308" t="s">
        <v>28</v>
      </c>
      <c r="D37" s="297">
        <v>22000</v>
      </c>
      <c r="E37" s="337">
        <v>0.035</v>
      </c>
      <c r="F37" s="310">
        <f t="shared" si="0"/>
        <v>770</v>
      </c>
      <c r="G37" s="338"/>
    </row>
    <row r="38" spans="2:6">
      <c r="B38" s="311"/>
      <c r="C38" s="311"/>
      <c r="D38" s="312"/>
      <c r="E38" s="313" t="s">
        <v>29</v>
      </c>
      <c r="F38" s="314">
        <f>SUM(F32:F37)</f>
        <v>2132.8458</v>
      </c>
    </row>
    <row r="39" spans="2:6">
      <c r="B39" s="5"/>
      <c r="C39" s="5"/>
      <c r="D39" s="315"/>
      <c r="E39" s="5"/>
      <c r="F39" s="316"/>
    </row>
    <row r="40" spans="2:6">
      <c r="B40" s="5"/>
      <c r="C40" s="304" t="s">
        <v>30</v>
      </c>
      <c r="D40" s="315"/>
      <c r="E40" s="5"/>
      <c r="F40" s="316"/>
    </row>
    <row r="41" s="1" customFormat="1" ht="30" customHeight="1" spans="2:6">
      <c r="B41" s="32" t="s">
        <v>15</v>
      </c>
      <c r="C41" s="32" t="s">
        <v>23</v>
      </c>
      <c r="D41" s="32" t="s">
        <v>24</v>
      </c>
      <c r="E41" s="32" t="s">
        <v>25</v>
      </c>
      <c r="F41" s="32" t="s">
        <v>31</v>
      </c>
    </row>
    <row r="42" spans="2:6">
      <c r="B42" s="34">
        <v>1</v>
      </c>
      <c r="C42" s="305" t="s">
        <v>32</v>
      </c>
      <c r="D42" s="177">
        <v>5</v>
      </c>
      <c r="E42" s="306">
        <v>30</v>
      </c>
      <c r="F42" s="306">
        <f>D42*E42</f>
        <v>150</v>
      </c>
    </row>
    <row r="43" spans="2:6">
      <c r="B43" s="34">
        <v>2</v>
      </c>
      <c r="C43" s="305" t="s">
        <v>33</v>
      </c>
      <c r="D43" s="177">
        <v>0</v>
      </c>
      <c r="E43" s="306">
        <v>50</v>
      </c>
      <c r="F43" s="306">
        <f>D43*E43</f>
        <v>0</v>
      </c>
    </row>
    <row r="44" spans="2:6">
      <c r="B44" s="34">
        <v>3</v>
      </c>
      <c r="C44" s="305" t="s">
        <v>54</v>
      </c>
      <c r="D44" s="177">
        <v>45000</v>
      </c>
      <c r="E44" s="317">
        <v>0.01</v>
      </c>
      <c r="F44" s="318">
        <f>D44*E44</f>
        <v>450</v>
      </c>
    </row>
    <row r="45" spans="2:6">
      <c r="B45" s="42">
        <v>4</v>
      </c>
      <c r="C45" s="319" t="s">
        <v>35</v>
      </c>
      <c r="D45" s="297">
        <v>0</v>
      </c>
      <c r="E45" s="320">
        <v>30</v>
      </c>
      <c r="F45" s="320">
        <f>D45*E45</f>
        <v>0</v>
      </c>
    </row>
    <row r="46" spans="2:6">
      <c r="B46" s="311"/>
      <c r="C46" s="311"/>
      <c r="D46" s="312"/>
      <c r="E46" s="321" t="s">
        <v>29</v>
      </c>
      <c r="F46" s="322">
        <f>-SUM(F42:F45)</f>
        <v>-600</v>
      </c>
    </row>
    <row r="47" spans="2:6">
      <c r="B47" s="5"/>
      <c r="C47" s="5"/>
      <c r="D47" s="315"/>
      <c r="E47" s="5"/>
      <c r="F47" s="316"/>
    </row>
    <row r="48" ht="17.25" spans="2:6">
      <c r="B48" s="5"/>
      <c r="C48" s="304" t="s">
        <v>36</v>
      </c>
      <c r="D48" s="5"/>
      <c r="E48" s="323">
        <f>E50/D23</f>
        <v>1.5328458</v>
      </c>
      <c r="F48" s="5"/>
    </row>
    <row r="49" spans="2:6">
      <c r="B49" s="5"/>
      <c r="C49" s="5"/>
      <c r="D49" s="5"/>
      <c r="E49" s="5"/>
      <c r="F49" s="5"/>
    </row>
    <row r="50" ht="18" spans="2:6">
      <c r="B50" s="5"/>
      <c r="C50" s="324" t="s">
        <v>37</v>
      </c>
      <c r="D50" s="325"/>
      <c r="E50" s="326">
        <f>F38+F46</f>
        <v>1532.8458</v>
      </c>
      <c r="F50" s="5"/>
    </row>
    <row r="51" spans="2:6">
      <c r="B51" s="5"/>
      <c r="C51" s="5"/>
      <c r="D51" s="5"/>
      <c r="E51" s="5"/>
      <c r="F51" s="5"/>
    </row>
    <row r="52" spans="2:6">
      <c r="B52" s="5"/>
      <c r="C52" s="5" t="s">
        <v>38</v>
      </c>
      <c r="D52" s="5"/>
      <c r="E52" s="5"/>
      <c r="F52" s="5"/>
    </row>
    <row r="53" spans="2:6">
      <c r="B53" s="5"/>
      <c r="C53" s="5"/>
      <c r="D53" s="5"/>
      <c r="E53" s="5"/>
      <c r="F53" s="5"/>
    </row>
    <row r="54" spans="2:6">
      <c r="B54" s="5"/>
      <c r="C54" s="5" t="s">
        <v>39</v>
      </c>
      <c r="D54" s="5"/>
      <c r="E54" s="5"/>
      <c r="F54" s="5"/>
    </row>
    <row r="55" ht="12" customHeight="1" spans="2:6">
      <c r="B55" s="5"/>
      <c r="C55" s="5"/>
      <c r="D55" s="5"/>
      <c r="E55" s="5"/>
      <c r="F55" s="5"/>
    </row>
    <row r="56" ht="56.1" customHeight="1" spans="2:6">
      <c r="B56" s="5"/>
      <c r="C56" s="327" t="s">
        <v>55</v>
      </c>
      <c r="D56" s="328"/>
      <c r="E56" s="328"/>
      <c r="F56" s="328"/>
    </row>
    <row r="57" ht="63" customHeight="1" spans="2:6">
      <c r="B57" s="5"/>
      <c r="C57" s="327" t="s">
        <v>56</v>
      </c>
      <c r="D57" s="328"/>
      <c r="E57" s="328"/>
      <c r="F57" s="328"/>
    </row>
  </sheetData>
  <mergeCells count="14">
    <mergeCell ref="B3:F3"/>
    <mergeCell ref="E5:F5"/>
    <mergeCell ref="B7:F7"/>
    <mergeCell ref="B8:F8"/>
    <mergeCell ref="B10:F10"/>
    <mergeCell ref="B11:F11"/>
    <mergeCell ref="D13:F13"/>
    <mergeCell ref="D17:F17"/>
    <mergeCell ref="D19:F19"/>
    <mergeCell ref="E21:F21"/>
    <mergeCell ref="D24:F24"/>
    <mergeCell ref="C56:F56"/>
    <mergeCell ref="C57:F57"/>
    <mergeCell ref="F26:F27"/>
  </mergeCells>
  <pageMargins left="0.21" right="0.21" top="0.28" bottom="0.36" header="0.5" footer="0.31496062992126"/>
  <pageSetup paperSize="9" scale="78" fitToHeight="100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fitToPage="1"/>
  </sheetPr>
  <dimension ref="B2:F55"/>
  <sheetViews>
    <sheetView zoomScale="115" zoomScaleNormal="115" topLeftCell="A10" workbookViewId="0">
      <selection activeCell="D32" sqref="D32"/>
    </sheetView>
  </sheetViews>
  <sheetFormatPr defaultColWidth="9.14285714285714" defaultRowHeight="16.5" outlineLevelCol="5"/>
  <cols>
    <col min="1" max="1" width="4.57142857142857" style="2" customWidth="1"/>
    <col min="2" max="2" width="6.71428571428571" style="2" customWidth="1"/>
    <col min="3" max="3" width="63" style="2" customWidth="1"/>
    <col min="4" max="4" width="16.4285714285714" style="2" customWidth="1"/>
    <col min="5" max="5" width="17.4285714285714" style="2" customWidth="1"/>
    <col min="6" max="6" width="16.5714285714286" style="2" customWidth="1"/>
    <col min="7" max="7" width="3.71428571428571" style="2" customWidth="1"/>
    <col min="8" max="16384" width="9.14285714285714" style="2"/>
  </cols>
  <sheetData>
    <row r="2" spans="2:6">
      <c r="B2" s="5"/>
      <c r="C2" s="5"/>
      <c r="D2" s="5"/>
      <c r="E2" s="5"/>
      <c r="F2" s="5"/>
    </row>
    <row r="3" ht="21" spans="2:6">
      <c r="B3" s="6" t="s">
        <v>0</v>
      </c>
      <c r="C3" s="7"/>
      <c r="D3" s="7"/>
      <c r="E3" s="7"/>
      <c r="F3" s="7"/>
    </row>
    <row r="4" ht="11.1" customHeight="1" spans="2:6">
      <c r="B4" s="6"/>
      <c r="C4" s="7"/>
      <c r="D4" s="7"/>
      <c r="E4" s="7"/>
      <c r="F4" s="7"/>
    </row>
    <row r="5" ht="17.25" spans="2:6">
      <c r="B5" s="5"/>
      <c r="C5" s="8"/>
      <c r="D5" s="5"/>
      <c r="E5" s="10" t="s">
        <v>1</v>
      </c>
      <c r="F5" s="10"/>
    </row>
    <row r="6" ht="8.1" customHeight="1" spans="2:6">
      <c r="B6" s="11"/>
      <c r="C6" s="5"/>
      <c r="D6" s="5"/>
      <c r="E6" s="5"/>
      <c r="F6" s="5"/>
    </row>
    <row r="7" ht="21" customHeight="1" spans="2:6">
      <c r="B7" s="12" t="s">
        <v>2</v>
      </c>
      <c r="C7" s="13"/>
      <c r="D7" s="13"/>
      <c r="E7" s="13"/>
      <c r="F7" s="13"/>
    </row>
    <row r="8" ht="21" customHeight="1" spans="2:6">
      <c r="B8" s="14" t="s">
        <v>57</v>
      </c>
      <c r="C8" s="15"/>
      <c r="D8" s="15"/>
      <c r="E8" s="15"/>
      <c r="F8" s="15"/>
    </row>
    <row r="9" ht="5.1" customHeight="1" spans="2:6">
      <c r="B9" s="11"/>
      <c r="C9" s="5"/>
      <c r="D9" s="5"/>
      <c r="E9" s="5"/>
      <c r="F9" s="5"/>
    </row>
    <row r="10" ht="18" spans="2:6">
      <c r="B10" s="16" t="s">
        <v>4</v>
      </c>
      <c r="C10" s="17"/>
      <c r="D10" s="17"/>
      <c r="E10" s="17"/>
      <c r="F10" s="17"/>
    </row>
    <row r="11" spans="2:6">
      <c r="B11" s="18" t="s">
        <v>5</v>
      </c>
      <c r="C11" s="19"/>
      <c r="D11" s="19"/>
      <c r="E11" s="19"/>
      <c r="F11" s="19"/>
    </row>
    <row r="12" ht="9" customHeight="1" spans="2:6">
      <c r="B12" s="18"/>
      <c r="C12" s="19"/>
      <c r="D12" s="19"/>
      <c r="E12" s="19"/>
      <c r="F12" s="19"/>
    </row>
    <row r="13" ht="17.25" spans="2:6">
      <c r="B13" s="18"/>
      <c r="C13" s="20" t="s">
        <v>6</v>
      </c>
      <c r="D13" s="166">
        <v>42826</v>
      </c>
      <c r="E13" s="166"/>
      <c r="F13" s="166"/>
    </row>
    <row r="14" ht="9" customHeight="1" spans="2:6">
      <c r="B14" s="18"/>
      <c r="C14" s="19"/>
      <c r="D14" s="19"/>
      <c r="E14" s="19"/>
      <c r="F14" s="19"/>
    </row>
    <row r="15" spans="2:6">
      <c r="B15" s="18"/>
      <c r="C15" s="22" t="s">
        <v>7</v>
      </c>
      <c r="D15" s="19"/>
      <c r="E15" s="19"/>
      <c r="F15" s="19"/>
    </row>
    <row r="16" ht="9" customHeight="1" spans="2:6">
      <c r="B16" s="18"/>
      <c r="C16" s="23"/>
      <c r="D16" s="19"/>
      <c r="E16" s="19"/>
      <c r="F16" s="19"/>
    </row>
    <row r="17" ht="18" spans="2:6">
      <c r="B17" s="18"/>
      <c r="C17" s="24" t="s">
        <v>8</v>
      </c>
      <c r="D17" s="25" t="s">
        <v>58</v>
      </c>
      <c r="E17" s="25"/>
      <c r="F17" s="25"/>
    </row>
    <row r="18" ht="9" customHeight="1" spans="2:6">
      <c r="B18" s="18"/>
      <c r="C18" s="26"/>
      <c r="D18" s="11"/>
      <c r="E18" s="11"/>
      <c r="F18" s="11"/>
    </row>
    <row r="19" ht="18" spans="2:6">
      <c r="B19" s="18"/>
      <c r="C19" s="24" t="s">
        <v>10</v>
      </c>
      <c r="D19" s="25" t="s">
        <v>43</v>
      </c>
      <c r="E19" s="25"/>
      <c r="F19" s="25"/>
    </row>
    <row r="20" ht="9" customHeight="1" spans="2:6">
      <c r="B20" s="18"/>
      <c r="C20" s="26"/>
      <c r="D20" s="11"/>
      <c r="E20" s="11"/>
      <c r="F20" s="11"/>
    </row>
    <row r="21" ht="18" spans="2:6">
      <c r="B21" s="5"/>
      <c r="C21" s="24" t="s">
        <v>12</v>
      </c>
      <c r="D21" s="25">
        <v>12</v>
      </c>
      <c r="E21" s="25" t="s">
        <v>13</v>
      </c>
      <c r="F21" s="25"/>
    </row>
    <row r="22" ht="11.1" customHeight="1" spans="2:6">
      <c r="B22" s="5"/>
      <c r="C22" s="26"/>
      <c r="D22" s="11"/>
      <c r="E22" s="11"/>
      <c r="F22" s="11"/>
    </row>
    <row r="23" ht="15" customHeight="1" spans="2:6">
      <c r="B23" s="5"/>
      <c r="C23" s="24" t="s">
        <v>14</v>
      </c>
      <c r="D23" s="28">
        <v>1700</v>
      </c>
      <c r="E23" s="11"/>
      <c r="F23" s="11"/>
    </row>
    <row r="24" ht="17.25" spans="2:6">
      <c r="B24" s="5"/>
      <c r="C24" s="29"/>
      <c r="D24" s="30"/>
      <c r="E24" s="30"/>
      <c r="F24" s="30"/>
    </row>
    <row r="25" ht="29.1" customHeight="1" spans="2:6">
      <c r="B25" s="31" t="s">
        <v>15</v>
      </c>
      <c r="C25" s="32" t="s">
        <v>16</v>
      </c>
      <c r="D25" s="31" t="s">
        <v>17</v>
      </c>
      <c r="E25" s="31" t="s">
        <v>18</v>
      </c>
      <c r="F25" s="167" t="s">
        <v>48</v>
      </c>
    </row>
    <row r="26" ht="18" customHeight="1" spans="2:6">
      <c r="B26" s="34">
        <v>1</v>
      </c>
      <c r="C26" s="286" t="s">
        <v>19</v>
      </c>
      <c r="D26" s="300">
        <v>3</v>
      </c>
      <c r="E26" s="300">
        <v>360000</v>
      </c>
      <c r="F26" s="301"/>
    </row>
    <row r="27" ht="18" customHeight="1" spans="2:6">
      <c r="B27" s="34">
        <v>2</v>
      </c>
      <c r="C27" s="286" t="s">
        <v>20</v>
      </c>
      <c r="D27" s="300">
        <v>4</v>
      </c>
      <c r="E27" s="300">
        <v>189751</v>
      </c>
      <c r="F27" s="302"/>
    </row>
    <row r="28" ht="18" customHeight="1" spans="2:6">
      <c r="B28" s="42">
        <v>3</v>
      </c>
      <c r="C28" s="303" t="s">
        <v>21</v>
      </c>
      <c r="D28" s="172">
        <f>D27/D26</f>
        <v>1.33333333333333</v>
      </c>
      <c r="E28" s="172">
        <f>E27/E26</f>
        <v>0.527086111111111</v>
      </c>
      <c r="F28" s="172">
        <f>(D28+E28)/2</f>
        <v>0.930209722222222</v>
      </c>
    </row>
    <row r="29" ht="12" customHeight="1" spans="2:6">
      <c r="B29" s="5"/>
      <c r="C29" s="48"/>
      <c r="D29" s="30"/>
      <c r="E29" s="30"/>
      <c r="F29" s="30"/>
    </row>
    <row r="30" spans="2:6">
      <c r="B30" s="5"/>
      <c r="C30" s="304" t="s">
        <v>22</v>
      </c>
      <c r="D30" s="5"/>
      <c r="E30" s="5"/>
      <c r="F30" s="5"/>
    </row>
    <row r="31" s="1" customFormat="1" ht="30" customHeight="1" spans="2:6">
      <c r="B31" s="32" t="s">
        <v>15</v>
      </c>
      <c r="C31" s="32" t="s">
        <v>23</v>
      </c>
      <c r="D31" s="32" t="s">
        <v>24</v>
      </c>
      <c r="E31" s="32" t="s">
        <v>25</v>
      </c>
      <c r="F31" s="32" t="s">
        <v>26</v>
      </c>
    </row>
    <row r="32" spans="2:6">
      <c r="B32" s="34">
        <v>1</v>
      </c>
      <c r="C32" s="305" t="s">
        <v>49</v>
      </c>
      <c r="D32" s="177">
        <v>4</v>
      </c>
      <c r="E32" s="306">
        <v>60</v>
      </c>
      <c r="F32" s="306">
        <f>D32*E32</f>
        <v>240</v>
      </c>
    </row>
    <row r="33" spans="2:6">
      <c r="B33" s="38">
        <v>2</v>
      </c>
      <c r="C33" s="305" t="s">
        <v>50</v>
      </c>
      <c r="D33" s="189">
        <v>2</v>
      </c>
      <c r="E33" s="307">
        <v>40</v>
      </c>
      <c r="F33" s="307"/>
    </row>
    <row r="34" spans="2:6">
      <c r="B34" s="38">
        <v>3</v>
      </c>
      <c r="C34" s="305" t="s">
        <v>44</v>
      </c>
      <c r="D34" s="189">
        <v>0</v>
      </c>
      <c r="E34" s="307">
        <v>30</v>
      </c>
      <c r="F34" s="307"/>
    </row>
    <row r="35" ht="30" spans="2:6">
      <c r="B35" s="69">
        <v>4</v>
      </c>
      <c r="C35" s="308" t="s">
        <v>28</v>
      </c>
      <c r="D35" s="297">
        <v>61824.705285</v>
      </c>
      <c r="E35" s="309">
        <v>0.02</v>
      </c>
      <c r="F35" s="310">
        <f>D35*E35</f>
        <v>1236.4941057</v>
      </c>
    </row>
    <row r="36" spans="2:6">
      <c r="B36" s="311"/>
      <c r="C36" s="311"/>
      <c r="D36" s="312"/>
      <c r="E36" s="313" t="s">
        <v>29</v>
      </c>
      <c r="F36" s="314">
        <f>SUM(F32:F35)</f>
        <v>1476.4941057</v>
      </c>
    </row>
    <row r="37" spans="2:6">
      <c r="B37" s="5"/>
      <c r="C37" s="5"/>
      <c r="D37" s="315"/>
      <c r="E37" s="5"/>
      <c r="F37" s="316"/>
    </row>
    <row r="38" spans="2:6">
      <c r="B38" s="5"/>
      <c r="C38" s="304" t="s">
        <v>30</v>
      </c>
      <c r="D38" s="315"/>
      <c r="E38" s="5"/>
      <c r="F38" s="316"/>
    </row>
    <row r="39" s="1" customFormat="1" ht="30" customHeight="1" spans="2:6">
      <c r="B39" s="32" t="s">
        <v>15</v>
      </c>
      <c r="C39" s="32" t="s">
        <v>23</v>
      </c>
      <c r="D39" s="32" t="s">
        <v>24</v>
      </c>
      <c r="E39" s="32" t="s">
        <v>25</v>
      </c>
      <c r="F39" s="32" t="s">
        <v>31</v>
      </c>
    </row>
    <row r="40" spans="2:6">
      <c r="B40" s="34">
        <v>1</v>
      </c>
      <c r="C40" s="305" t="s">
        <v>32</v>
      </c>
      <c r="D40" s="177">
        <v>0</v>
      </c>
      <c r="E40" s="306">
        <v>30</v>
      </c>
      <c r="F40" s="306">
        <f>D40*E40</f>
        <v>0</v>
      </c>
    </row>
    <row r="41" spans="2:6">
      <c r="B41" s="34">
        <v>2</v>
      </c>
      <c r="C41" s="305" t="s">
        <v>33</v>
      </c>
      <c r="D41" s="177">
        <v>0</v>
      </c>
      <c r="E41" s="306">
        <v>50</v>
      </c>
      <c r="F41" s="306">
        <f>D41*E41</f>
        <v>0</v>
      </c>
    </row>
    <row r="42" spans="2:6">
      <c r="B42" s="34">
        <v>3</v>
      </c>
      <c r="C42" s="305" t="s">
        <v>54</v>
      </c>
      <c r="D42" s="177">
        <v>0</v>
      </c>
      <c r="E42" s="317">
        <v>0.01</v>
      </c>
      <c r="F42" s="318">
        <f>D42*E42</f>
        <v>0</v>
      </c>
    </row>
    <row r="43" spans="2:6">
      <c r="B43" s="42">
        <v>4</v>
      </c>
      <c r="C43" s="319" t="s">
        <v>35</v>
      </c>
      <c r="D43" s="297">
        <v>0</v>
      </c>
      <c r="E43" s="320">
        <v>30</v>
      </c>
      <c r="F43" s="320">
        <f>D43*E43</f>
        <v>0</v>
      </c>
    </row>
    <row r="44" spans="2:6">
      <c r="B44" s="311"/>
      <c r="C44" s="311"/>
      <c r="D44" s="312"/>
      <c r="E44" s="321" t="s">
        <v>29</v>
      </c>
      <c r="F44" s="322">
        <f>-SUM(F40:F43)</f>
        <v>0</v>
      </c>
    </row>
    <row r="45" spans="2:6">
      <c r="B45" s="5"/>
      <c r="C45" s="5"/>
      <c r="D45" s="315"/>
      <c r="E45" s="5"/>
      <c r="F45" s="316"/>
    </row>
    <row r="46" ht="17.25" spans="2:6">
      <c r="B46" s="5"/>
      <c r="C46" s="304" t="s">
        <v>36</v>
      </c>
      <c r="D46" s="5"/>
      <c r="E46" s="323">
        <f>E48/D23</f>
        <v>0.868525944529412</v>
      </c>
      <c r="F46" s="5"/>
    </row>
    <row r="47" spans="2:6">
      <c r="B47" s="5"/>
      <c r="C47" s="5"/>
      <c r="D47" s="5"/>
      <c r="E47" s="5"/>
      <c r="F47" s="5"/>
    </row>
    <row r="48" ht="18" spans="2:6">
      <c r="B48" s="5"/>
      <c r="C48" s="324" t="s">
        <v>37</v>
      </c>
      <c r="D48" s="325"/>
      <c r="E48" s="326">
        <f>F36-F44</f>
        <v>1476.4941057</v>
      </c>
      <c r="F48" s="5"/>
    </row>
    <row r="49" spans="2:6">
      <c r="B49" s="5"/>
      <c r="C49" s="5"/>
      <c r="D49" s="5"/>
      <c r="E49" s="5"/>
      <c r="F49" s="5"/>
    </row>
    <row r="50" spans="2:6">
      <c r="B50" s="5"/>
      <c r="C50" s="5" t="s">
        <v>38</v>
      </c>
      <c r="D50" s="5"/>
      <c r="E50" s="5"/>
      <c r="F50" s="5"/>
    </row>
    <row r="51" spans="2:6">
      <c r="B51" s="5"/>
      <c r="C51" s="5"/>
      <c r="D51" s="5"/>
      <c r="E51" s="5"/>
      <c r="F51" s="5"/>
    </row>
    <row r="52" spans="2:6">
      <c r="B52" s="5"/>
      <c r="C52" s="5" t="s">
        <v>39</v>
      </c>
      <c r="D52" s="5"/>
      <c r="E52" s="5"/>
      <c r="F52" s="5"/>
    </row>
    <row r="53" spans="2:6">
      <c r="B53" s="5"/>
      <c r="C53" s="5"/>
      <c r="D53" s="5"/>
      <c r="E53" s="5"/>
      <c r="F53" s="5"/>
    </row>
    <row r="54" ht="56.1" customHeight="1" spans="2:6">
      <c r="B54" s="5"/>
      <c r="C54" s="327" t="s">
        <v>55</v>
      </c>
      <c r="D54" s="328"/>
      <c r="E54" s="328"/>
      <c r="F54" s="328"/>
    </row>
    <row r="55" ht="63" customHeight="1" spans="2:6">
      <c r="B55" s="5"/>
      <c r="C55" s="327" t="s">
        <v>56</v>
      </c>
      <c r="D55" s="328"/>
      <c r="E55" s="328"/>
      <c r="F55" s="328"/>
    </row>
  </sheetData>
  <mergeCells count="14">
    <mergeCell ref="B3:F3"/>
    <mergeCell ref="E5:F5"/>
    <mergeCell ref="B7:F7"/>
    <mergeCell ref="B8:F8"/>
    <mergeCell ref="B10:F10"/>
    <mergeCell ref="B11:F11"/>
    <mergeCell ref="D13:F13"/>
    <mergeCell ref="D17:F17"/>
    <mergeCell ref="D19:F19"/>
    <mergeCell ref="E21:F21"/>
    <mergeCell ref="D24:F24"/>
    <mergeCell ref="C54:F54"/>
    <mergeCell ref="C55:F55"/>
    <mergeCell ref="F26:F27"/>
  </mergeCells>
  <pageMargins left="0.21" right="0.21" top="0.28" bottom="0.36" header="0.5" footer="0.31496062992126"/>
  <pageSetup paperSize="9" scale="78" fitToHeight="100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B1:S45"/>
  <sheetViews>
    <sheetView zoomScale="115" zoomScaleNormal="115" workbookViewId="0">
      <selection activeCell="C9" sqref="C9"/>
    </sheetView>
  </sheetViews>
  <sheetFormatPr defaultColWidth="9.14285714285714" defaultRowHeight="16.5"/>
  <cols>
    <col min="1" max="1" width="4.57142857142857" style="2" customWidth="1"/>
    <col min="2" max="2" width="7.28571428571429" style="2" customWidth="1"/>
    <col min="3" max="3" width="69.7142857142857" style="2" customWidth="1"/>
    <col min="4" max="4" width="18" style="2" customWidth="1"/>
    <col min="5" max="5" width="17.4285714285714" style="2" customWidth="1"/>
    <col min="6" max="6" width="16.5714285714286" style="2" customWidth="1"/>
    <col min="7" max="7" width="12.5714285714286" style="2" customWidth="1"/>
    <col min="8" max="8" width="20.7142857142857" style="2" customWidth="1"/>
    <col min="9" max="10" width="15.5714285714286" style="2" customWidth="1"/>
    <col min="11" max="11" width="18.7142857142857" style="2" customWidth="1"/>
    <col min="12" max="16" width="15.7142857142857" style="2" customWidth="1"/>
    <col min="17" max="17" width="18.7142857142857" style="2" customWidth="1"/>
    <col min="18" max="18" width="18.1428571428571" style="2" customWidth="1"/>
    <col min="19" max="19" width="17.4285714285714" style="2" customWidth="1"/>
    <col min="20" max="16384" width="9.14285714285714" style="2"/>
  </cols>
  <sheetData>
    <row r="1" ht="12" customHeight="1"/>
    <row r="2" ht="27.95" customHeight="1" spans="2:6">
      <c r="B2" s="206" t="s">
        <v>15</v>
      </c>
      <c r="C2" s="285" t="s">
        <v>16</v>
      </c>
      <c r="D2" s="209" t="s">
        <v>17</v>
      </c>
      <c r="E2" s="209" t="s">
        <v>18</v>
      </c>
      <c r="F2" s="210" t="s">
        <v>48</v>
      </c>
    </row>
    <row r="3" ht="18" customHeight="1" spans="2:6">
      <c r="B3" s="211">
        <v>1</v>
      </c>
      <c r="C3" s="286" t="s">
        <v>19</v>
      </c>
      <c r="D3" s="36">
        <v>6</v>
      </c>
      <c r="E3" s="36">
        <v>48000</v>
      </c>
      <c r="F3" s="287"/>
    </row>
    <row r="4" ht="18" customHeight="1" spans="2:6">
      <c r="B4" s="211">
        <v>2</v>
      </c>
      <c r="C4" s="286" t="s">
        <v>20</v>
      </c>
      <c r="D4" s="36">
        <v>10</v>
      </c>
      <c r="E4" s="36">
        <v>425251.8</v>
      </c>
      <c r="F4" s="288"/>
    </row>
    <row r="5" ht="18" customHeight="1" spans="2:6">
      <c r="B5" s="216">
        <v>3</v>
      </c>
      <c r="C5" s="289" t="s">
        <v>21</v>
      </c>
      <c r="D5" s="171">
        <f>D4/D3</f>
        <v>1.66666666666667</v>
      </c>
      <c r="E5" s="171">
        <f>E4/E3</f>
        <v>8.8594125</v>
      </c>
      <c r="F5" s="217">
        <f>(D5+E5)/2</f>
        <v>5.26303958333333</v>
      </c>
    </row>
    <row r="6" ht="12" customHeight="1" spans="2:6">
      <c r="B6" s="218"/>
      <c r="C6" s="48"/>
      <c r="D6" s="30"/>
      <c r="E6" s="30"/>
      <c r="F6" s="219"/>
    </row>
    <row r="7" spans="2:6">
      <c r="B7" s="218"/>
      <c r="C7" s="49" t="s">
        <v>22</v>
      </c>
      <c r="D7" s="47"/>
      <c r="E7" s="47"/>
      <c r="F7" s="220"/>
    </row>
    <row r="8" s="1" customFormat="1" ht="30" customHeight="1" spans="2:6">
      <c r="B8" s="221" t="s">
        <v>15</v>
      </c>
      <c r="C8" s="32" t="s">
        <v>23</v>
      </c>
      <c r="D8" s="32" t="s">
        <v>25</v>
      </c>
      <c r="E8" s="290"/>
      <c r="F8" s="291"/>
    </row>
    <row r="9" s="205" customFormat="1" spans="2:6">
      <c r="B9" s="225">
        <v>1</v>
      </c>
      <c r="C9" s="66" t="s">
        <v>49</v>
      </c>
      <c r="D9" s="177">
        <v>30</v>
      </c>
      <c r="E9" s="290"/>
      <c r="F9" s="291"/>
    </row>
    <row r="10" s="205" customFormat="1" spans="2:6">
      <c r="B10" s="225">
        <v>2</v>
      </c>
      <c r="C10" s="66" t="s">
        <v>50</v>
      </c>
      <c r="D10" s="177">
        <v>20</v>
      </c>
      <c r="E10" s="290"/>
      <c r="F10" s="291"/>
    </row>
    <row r="11" s="205" customFormat="1" spans="2:6">
      <c r="B11" s="225">
        <v>3</v>
      </c>
      <c r="C11" s="66" t="s">
        <v>59</v>
      </c>
      <c r="D11" s="292">
        <v>0.0004</v>
      </c>
      <c r="E11" s="290"/>
      <c r="F11" s="291"/>
    </row>
    <row r="12" s="205" customFormat="1" ht="21.95" customHeight="1" spans="2:6">
      <c r="B12" s="225">
        <v>4</v>
      </c>
      <c r="C12" s="66" t="s">
        <v>51</v>
      </c>
      <c r="D12" s="293">
        <v>0.5</v>
      </c>
      <c r="E12" s="63"/>
      <c r="F12" s="233"/>
    </row>
    <row r="13" s="205" customFormat="1" ht="30" spans="2:6">
      <c r="B13" s="225">
        <v>5</v>
      </c>
      <c r="C13" s="294" t="s">
        <v>28</v>
      </c>
      <c r="D13" s="295">
        <v>0.02</v>
      </c>
      <c r="E13" s="63"/>
      <c r="F13" s="233"/>
    </row>
    <row r="14" s="205" customFormat="1" ht="27" customHeight="1" spans="2:6">
      <c r="B14" s="227">
        <v>6</v>
      </c>
      <c r="C14" s="70" t="s">
        <v>53</v>
      </c>
      <c r="D14" s="195">
        <v>0.005</v>
      </c>
      <c r="E14" s="63"/>
      <c r="F14" s="233"/>
    </row>
    <row r="15" s="205" customFormat="1" ht="24" customHeight="1" spans="2:6">
      <c r="B15" s="232"/>
      <c r="C15" s="296" t="s">
        <v>30</v>
      </c>
      <c r="D15" s="63"/>
      <c r="E15" s="63"/>
      <c r="F15" s="233"/>
    </row>
    <row r="16" s="1" customFormat="1" ht="30" customHeight="1" spans="2:6">
      <c r="B16" s="221" t="s">
        <v>15</v>
      </c>
      <c r="C16" s="32" t="s">
        <v>23</v>
      </c>
      <c r="D16" s="32" t="s">
        <v>25</v>
      </c>
      <c r="E16" s="290"/>
      <c r="F16" s="291"/>
    </row>
    <row r="17" spans="2:6">
      <c r="B17" s="225">
        <v>1</v>
      </c>
      <c r="C17" s="66" t="s">
        <v>32</v>
      </c>
      <c r="D17" s="177">
        <v>30</v>
      </c>
      <c r="E17" s="47"/>
      <c r="F17" s="220"/>
    </row>
    <row r="18" spans="2:6">
      <c r="B18" s="225">
        <v>2</v>
      </c>
      <c r="C18" s="66" t="s">
        <v>33</v>
      </c>
      <c r="D18" s="177">
        <v>50</v>
      </c>
      <c r="E18" s="47"/>
      <c r="F18" s="220"/>
    </row>
    <row r="19" ht="30" spans="2:6">
      <c r="B19" s="225">
        <v>3</v>
      </c>
      <c r="C19" s="294" t="s">
        <v>60</v>
      </c>
      <c r="D19" s="241">
        <v>0.01</v>
      </c>
      <c r="E19" s="47"/>
      <c r="F19" s="220"/>
    </row>
    <row r="20" spans="2:6">
      <c r="B20" s="227">
        <v>4</v>
      </c>
      <c r="C20" s="70" t="s">
        <v>35</v>
      </c>
      <c r="D20" s="297">
        <v>30</v>
      </c>
      <c r="E20" s="47"/>
      <c r="F20" s="220"/>
    </row>
    <row r="21" spans="2:6">
      <c r="B21" s="242"/>
      <c r="C21" s="72"/>
      <c r="D21" s="73"/>
      <c r="E21" s="47"/>
      <c r="F21" s="220"/>
    </row>
    <row r="22" ht="56.1" customHeight="1" spans="2:6">
      <c r="B22" s="218"/>
      <c r="C22" s="82" t="s">
        <v>55</v>
      </c>
      <c r="D22" s="83"/>
      <c r="E22" s="83"/>
      <c r="F22" s="245"/>
    </row>
    <row r="23" ht="63" customHeight="1" spans="2:6">
      <c r="B23" s="246"/>
      <c r="C23" s="247" t="s">
        <v>61</v>
      </c>
      <c r="D23" s="248"/>
      <c r="E23" s="248"/>
      <c r="F23" s="249"/>
    </row>
    <row r="25" ht="48" customHeight="1" spans="4:19">
      <c r="D25" s="250" t="s">
        <v>62</v>
      </c>
      <c r="E25" s="251">
        <v>1</v>
      </c>
      <c r="F25" s="251">
        <v>2</v>
      </c>
      <c r="G25" s="251">
        <v>3</v>
      </c>
      <c r="H25" s="251">
        <v>4</v>
      </c>
      <c r="I25" s="251">
        <v>5</v>
      </c>
      <c r="J25" s="251">
        <v>6</v>
      </c>
      <c r="K25" s="251">
        <v>7</v>
      </c>
      <c r="L25" s="264" t="s">
        <v>26</v>
      </c>
      <c r="M25" s="251">
        <v>1</v>
      </c>
      <c r="N25" s="251">
        <v>2</v>
      </c>
      <c r="O25" s="251">
        <v>3</v>
      </c>
      <c r="P25" s="251">
        <v>4</v>
      </c>
      <c r="Q25" s="264" t="s">
        <v>31</v>
      </c>
      <c r="R25" s="250" t="s">
        <v>63</v>
      </c>
      <c r="S25" s="250" t="s">
        <v>64</v>
      </c>
    </row>
    <row r="26" ht="17.25" spans="2:19">
      <c r="B26" s="252">
        <v>1</v>
      </c>
      <c r="C26" s="253" t="s">
        <v>65</v>
      </c>
      <c r="D26" s="254">
        <v>1000</v>
      </c>
      <c r="E26" s="254">
        <v>6</v>
      </c>
      <c r="F26" s="254">
        <v>3</v>
      </c>
      <c r="G26" s="255">
        <v>897926</v>
      </c>
      <c r="H26" s="255">
        <v>76</v>
      </c>
      <c r="I26" s="255">
        <v>15762.651715</v>
      </c>
      <c r="J26" s="254">
        <v>41765</v>
      </c>
      <c r="K26" s="256">
        <v>0.89</v>
      </c>
      <c r="L26" s="265">
        <f t="shared" ref="L26:L45" si="0">IF(K26&lt;0.7,0,(E26*$D$9)+(F26*$D$10)+(G26*$D$11)+(H26*$D$12)+(I26*$D$13)+(J26*$D$14))</f>
        <v>1161.2484343</v>
      </c>
      <c r="M26" s="254">
        <v>0</v>
      </c>
      <c r="N26" s="254">
        <v>0</v>
      </c>
      <c r="O26" s="254">
        <v>0</v>
      </c>
      <c r="P26" s="254">
        <v>0</v>
      </c>
      <c r="Q26" s="265">
        <f t="shared" ref="Q26:Q45" si="1">(M26*$D$17)+(N26*$D$18)+(O26*$D$19)+(P26*$D$20)</f>
        <v>0</v>
      </c>
      <c r="R26" s="266">
        <f t="shared" ref="R26:R45" si="2">IF(L26=0,0,(L26-Q26))</f>
        <v>1161.2484343</v>
      </c>
      <c r="S26" s="266">
        <v>376</v>
      </c>
    </row>
    <row r="27" ht="17.25" spans="2:19">
      <c r="B27" s="65">
        <v>2</v>
      </c>
      <c r="C27" s="257" t="s">
        <v>66</v>
      </c>
      <c r="D27" s="258">
        <v>850</v>
      </c>
      <c r="E27" s="258">
        <v>8</v>
      </c>
      <c r="F27" s="258">
        <v>1</v>
      </c>
      <c r="G27" s="259">
        <v>281523</v>
      </c>
      <c r="H27" s="259">
        <v>81</v>
      </c>
      <c r="I27" s="259">
        <v>6877.28</v>
      </c>
      <c r="J27" s="258">
        <v>43800</v>
      </c>
      <c r="K27" s="260">
        <v>1.775</v>
      </c>
      <c r="L27" s="282">
        <f t="shared" si="0"/>
        <v>769.6548</v>
      </c>
      <c r="M27" s="258">
        <v>0</v>
      </c>
      <c r="N27" s="258">
        <v>0</v>
      </c>
      <c r="O27" s="258">
        <v>0</v>
      </c>
      <c r="P27" s="258">
        <v>0</v>
      </c>
      <c r="Q27" s="282">
        <f t="shared" si="1"/>
        <v>0</v>
      </c>
      <c r="R27" s="267">
        <f t="shared" si="2"/>
        <v>769.6548</v>
      </c>
      <c r="S27" s="267">
        <v>0</v>
      </c>
    </row>
    <row r="28" ht="17.25" spans="2:19">
      <c r="B28" s="65">
        <v>3</v>
      </c>
      <c r="C28" s="257" t="s">
        <v>67</v>
      </c>
      <c r="D28" s="258">
        <v>1000</v>
      </c>
      <c r="E28" s="258">
        <v>4</v>
      </c>
      <c r="F28" s="258">
        <v>5</v>
      </c>
      <c r="G28" s="259">
        <v>515336</v>
      </c>
      <c r="H28" s="259">
        <v>116</v>
      </c>
      <c r="I28" s="259">
        <v>13036.83068</v>
      </c>
      <c r="J28" s="258">
        <v>37656</v>
      </c>
      <c r="K28" s="260">
        <v>1.17</v>
      </c>
      <c r="L28" s="282">
        <f t="shared" si="0"/>
        <v>933.1510136</v>
      </c>
      <c r="M28" s="258">
        <v>0</v>
      </c>
      <c r="N28" s="258">
        <v>0</v>
      </c>
      <c r="O28" s="258">
        <v>0</v>
      </c>
      <c r="P28" s="258">
        <v>0</v>
      </c>
      <c r="Q28" s="282">
        <f t="shared" si="1"/>
        <v>0</v>
      </c>
      <c r="R28" s="267">
        <f t="shared" si="2"/>
        <v>933.1510136</v>
      </c>
      <c r="S28" s="267">
        <v>260</v>
      </c>
    </row>
    <row r="29" ht="17.25" spans="2:19">
      <c r="B29" s="65">
        <v>4</v>
      </c>
      <c r="C29" s="257" t="s">
        <v>68</v>
      </c>
      <c r="D29" s="258">
        <v>1300</v>
      </c>
      <c r="E29" s="258">
        <v>10</v>
      </c>
      <c r="F29" s="258">
        <v>14</v>
      </c>
      <c r="G29" s="259">
        <v>906495</v>
      </c>
      <c r="H29" s="259">
        <v>198</v>
      </c>
      <c r="I29" s="259">
        <v>22210.73834</v>
      </c>
      <c r="J29" s="258">
        <v>128816</v>
      </c>
      <c r="K29" s="260">
        <v>2.81</v>
      </c>
      <c r="L29" s="282">
        <f t="shared" si="0"/>
        <v>2129.8927668</v>
      </c>
      <c r="M29" s="258">
        <v>0</v>
      </c>
      <c r="N29" s="258">
        <v>0</v>
      </c>
      <c r="O29" s="258">
        <v>0</v>
      </c>
      <c r="P29" s="258">
        <v>0</v>
      </c>
      <c r="Q29" s="282">
        <f t="shared" si="1"/>
        <v>0</v>
      </c>
      <c r="R29" s="267">
        <f t="shared" si="2"/>
        <v>2129.8927668</v>
      </c>
      <c r="S29" s="267"/>
    </row>
    <row r="30" ht="17.25" spans="2:19">
      <c r="B30" s="65">
        <v>5</v>
      </c>
      <c r="C30" s="257" t="s">
        <v>69</v>
      </c>
      <c r="D30" s="258">
        <v>1000</v>
      </c>
      <c r="E30" s="258">
        <v>3</v>
      </c>
      <c r="F30" s="258">
        <v>2</v>
      </c>
      <c r="G30" s="259">
        <v>842459</v>
      </c>
      <c r="H30" s="259">
        <v>117</v>
      </c>
      <c r="I30" s="259">
        <v>18670.1635</v>
      </c>
      <c r="J30" s="258">
        <v>87632</v>
      </c>
      <c r="K30" s="260">
        <v>1</v>
      </c>
      <c r="L30" s="282">
        <f t="shared" si="0"/>
        <v>1337.04687</v>
      </c>
      <c r="M30" s="258">
        <v>0</v>
      </c>
      <c r="N30" s="258">
        <v>1</v>
      </c>
      <c r="O30" s="258">
        <v>17311</v>
      </c>
      <c r="P30" s="258">
        <v>0</v>
      </c>
      <c r="Q30" s="282">
        <f t="shared" si="1"/>
        <v>223.11</v>
      </c>
      <c r="R30" s="267">
        <f t="shared" si="2"/>
        <v>1113.93687</v>
      </c>
      <c r="S30" s="267">
        <v>70</v>
      </c>
    </row>
    <row r="31" ht="17.25" spans="2:19">
      <c r="B31" s="65">
        <v>6</v>
      </c>
      <c r="C31" s="257" t="s">
        <v>70</v>
      </c>
      <c r="D31" s="258">
        <v>1800</v>
      </c>
      <c r="E31" s="258">
        <v>1</v>
      </c>
      <c r="F31" s="258">
        <v>7</v>
      </c>
      <c r="G31" s="259">
        <v>1952313.2</v>
      </c>
      <c r="H31" s="259">
        <v>81</v>
      </c>
      <c r="I31" s="259">
        <v>30476.556275</v>
      </c>
      <c r="J31" s="258">
        <v>338035</v>
      </c>
      <c r="K31" s="260">
        <v>2.04</v>
      </c>
      <c r="L31" s="282">
        <f t="shared" si="0"/>
        <v>3291.1314055</v>
      </c>
      <c r="M31" s="258">
        <v>0</v>
      </c>
      <c r="N31" s="258">
        <v>0</v>
      </c>
      <c r="O31" s="258">
        <v>0</v>
      </c>
      <c r="P31" s="258">
        <v>0</v>
      </c>
      <c r="Q31" s="282">
        <f t="shared" si="1"/>
        <v>0</v>
      </c>
      <c r="R31" s="267">
        <f t="shared" si="2"/>
        <v>3291.1314055</v>
      </c>
      <c r="S31" s="267">
        <v>840</v>
      </c>
    </row>
    <row r="32" ht="17.25" spans="2:19">
      <c r="B32" s="65">
        <v>7</v>
      </c>
      <c r="C32" s="257" t="s">
        <v>71</v>
      </c>
      <c r="D32" s="258">
        <v>1000</v>
      </c>
      <c r="E32" s="258">
        <v>4</v>
      </c>
      <c r="F32" s="258">
        <v>4</v>
      </c>
      <c r="G32" s="259">
        <v>321617</v>
      </c>
      <c r="H32" s="259">
        <v>41</v>
      </c>
      <c r="I32" s="259">
        <v>5680.125355</v>
      </c>
      <c r="J32" s="258">
        <v>83475</v>
      </c>
      <c r="K32" s="260">
        <v>1.845</v>
      </c>
      <c r="L32" s="282">
        <f t="shared" si="0"/>
        <v>880.1243071</v>
      </c>
      <c r="M32" s="258">
        <v>0</v>
      </c>
      <c r="N32" s="258">
        <v>0</v>
      </c>
      <c r="O32" s="258">
        <v>0</v>
      </c>
      <c r="P32" s="258">
        <v>0</v>
      </c>
      <c r="Q32" s="282">
        <f t="shared" si="1"/>
        <v>0</v>
      </c>
      <c r="R32" s="267">
        <f t="shared" si="2"/>
        <v>880.1243071</v>
      </c>
      <c r="S32" s="267"/>
    </row>
    <row r="33" ht="17.25" spans="2:19">
      <c r="B33" s="65">
        <v>8</v>
      </c>
      <c r="C33" s="257" t="s">
        <v>72</v>
      </c>
      <c r="D33" s="258">
        <v>1000</v>
      </c>
      <c r="E33" s="258">
        <v>3</v>
      </c>
      <c r="F33" s="258">
        <v>4</v>
      </c>
      <c r="G33" s="259">
        <v>885831</v>
      </c>
      <c r="H33" s="259">
        <v>127</v>
      </c>
      <c r="I33" s="259">
        <v>20956.114015</v>
      </c>
      <c r="J33" s="258">
        <v>82768</v>
      </c>
      <c r="K33" s="260">
        <v>1.085</v>
      </c>
      <c r="L33" s="282">
        <f t="shared" si="0"/>
        <v>1420.7946803</v>
      </c>
      <c r="M33" s="268">
        <v>0</v>
      </c>
      <c r="N33" s="268">
        <v>1</v>
      </c>
      <c r="O33" s="268">
        <v>5457</v>
      </c>
      <c r="P33" s="268">
        <v>0</v>
      </c>
      <c r="Q33" s="282">
        <f t="shared" si="1"/>
        <v>104.57</v>
      </c>
      <c r="R33" s="267">
        <f t="shared" si="2"/>
        <v>1316.2246803</v>
      </c>
      <c r="S33" s="267">
        <v>403</v>
      </c>
    </row>
    <row r="34" ht="17.25" spans="2:19">
      <c r="B34" s="65">
        <v>9</v>
      </c>
      <c r="C34" s="257" t="s">
        <v>73</v>
      </c>
      <c r="D34" s="258">
        <v>1000</v>
      </c>
      <c r="E34" s="258">
        <v>7</v>
      </c>
      <c r="F34" s="258">
        <v>4</v>
      </c>
      <c r="G34" s="259">
        <v>584338</v>
      </c>
      <c r="H34" s="259">
        <v>105</v>
      </c>
      <c r="I34" s="259">
        <v>12046.61893</v>
      </c>
      <c r="J34" s="258">
        <v>96865</v>
      </c>
      <c r="K34" s="260">
        <v>1.7</v>
      </c>
      <c r="L34" s="282">
        <f t="shared" si="0"/>
        <v>1301.4925786</v>
      </c>
      <c r="M34" s="268">
        <v>0</v>
      </c>
      <c r="N34" s="268">
        <v>0</v>
      </c>
      <c r="O34" s="268">
        <v>0</v>
      </c>
      <c r="P34" s="268">
        <v>0</v>
      </c>
      <c r="Q34" s="282">
        <f t="shared" si="1"/>
        <v>0</v>
      </c>
      <c r="R34" s="267">
        <f t="shared" si="2"/>
        <v>1301.4925786</v>
      </c>
      <c r="S34" s="267">
        <v>320</v>
      </c>
    </row>
    <row r="35" ht="17.25" spans="2:19">
      <c r="B35" s="65">
        <v>10</v>
      </c>
      <c r="C35" s="257" t="s">
        <v>74</v>
      </c>
      <c r="D35" s="258">
        <v>1000</v>
      </c>
      <c r="E35" s="258">
        <v>1</v>
      </c>
      <c r="F35" s="258">
        <v>2</v>
      </c>
      <c r="G35" s="259">
        <v>457865</v>
      </c>
      <c r="H35" s="259">
        <v>74</v>
      </c>
      <c r="I35" s="259">
        <v>11444.33763</v>
      </c>
      <c r="J35" s="258">
        <v>16000</v>
      </c>
      <c r="K35" s="260">
        <v>0.565</v>
      </c>
      <c r="L35" s="282">
        <f t="shared" si="0"/>
        <v>0</v>
      </c>
      <c r="M35" s="268">
        <v>0</v>
      </c>
      <c r="N35" s="268">
        <v>0</v>
      </c>
      <c r="O35" s="268">
        <v>0</v>
      </c>
      <c r="P35" s="268">
        <v>0</v>
      </c>
      <c r="Q35" s="282">
        <f t="shared" si="1"/>
        <v>0</v>
      </c>
      <c r="R35" s="267">
        <f t="shared" si="2"/>
        <v>0</v>
      </c>
      <c r="S35" s="267">
        <v>0</v>
      </c>
    </row>
    <row r="36" ht="17.25" spans="2:19">
      <c r="B36" s="65">
        <v>11</v>
      </c>
      <c r="C36" s="257" t="s">
        <v>75</v>
      </c>
      <c r="D36" s="258">
        <v>1000</v>
      </c>
      <c r="E36" s="258">
        <v>2</v>
      </c>
      <c r="F36" s="258">
        <v>5</v>
      </c>
      <c r="G36" s="259">
        <v>785600</v>
      </c>
      <c r="H36" s="259">
        <v>141</v>
      </c>
      <c r="I36" s="259">
        <v>19480.589125</v>
      </c>
      <c r="J36" s="258">
        <v>49806</v>
      </c>
      <c r="K36" s="260">
        <v>0.83</v>
      </c>
      <c r="L36" s="282">
        <f t="shared" si="0"/>
        <v>1183.3817825</v>
      </c>
      <c r="M36" s="268">
        <v>0</v>
      </c>
      <c r="N36" s="268">
        <v>0</v>
      </c>
      <c r="O36" s="268">
        <v>0</v>
      </c>
      <c r="P36" s="268">
        <v>0</v>
      </c>
      <c r="Q36" s="282">
        <f t="shared" si="1"/>
        <v>0</v>
      </c>
      <c r="R36" s="267">
        <f t="shared" si="2"/>
        <v>1183.3817825</v>
      </c>
      <c r="S36" s="267">
        <v>310</v>
      </c>
    </row>
    <row r="37" ht="17.25" spans="2:19">
      <c r="B37" s="65">
        <v>12</v>
      </c>
      <c r="C37" s="257" t="s">
        <v>76</v>
      </c>
      <c r="D37" s="258">
        <v>850</v>
      </c>
      <c r="E37" s="258">
        <v>9</v>
      </c>
      <c r="F37" s="258">
        <v>0</v>
      </c>
      <c r="G37" s="259">
        <v>150875</v>
      </c>
      <c r="H37" s="259">
        <v>23</v>
      </c>
      <c r="I37" s="259">
        <v>2608.81</v>
      </c>
      <c r="J37" s="258">
        <v>51900</v>
      </c>
      <c r="K37" s="260">
        <v>1.94</v>
      </c>
      <c r="L37" s="282">
        <f t="shared" si="0"/>
        <v>653.5262</v>
      </c>
      <c r="M37" s="268">
        <v>0</v>
      </c>
      <c r="N37" s="268">
        <v>0</v>
      </c>
      <c r="O37" s="268">
        <v>0</v>
      </c>
      <c r="P37" s="268">
        <v>0</v>
      </c>
      <c r="Q37" s="282">
        <f t="shared" si="1"/>
        <v>0</v>
      </c>
      <c r="R37" s="267">
        <f t="shared" si="2"/>
        <v>653.5262</v>
      </c>
      <c r="S37" s="267"/>
    </row>
    <row r="38" ht="17.25" spans="2:19">
      <c r="B38" s="65">
        <v>13</v>
      </c>
      <c r="C38" s="257" t="s">
        <v>77</v>
      </c>
      <c r="D38" s="258">
        <v>1700</v>
      </c>
      <c r="E38" s="258">
        <v>1</v>
      </c>
      <c r="F38" s="258">
        <v>2</v>
      </c>
      <c r="G38" s="259">
        <v>2333566</v>
      </c>
      <c r="H38" s="259">
        <v>117</v>
      </c>
      <c r="I38" s="259">
        <v>50651.18297</v>
      </c>
      <c r="J38" s="258">
        <v>34559</v>
      </c>
      <c r="K38" s="260">
        <v>0.46</v>
      </c>
      <c r="L38" s="282">
        <f t="shared" si="0"/>
        <v>0</v>
      </c>
      <c r="M38" s="268">
        <v>1</v>
      </c>
      <c r="N38" s="268">
        <v>7</v>
      </c>
      <c r="O38" s="268">
        <v>66227</v>
      </c>
      <c r="P38" s="268">
        <v>0</v>
      </c>
      <c r="Q38" s="282">
        <f t="shared" si="1"/>
        <v>1042.27</v>
      </c>
      <c r="R38" s="267">
        <f t="shared" si="2"/>
        <v>0</v>
      </c>
      <c r="S38" s="267">
        <v>72</v>
      </c>
    </row>
    <row r="39" ht="17.25" spans="2:19">
      <c r="B39" s="65">
        <v>14</v>
      </c>
      <c r="C39" s="257" t="s">
        <v>78</v>
      </c>
      <c r="D39" s="258">
        <v>1000</v>
      </c>
      <c r="E39" s="258">
        <v>3</v>
      </c>
      <c r="F39" s="258">
        <v>3</v>
      </c>
      <c r="G39" s="259">
        <v>811623</v>
      </c>
      <c r="H39" s="259">
        <v>105</v>
      </c>
      <c r="I39" s="259">
        <v>18867.206195</v>
      </c>
      <c r="J39" s="258">
        <v>38000</v>
      </c>
      <c r="K39" s="260">
        <v>0.67</v>
      </c>
      <c r="L39" s="282">
        <f t="shared" si="0"/>
        <v>0</v>
      </c>
      <c r="M39" s="268">
        <v>0</v>
      </c>
      <c r="N39" s="268">
        <v>0</v>
      </c>
      <c r="O39" s="268">
        <v>0</v>
      </c>
      <c r="P39" s="268">
        <v>0</v>
      </c>
      <c r="Q39" s="282">
        <f t="shared" si="1"/>
        <v>0</v>
      </c>
      <c r="R39" s="267">
        <f t="shared" si="2"/>
        <v>0</v>
      </c>
      <c r="S39" s="267">
        <v>290</v>
      </c>
    </row>
    <row r="40" ht="17.25" spans="2:19">
      <c r="B40" s="65">
        <v>15</v>
      </c>
      <c r="C40" s="257" t="s">
        <v>79</v>
      </c>
      <c r="D40" s="258">
        <v>1400</v>
      </c>
      <c r="E40" s="258">
        <v>4</v>
      </c>
      <c r="F40" s="258">
        <v>1</v>
      </c>
      <c r="G40" s="259">
        <v>173056</v>
      </c>
      <c r="H40" s="259">
        <v>21</v>
      </c>
      <c r="I40" s="259">
        <v>3012.58</v>
      </c>
      <c r="J40" s="258">
        <v>23450</v>
      </c>
      <c r="K40" s="260">
        <v>0.89</v>
      </c>
      <c r="L40" s="282">
        <f t="shared" si="0"/>
        <v>397.224</v>
      </c>
      <c r="M40" s="268">
        <v>0</v>
      </c>
      <c r="N40" s="268">
        <v>0</v>
      </c>
      <c r="O40" s="268">
        <v>0</v>
      </c>
      <c r="P40" s="268">
        <v>0</v>
      </c>
      <c r="Q40" s="282">
        <f t="shared" si="1"/>
        <v>0</v>
      </c>
      <c r="R40" s="267">
        <f t="shared" si="2"/>
        <v>397.224</v>
      </c>
      <c r="S40" s="267"/>
    </row>
    <row r="41" ht="17.25" spans="2:19">
      <c r="B41" s="65">
        <v>16</v>
      </c>
      <c r="C41" s="257" t="s">
        <v>80</v>
      </c>
      <c r="D41" s="258">
        <v>1000</v>
      </c>
      <c r="E41" s="258">
        <v>3</v>
      </c>
      <c r="F41" s="258">
        <v>2</v>
      </c>
      <c r="G41" s="259">
        <v>588929</v>
      </c>
      <c r="H41" s="259">
        <v>63</v>
      </c>
      <c r="I41" s="259">
        <v>11219.979125</v>
      </c>
      <c r="J41" s="258">
        <v>49400</v>
      </c>
      <c r="K41" s="260">
        <v>0.7</v>
      </c>
      <c r="L41" s="282">
        <f t="shared" si="0"/>
        <v>868.4711825</v>
      </c>
      <c r="M41" s="268">
        <v>0</v>
      </c>
      <c r="N41" s="268">
        <v>0</v>
      </c>
      <c r="O41" s="268">
        <v>0</v>
      </c>
      <c r="P41" s="268">
        <v>0</v>
      </c>
      <c r="Q41" s="282">
        <f t="shared" si="1"/>
        <v>0</v>
      </c>
      <c r="R41" s="267">
        <f t="shared" si="2"/>
        <v>868.4711825</v>
      </c>
      <c r="S41" s="267">
        <v>182</v>
      </c>
    </row>
    <row r="42" ht="17.25" spans="2:19">
      <c r="B42" s="65">
        <v>17</v>
      </c>
      <c r="C42" s="257" t="s">
        <v>81</v>
      </c>
      <c r="D42" s="258">
        <v>850</v>
      </c>
      <c r="E42" s="258">
        <v>6</v>
      </c>
      <c r="F42" s="258">
        <v>15</v>
      </c>
      <c r="G42" s="259">
        <v>762205</v>
      </c>
      <c r="H42" s="259">
        <v>174</v>
      </c>
      <c r="I42" s="259">
        <v>17210.75417</v>
      </c>
      <c r="J42" s="258">
        <v>134209</v>
      </c>
      <c r="K42" s="260">
        <v>1.595</v>
      </c>
      <c r="L42" s="282">
        <f t="shared" si="0"/>
        <v>1887.1420834</v>
      </c>
      <c r="M42" s="268">
        <v>0</v>
      </c>
      <c r="N42" s="268">
        <v>0</v>
      </c>
      <c r="O42" s="268">
        <v>0</v>
      </c>
      <c r="P42" s="268">
        <v>0</v>
      </c>
      <c r="Q42" s="282">
        <f t="shared" si="1"/>
        <v>0</v>
      </c>
      <c r="R42" s="267">
        <f t="shared" si="2"/>
        <v>1887.1420834</v>
      </c>
      <c r="S42" s="267">
        <v>0</v>
      </c>
    </row>
    <row r="43" ht="17.25" spans="2:19">
      <c r="B43" s="65">
        <v>18</v>
      </c>
      <c r="C43" s="257" t="s">
        <v>82</v>
      </c>
      <c r="D43" s="258">
        <v>1000</v>
      </c>
      <c r="E43" s="258">
        <v>16</v>
      </c>
      <c r="F43" s="258">
        <v>7</v>
      </c>
      <c r="G43" s="258">
        <v>821342.57</v>
      </c>
      <c r="H43" s="258">
        <v>202</v>
      </c>
      <c r="I43" s="258">
        <v>20086</v>
      </c>
      <c r="J43" s="258">
        <v>127490</v>
      </c>
      <c r="K43" s="260">
        <v>3.66</v>
      </c>
      <c r="L43" s="282">
        <f t="shared" si="0"/>
        <v>2088.707028</v>
      </c>
      <c r="M43" s="268">
        <v>0</v>
      </c>
      <c r="N43" s="268">
        <v>0</v>
      </c>
      <c r="O43" s="268">
        <v>0</v>
      </c>
      <c r="P43" s="268">
        <v>0</v>
      </c>
      <c r="Q43" s="282">
        <f t="shared" si="1"/>
        <v>0</v>
      </c>
      <c r="R43" s="267">
        <f t="shared" si="2"/>
        <v>2088.707028</v>
      </c>
      <c r="S43" s="267">
        <v>0</v>
      </c>
    </row>
    <row r="44" ht="17.25" spans="2:19">
      <c r="B44" s="65">
        <v>19</v>
      </c>
      <c r="C44" s="257" t="s">
        <v>83</v>
      </c>
      <c r="D44" s="258">
        <v>1000</v>
      </c>
      <c r="E44" s="258">
        <v>9</v>
      </c>
      <c r="F44" s="258">
        <f>24-9</f>
        <v>15</v>
      </c>
      <c r="G44" s="258">
        <v>631920.04</v>
      </c>
      <c r="H44" s="258">
        <v>195</v>
      </c>
      <c r="I44" s="258">
        <v>16530</v>
      </c>
      <c r="J44" s="258">
        <v>96900</v>
      </c>
      <c r="K44" s="260">
        <v>1.61</v>
      </c>
      <c r="L44" s="282">
        <f t="shared" si="0"/>
        <v>1735.368016</v>
      </c>
      <c r="M44" s="268">
        <v>0</v>
      </c>
      <c r="N44" s="268">
        <v>0</v>
      </c>
      <c r="O44" s="268">
        <v>0</v>
      </c>
      <c r="P44" s="268">
        <v>0</v>
      </c>
      <c r="Q44" s="282">
        <f t="shared" si="1"/>
        <v>0</v>
      </c>
      <c r="R44" s="267">
        <f t="shared" si="2"/>
        <v>1735.368016</v>
      </c>
      <c r="S44" s="267">
        <v>0</v>
      </c>
    </row>
    <row r="45" ht="17.25" spans="2:19">
      <c r="B45" s="69">
        <v>20</v>
      </c>
      <c r="C45" s="261" t="s">
        <v>84</v>
      </c>
      <c r="D45" s="262">
        <v>850</v>
      </c>
      <c r="E45" s="262">
        <v>22</v>
      </c>
      <c r="F45" s="262">
        <v>27</v>
      </c>
      <c r="G45" s="262">
        <v>811939.24</v>
      </c>
      <c r="H45" s="262">
        <v>215</v>
      </c>
      <c r="I45" s="262">
        <v>19348</v>
      </c>
      <c r="J45" s="262">
        <v>122667</v>
      </c>
      <c r="K45" s="263">
        <v>2.88</v>
      </c>
      <c r="L45" s="298">
        <f t="shared" si="0"/>
        <v>2632.570696</v>
      </c>
      <c r="M45" s="269">
        <v>0</v>
      </c>
      <c r="N45" s="269">
        <v>0</v>
      </c>
      <c r="O45" s="269">
        <v>0</v>
      </c>
      <c r="P45" s="269">
        <v>0</v>
      </c>
      <c r="Q45" s="299">
        <f t="shared" si="1"/>
        <v>0</v>
      </c>
      <c r="R45" s="270">
        <f t="shared" si="2"/>
        <v>2632.570696</v>
      </c>
      <c r="S45" s="270">
        <v>0</v>
      </c>
    </row>
  </sheetData>
  <mergeCells count="3">
    <mergeCell ref="C22:F22"/>
    <mergeCell ref="C23:F23"/>
    <mergeCell ref="F3:F4"/>
  </mergeCells>
  <pageMargins left="0.21" right="0.21" top="0.28" bottom="0.36" header="0.5" footer="0.31496062992126"/>
  <pageSetup paperSize="9" scale="77" fitToHeight="10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B1:S33"/>
  <sheetViews>
    <sheetView zoomScale="106" zoomScaleNormal="106" workbookViewId="0">
      <selection activeCell="G3" sqref="G3:G4"/>
    </sheetView>
  </sheetViews>
  <sheetFormatPr defaultColWidth="9.14285714285714" defaultRowHeight="16.5"/>
  <cols>
    <col min="1" max="1" width="4.57142857142857" style="2" customWidth="1"/>
    <col min="2" max="2" width="7.28571428571429" style="2" customWidth="1"/>
    <col min="3" max="3" width="57.7142857142857" style="2" customWidth="1"/>
    <col min="4" max="4" width="15" style="2" customWidth="1"/>
    <col min="5" max="5" width="18" style="2" customWidth="1"/>
    <col min="6" max="6" width="20.2857142857143" style="2" customWidth="1"/>
    <col min="7" max="7" width="16.5714285714286" style="2" customWidth="1"/>
    <col min="8" max="8" width="16.4285714285714" style="2" customWidth="1"/>
    <col min="9" max="10" width="20.7142857142857" style="2" customWidth="1"/>
    <col min="11" max="11" width="18.7142857142857" style="2" customWidth="1"/>
    <col min="12" max="17" width="15.7142857142857" style="2" customWidth="1"/>
    <col min="18" max="18" width="18.7142857142857" style="2" customWidth="1"/>
    <col min="19" max="19" width="20.4285714285714" style="2" customWidth="1"/>
    <col min="20" max="16384" width="9.14285714285714" style="2"/>
  </cols>
  <sheetData>
    <row r="1" ht="12" customHeight="1"/>
    <row r="2" ht="35.1" customHeight="1" spans="2:7">
      <c r="B2" s="206" t="s">
        <v>15</v>
      </c>
      <c r="C2" s="207" t="s">
        <v>85</v>
      </c>
      <c r="D2" s="208"/>
      <c r="E2" s="209" t="s">
        <v>17</v>
      </c>
      <c r="F2" s="209" t="s">
        <v>18</v>
      </c>
      <c r="G2" s="210" t="s">
        <v>48</v>
      </c>
    </row>
    <row r="3" ht="18" customHeight="1" spans="2:7">
      <c r="B3" s="211">
        <v>1</v>
      </c>
      <c r="C3" s="212" t="s">
        <v>19</v>
      </c>
      <c r="D3" s="213"/>
      <c r="E3" s="36">
        <v>3</v>
      </c>
      <c r="F3" s="36">
        <v>240000</v>
      </c>
      <c r="G3" s="214">
        <f>E10/4</f>
        <v>1.25</v>
      </c>
    </row>
    <row r="4" ht="18" customHeight="1" spans="2:7">
      <c r="B4" s="211">
        <v>2</v>
      </c>
      <c r="C4" s="212" t="s">
        <v>20</v>
      </c>
      <c r="D4" s="213"/>
      <c r="E4" s="36">
        <f>E11</f>
        <v>1</v>
      </c>
      <c r="F4" s="36">
        <v>338035</v>
      </c>
      <c r="G4" s="215">
        <f>IF(E4&gt;=3,0,(G3+E4)/E3)</f>
        <v>0.75</v>
      </c>
    </row>
    <row r="5" ht="18" customHeight="1" spans="2:7">
      <c r="B5" s="216">
        <v>3</v>
      </c>
      <c r="C5" s="212" t="s">
        <v>21</v>
      </c>
      <c r="D5" s="213"/>
      <c r="E5" s="171">
        <f>E4/E3</f>
        <v>0.333333333333333</v>
      </c>
      <c r="F5" s="171">
        <f>F4/F3</f>
        <v>1.40847916666667</v>
      </c>
      <c r="G5" s="217">
        <f>IF(E5&lt;=0.67,(G4+F5)/2,(E5+F5)/2)</f>
        <v>1.07923958333333</v>
      </c>
    </row>
    <row r="6" ht="12" customHeight="1" spans="2:7">
      <c r="B6" s="218"/>
      <c r="C6" s="48"/>
      <c r="D6" s="48"/>
      <c r="E6" s="30"/>
      <c r="F6" s="30"/>
      <c r="G6" s="219"/>
    </row>
    <row r="7" spans="2:7">
      <c r="B7" s="218"/>
      <c r="C7" s="49" t="s">
        <v>22</v>
      </c>
      <c r="D7" s="49"/>
      <c r="E7" s="47"/>
      <c r="F7" s="47"/>
      <c r="G7" s="220"/>
    </row>
    <row r="8" ht="36.95" customHeight="1" spans="2:7">
      <c r="B8" s="221" t="s">
        <v>15</v>
      </c>
      <c r="C8" s="32" t="s">
        <v>23</v>
      </c>
      <c r="D8" s="32"/>
      <c r="E8" s="32" t="s">
        <v>24</v>
      </c>
      <c r="F8" s="32" t="s">
        <v>25</v>
      </c>
      <c r="G8" s="222" t="s">
        <v>86</v>
      </c>
    </row>
    <row r="9" s="1" customFormat="1" ht="30" customHeight="1" spans="2:7">
      <c r="B9" s="223"/>
      <c r="C9" s="173"/>
      <c r="D9" s="173"/>
      <c r="E9" s="173"/>
      <c r="F9" s="173"/>
      <c r="G9" s="224"/>
    </row>
    <row r="10" s="205" customFormat="1" spans="2:7">
      <c r="B10" s="225">
        <v>1</v>
      </c>
      <c r="C10" s="176" t="s">
        <v>87</v>
      </c>
      <c r="D10" s="176" t="s">
        <v>88</v>
      </c>
      <c r="E10" s="177">
        <v>5</v>
      </c>
      <c r="F10" s="177">
        <v>30</v>
      </c>
      <c r="G10" s="226">
        <f>E10*F10</f>
        <v>150</v>
      </c>
    </row>
    <row r="11" s="205" customFormat="1" ht="15" customHeight="1" spans="2:7">
      <c r="B11" s="225"/>
      <c r="C11" s="176"/>
      <c r="D11" s="176" t="s">
        <v>89</v>
      </c>
      <c r="E11" s="177">
        <v>1</v>
      </c>
      <c r="F11" s="177">
        <v>60</v>
      </c>
      <c r="G11" s="226">
        <f>E11*F11</f>
        <v>60</v>
      </c>
    </row>
    <row r="12" s="205" customFormat="1" ht="15" customHeight="1" spans="2:7">
      <c r="B12" s="225">
        <v>2</v>
      </c>
      <c r="C12" s="176" t="s">
        <v>59</v>
      </c>
      <c r="D12" s="176" t="s">
        <v>88</v>
      </c>
      <c r="E12" s="177">
        <v>1031407</v>
      </c>
      <c r="F12" s="187">
        <v>0.0005</v>
      </c>
      <c r="G12" s="226">
        <f>E12*F12</f>
        <v>515.7035</v>
      </c>
    </row>
    <row r="13" s="205" customFormat="1" spans="2:7">
      <c r="B13" s="225"/>
      <c r="C13" s="176"/>
      <c r="D13" s="176" t="s">
        <v>89</v>
      </c>
      <c r="E13" s="177">
        <v>473110</v>
      </c>
      <c r="F13" s="187">
        <v>0.0003</v>
      </c>
      <c r="G13" s="226">
        <f>E13*F13</f>
        <v>141.933</v>
      </c>
    </row>
    <row r="14" s="205" customFormat="1" ht="30" customHeight="1" spans="2:7">
      <c r="B14" s="227">
        <v>3</v>
      </c>
      <c r="C14" s="193" t="s">
        <v>28</v>
      </c>
      <c r="D14" s="193"/>
      <c r="E14" s="194">
        <v>70000</v>
      </c>
      <c r="F14" s="195">
        <v>0.02</v>
      </c>
      <c r="G14" s="194">
        <f>E14*F14</f>
        <v>1400</v>
      </c>
    </row>
    <row r="15" s="205" customFormat="1" ht="30" customHeight="1" spans="2:7">
      <c r="B15" s="229"/>
      <c r="C15" s="61"/>
      <c r="D15" s="61"/>
      <c r="E15" s="61"/>
      <c r="F15" s="61"/>
      <c r="G15" s="271">
        <f>IF(G5&lt;0.7,0,SUM(G10:G14))</f>
        <v>2267.6365</v>
      </c>
    </row>
    <row r="16" s="205" customFormat="1" ht="30" customHeight="1" spans="2:7">
      <c r="B16" s="229"/>
      <c r="C16" s="61"/>
      <c r="D16" s="61"/>
      <c r="E16" s="61"/>
      <c r="F16" s="61"/>
      <c r="G16" s="61"/>
    </row>
    <row r="17" s="205" customFormat="1" ht="24" customHeight="1" spans="2:7">
      <c r="B17" s="232"/>
      <c r="C17" s="64" t="s">
        <v>30</v>
      </c>
      <c r="D17" s="63"/>
      <c r="E17" s="63"/>
      <c r="F17" s="63"/>
      <c r="G17" s="233"/>
    </row>
    <row r="18" s="1" customFormat="1" ht="30" customHeight="1" spans="2:7">
      <c r="B18" s="221" t="s">
        <v>15</v>
      </c>
      <c r="C18" s="234" t="s">
        <v>23</v>
      </c>
      <c r="D18" s="235"/>
      <c r="E18" s="32" t="s">
        <v>24</v>
      </c>
      <c r="F18" s="32" t="s">
        <v>25</v>
      </c>
      <c r="G18" s="32" t="s">
        <v>90</v>
      </c>
    </row>
    <row r="19" spans="2:7">
      <c r="B19" s="225">
        <v>1</v>
      </c>
      <c r="C19" s="236" t="s">
        <v>32</v>
      </c>
      <c r="D19" s="237"/>
      <c r="E19" s="67"/>
      <c r="F19" s="67">
        <v>30</v>
      </c>
      <c r="G19" s="67">
        <f>E19*F19</f>
        <v>0</v>
      </c>
    </row>
    <row r="20" spans="2:7">
      <c r="B20" s="225">
        <v>2</v>
      </c>
      <c r="C20" s="236" t="s">
        <v>33</v>
      </c>
      <c r="D20" s="237"/>
      <c r="E20" s="67"/>
      <c r="F20" s="67">
        <v>50</v>
      </c>
      <c r="G20" s="67">
        <f>E20*F20</f>
        <v>0</v>
      </c>
    </row>
    <row r="21" ht="27" customHeight="1" spans="2:7">
      <c r="B21" s="225">
        <v>3</v>
      </c>
      <c r="C21" s="239" t="s">
        <v>60</v>
      </c>
      <c r="D21" s="240"/>
      <c r="E21" s="67"/>
      <c r="F21" s="241">
        <v>0.01</v>
      </c>
      <c r="G21" s="67">
        <f>E21*F21</f>
        <v>0</v>
      </c>
    </row>
    <row r="22" ht="20.1" customHeight="1" spans="2:7">
      <c r="B22" s="225">
        <v>4</v>
      </c>
      <c r="C22" s="236" t="s">
        <v>35</v>
      </c>
      <c r="D22" s="237"/>
      <c r="E22" s="67"/>
      <c r="F22" s="71">
        <v>30</v>
      </c>
      <c r="G22" s="67">
        <f>E22*F22</f>
        <v>0</v>
      </c>
    </row>
    <row r="23" ht="20.1" customHeight="1" spans="2:7">
      <c r="B23" s="227">
        <v>5</v>
      </c>
      <c r="C23" s="236" t="s">
        <v>91</v>
      </c>
      <c r="D23" s="237"/>
      <c r="E23" s="71"/>
      <c r="F23" s="71">
        <v>100</v>
      </c>
      <c r="G23" s="67">
        <f>E23*F23</f>
        <v>0</v>
      </c>
    </row>
    <row r="24" ht="27" customHeight="1" spans="2:7">
      <c r="B24" s="242"/>
      <c r="C24" s="72"/>
      <c r="D24" s="72"/>
      <c r="E24" s="73"/>
      <c r="F24" s="47"/>
      <c r="G24" s="243">
        <f>SUM(G19:G23)</f>
        <v>0</v>
      </c>
    </row>
    <row r="25" ht="27" customHeight="1" spans="2:7">
      <c r="B25" s="242"/>
      <c r="C25" s="72"/>
      <c r="D25" s="72"/>
      <c r="E25" s="73"/>
      <c r="F25" s="47"/>
      <c r="G25" s="244">
        <f>IF((G15-G24)&gt;(D31*1.5),D31*1.5,G15-G24)</f>
        <v>2267.6365</v>
      </c>
    </row>
    <row r="26" ht="56.1" customHeight="1" spans="2:7">
      <c r="B26" s="218"/>
      <c r="C26" s="82" t="s">
        <v>55</v>
      </c>
      <c r="D26" s="82"/>
      <c r="E26" s="83"/>
      <c r="F26" s="83"/>
      <c r="G26" s="245"/>
    </row>
    <row r="27" ht="63" customHeight="1" spans="2:7">
      <c r="B27" s="246"/>
      <c r="C27" s="247" t="s">
        <v>61</v>
      </c>
      <c r="D27" s="247"/>
      <c r="E27" s="248"/>
      <c r="F27" s="248"/>
      <c r="G27" s="249"/>
    </row>
    <row r="29" ht="29.1" customHeight="1" spans="4:19">
      <c r="D29" s="272" t="s">
        <v>62</v>
      </c>
      <c r="E29" s="273">
        <v>1</v>
      </c>
      <c r="F29" s="274"/>
      <c r="G29" s="273">
        <v>2</v>
      </c>
      <c r="H29" s="274"/>
      <c r="I29" s="277">
        <v>3</v>
      </c>
      <c r="J29" s="277">
        <v>4</v>
      </c>
      <c r="K29" s="278" t="s">
        <v>26</v>
      </c>
      <c r="L29" s="277">
        <v>1</v>
      </c>
      <c r="M29" s="277">
        <v>2</v>
      </c>
      <c r="N29" s="277">
        <v>3</v>
      </c>
      <c r="O29" s="277">
        <v>4</v>
      </c>
      <c r="P29" s="277">
        <v>5</v>
      </c>
      <c r="Q29" s="278" t="s">
        <v>31</v>
      </c>
      <c r="R29" s="272" t="s">
        <v>63</v>
      </c>
      <c r="S29" s="283" t="s">
        <v>64</v>
      </c>
    </row>
    <row r="30" ht="18" customHeight="1" spans="4:19">
      <c r="D30" s="275"/>
      <c r="E30" s="276" t="s">
        <v>92</v>
      </c>
      <c r="F30" s="276" t="s">
        <v>93</v>
      </c>
      <c r="G30" s="276" t="s">
        <v>92</v>
      </c>
      <c r="H30" s="276" t="s">
        <v>93</v>
      </c>
      <c r="I30" s="279"/>
      <c r="J30" s="279"/>
      <c r="K30" s="280"/>
      <c r="L30" s="279"/>
      <c r="M30" s="279"/>
      <c r="N30" s="279"/>
      <c r="O30" s="279"/>
      <c r="P30" s="279"/>
      <c r="Q30" s="280"/>
      <c r="R30" s="275"/>
      <c r="S30" s="284"/>
    </row>
    <row r="31" ht="17.25" spans="2:19">
      <c r="B31" s="65">
        <v>1</v>
      </c>
      <c r="C31" s="257" t="s">
        <v>70</v>
      </c>
      <c r="D31" s="258">
        <v>1800</v>
      </c>
      <c r="E31" s="258">
        <v>5</v>
      </c>
      <c r="F31" s="258">
        <v>3</v>
      </c>
      <c r="G31" s="259">
        <v>858241</v>
      </c>
      <c r="H31" s="259">
        <v>1094072</v>
      </c>
      <c r="I31" s="259">
        <v>30476.556275</v>
      </c>
      <c r="J31" s="281">
        <v>1.2</v>
      </c>
      <c r="K31" s="282">
        <f>IF(J31&lt;0.7,0,(E31*$F$10)+(F31*$F$11)+(G31*$F$12)+(H31*$F$13)+(I31*$F$14))</f>
        <v>1696.8732255</v>
      </c>
      <c r="L31" s="258">
        <v>0</v>
      </c>
      <c r="M31" s="258">
        <v>0</v>
      </c>
      <c r="N31" s="258">
        <v>0</v>
      </c>
      <c r="O31" s="258">
        <v>0</v>
      </c>
      <c r="P31" s="258">
        <v>0</v>
      </c>
      <c r="Q31" s="282">
        <f>(L31*$F$19)+(M31*$F$20)+(N31*$F$21)+(O31*$F$22)+(P31*F23)</f>
        <v>0</v>
      </c>
      <c r="R31" s="267">
        <f>IF(K31=0,0,(K31-Q31))</f>
        <v>1696.8732255</v>
      </c>
      <c r="S31" s="266">
        <v>840</v>
      </c>
    </row>
    <row r="32" ht="17.25" spans="2:19">
      <c r="B32" s="65">
        <v>2</v>
      </c>
      <c r="C32" s="257" t="s">
        <v>94</v>
      </c>
      <c r="D32" s="258">
        <v>1000</v>
      </c>
      <c r="E32" s="258">
        <v>5</v>
      </c>
      <c r="F32" s="258">
        <v>1</v>
      </c>
      <c r="G32" s="258">
        <v>1031407</v>
      </c>
      <c r="H32" s="258">
        <v>473110</v>
      </c>
      <c r="I32" s="258">
        <v>27203</v>
      </c>
      <c r="J32" s="260">
        <v>0.89</v>
      </c>
      <c r="K32" s="282">
        <f>IF(J32&lt;0.7,0,(E32*$F$10)+(F32*$F$11)+(G32*$F$12)+(H32*F13)+(I32*$F$14))</f>
        <v>1411.6965</v>
      </c>
      <c r="L32" s="258">
        <v>0</v>
      </c>
      <c r="M32" s="258">
        <v>0</v>
      </c>
      <c r="N32" s="258">
        <v>0</v>
      </c>
      <c r="O32" s="258">
        <v>0</v>
      </c>
      <c r="P32" s="258">
        <v>0</v>
      </c>
      <c r="Q32" s="282">
        <f>(L32*$F$19)+(M32*$F$20)+(N32*$F$21)+(O32*$F$22)+(P32*F24)</f>
        <v>0</v>
      </c>
      <c r="R32" s="267">
        <f>IF(K32=0,0,(K32-Q32))</f>
        <v>1411.6965</v>
      </c>
      <c r="S32" s="267">
        <v>660</v>
      </c>
    </row>
    <row r="33" ht="17.25" spans="2:19">
      <c r="B33" s="65">
        <v>3</v>
      </c>
      <c r="C33" s="257" t="s">
        <v>95</v>
      </c>
      <c r="D33" s="258">
        <v>1700</v>
      </c>
      <c r="E33" s="258">
        <v>0</v>
      </c>
      <c r="F33" s="258">
        <v>2</v>
      </c>
      <c r="G33" s="258">
        <v>666467.85</v>
      </c>
      <c r="H33" s="258">
        <v>6773622.71</v>
      </c>
      <c r="I33" s="258">
        <v>140335.1</v>
      </c>
      <c r="J33" s="260">
        <v>0.59</v>
      </c>
      <c r="K33" s="282">
        <f>IF(J33&lt;0.7,0,(E33*$F$10)+(F33*$F$11)+(G33*$F$12)+(H33*$F$13)+(I33*$F$14))</f>
        <v>0</v>
      </c>
      <c r="L33" s="258">
        <v>1</v>
      </c>
      <c r="M33" s="258">
        <v>1</v>
      </c>
      <c r="N33" s="258">
        <v>300447</v>
      </c>
      <c r="O33" s="258">
        <v>0</v>
      </c>
      <c r="P33" s="258">
        <v>0</v>
      </c>
      <c r="Q33" s="282">
        <f>(L33*$F$19)+(M33*$F$20)+(N33*$F$21)+(O33*$F$22)+(P33*F23)</f>
        <v>3084.47</v>
      </c>
      <c r="R33" s="267">
        <f>IF(K33=0,0,(K33-Q33))</f>
        <v>0</v>
      </c>
      <c r="S33" s="267">
        <v>2278</v>
      </c>
    </row>
  </sheetData>
  <mergeCells count="36">
    <mergeCell ref="C2:D2"/>
    <mergeCell ref="C3:D3"/>
    <mergeCell ref="C4:D4"/>
    <mergeCell ref="C5:D5"/>
    <mergeCell ref="C14:D14"/>
    <mergeCell ref="C18:D18"/>
    <mergeCell ref="C19:D19"/>
    <mergeCell ref="C20:D20"/>
    <mergeCell ref="C21:D21"/>
    <mergeCell ref="C22:D22"/>
    <mergeCell ref="C23:D23"/>
    <mergeCell ref="C26:G26"/>
    <mergeCell ref="C27:G27"/>
    <mergeCell ref="E29:F29"/>
    <mergeCell ref="G29:H29"/>
    <mergeCell ref="B8:B9"/>
    <mergeCell ref="B10:B11"/>
    <mergeCell ref="B12:B13"/>
    <mergeCell ref="C10:C11"/>
    <mergeCell ref="C12:C13"/>
    <mergeCell ref="D29:D30"/>
    <mergeCell ref="E8:E9"/>
    <mergeCell ref="F8:F9"/>
    <mergeCell ref="G8:G9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S29:S30"/>
    <mergeCell ref="C8:D9"/>
  </mergeCells>
  <pageMargins left="0.21" right="0.21" top="0.28" bottom="0.36" header="0.5" footer="0.31496062992126"/>
  <pageSetup paperSize="9" scale="77" fitToHeight="100" orientation="portrait"/>
  <headerFooter/>
  <ignoredErrors>
    <ignoredError sqref="K32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B1:Q48"/>
  <sheetViews>
    <sheetView zoomScale="115" zoomScaleNormal="115" workbookViewId="0">
      <selection activeCell="H17" sqref="H17"/>
    </sheetView>
  </sheetViews>
  <sheetFormatPr defaultColWidth="9.14285714285714" defaultRowHeight="16.5"/>
  <cols>
    <col min="1" max="1" width="4.57142857142857" style="2" customWidth="1"/>
    <col min="2" max="2" width="7.28571428571429" style="2" customWidth="1"/>
    <col min="3" max="3" width="57.7142857142857" style="2" customWidth="1"/>
    <col min="4" max="4" width="15" style="2" customWidth="1"/>
    <col min="5" max="5" width="18" style="2" customWidth="1"/>
    <col min="6" max="6" width="17.4285714285714" style="2" customWidth="1"/>
    <col min="7" max="7" width="16.5714285714286" style="2" customWidth="1"/>
    <col min="8" max="9" width="16.4285714285714" style="2" customWidth="1"/>
    <col min="10" max="11" width="15.5714285714286" style="2" customWidth="1"/>
    <col min="12" max="12" width="18.7142857142857" style="2" customWidth="1"/>
    <col min="13" max="16" width="15.7142857142857" style="2" customWidth="1"/>
    <col min="17" max="17" width="20.5714285714286" style="2" customWidth="1"/>
    <col min="18" max="18" width="17.4285714285714" style="2" customWidth="1"/>
    <col min="19" max="19" width="18.7142857142857" style="2" customWidth="1"/>
    <col min="20" max="20" width="18.1428571428571" style="2" customWidth="1"/>
    <col min="21" max="21" width="17.4285714285714" style="2" customWidth="1"/>
    <col min="22" max="16384" width="9.14285714285714" style="2"/>
  </cols>
  <sheetData>
    <row r="1" ht="12" customHeight="1"/>
    <row r="2" ht="35.1" customHeight="1" spans="2:7">
      <c r="B2" s="206" t="s">
        <v>15</v>
      </c>
      <c r="C2" s="207" t="s">
        <v>85</v>
      </c>
      <c r="D2" s="208"/>
      <c r="E2" s="209" t="s">
        <v>17</v>
      </c>
      <c r="F2" s="209" t="s">
        <v>18</v>
      </c>
      <c r="G2" s="210" t="s">
        <v>48</v>
      </c>
    </row>
    <row r="3" ht="18" customHeight="1" spans="2:7">
      <c r="B3" s="211">
        <v>1</v>
      </c>
      <c r="C3" s="212" t="s">
        <v>19</v>
      </c>
      <c r="D3" s="213"/>
      <c r="E3" s="36">
        <v>8</v>
      </c>
      <c r="F3" s="36">
        <v>100</v>
      </c>
      <c r="G3" s="214"/>
    </row>
    <row r="4" ht="18" customHeight="1" spans="2:7">
      <c r="B4" s="211">
        <v>2</v>
      </c>
      <c r="C4" s="212" t="s">
        <v>20</v>
      </c>
      <c r="D4" s="213"/>
      <c r="E4" s="36">
        <v>6</v>
      </c>
      <c r="F4" s="36">
        <v>100</v>
      </c>
      <c r="G4" s="215"/>
    </row>
    <row r="5" ht="18" customHeight="1" spans="2:7">
      <c r="B5" s="216">
        <v>3</v>
      </c>
      <c r="C5" s="212" t="s">
        <v>21</v>
      </c>
      <c r="D5" s="213"/>
      <c r="E5" s="171">
        <f>E4/E3</f>
        <v>0.75</v>
      </c>
      <c r="F5" s="171">
        <f>F4/F3</f>
        <v>1</v>
      </c>
      <c r="G5" s="217">
        <f>(F5+E5)/2</f>
        <v>0.875</v>
      </c>
    </row>
    <row r="6" ht="12" customHeight="1" spans="2:7">
      <c r="B6" s="218"/>
      <c r="C6" s="48"/>
      <c r="D6" s="48"/>
      <c r="E6" s="30"/>
      <c r="F6" s="30"/>
      <c r="G6" s="219"/>
    </row>
    <row r="7" spans="2:7">
      <c r="B7" s="218"/>
      <c r="C7" s="49" t="s">
        <v>22</v>
      </c>
      <c r="D7" s="49"/>
      <c r="E7" s="47"/>
      <c r="F7" s="47"/>
      <c r="G7" s="220"/>
    </row>
    <row r="8" ht="36.95" customHeight="1" spans="2:7">
      <c r="B8" s="221" t="s">
        <v>15</v>
      </c>
      <c r="C8" s="32" t="s">
        <v>23</v>
      </c>
      <c r="D8" s="32"/>
      <c r="E8" s="32" t="s">
        <v>24</v>
      </c>
      <c r="F8" s="32" t="s">
        <v>25</v>
      </c>
      <c r="G8" s="222" t="s">
        <v>86</v>
      </c>
    </row>
    <row r="9" s="1" customFormat="1" ht="30" customHeight="1" spans="2:7">
      <c r="B9" s="223"/>
      <c r="C9" s="173"/>
      <c r="D9" s="173"/>
      <c r="E9" s="173"/>
      <c r="F9" s="173"/>
      <c r="G9" s="224"/>
    </row>
    <row r="10" s="205" customFormat="1" spans="2:7">
      <c r="B10" s="225">
        <v>1</v>
      </c>
      <c r="C10" s="176" t="s">
        <v>87</v>
      </c>
      <c r="D10" s="176" t="s">
        <v>88</v>
      </c>
      <c r="E10" s="177">
        <v>6</v>
      </c>
      <c r="F10" s="177">
        <v>30</v>
      </c>
      <c r="G10" s="226">
        <f>E10*F10</f>
        <v>180</v>
      </c>
    </row>
    <row r="11" s="205" customFormat="1" ht="15" hidden="1" customHeight="1" spans="2:7">
      <c r="B11" s="225"/>
      <c r="C11" s="176"/>
      <c r="D11" s="176" t="s">
        <v>89</v>
      </c>
      <c r="E11" s="177">
        <v>0</v>
      </c>
      <c r="F11" s="177">
        <v>60</v>
      </c>
      <c r="G11" s="226">
        <f>E11*F11</f>
        <v>0</v>
      </c>
    </row>
    <row r="12" s="205" customFormat="1" ht="15" customHeight="1" spans="2:7">
      <c r="B12" s="225">
        <v>2</v>
      </c>
      <c r="C12" s="176" t="s">
        <v>59</v>
      </c>
      <c r="D12" s="176" t="s">
        <v>88</v>
      </c>
      <c r="E12" s="177">
        <v>2000000</v>
      </c>
      <c r="F12" s="187">
        <v>0.0005</v>
      </c>
      <c r="G12" s="226">
        <f>E12*F12</f>
        <v>1000</v>
      </c>
    </row>
    <row r="13" s="205" customFormat="1" hidden="1" spans="2:7">
      <c r="B13" s="225"/>
      <c r="C13" s="176"/>
      <c r="D13" s="176" t="s">
        <v>89</v>
      </c>
      <c r="E13" s="177">
        <v>0</v>
      </c>
      <c r="F13" s="187">
        <v>0.0003</v>
      </c>
      <c r="G13" s="226">
        <f>E13*F13</f>
        <v>0</v>
      </c>
    </row>
    <row r="14" s="205" customFormat="1" ht="30" customHeight="1" spans="2:7">
      <c r="B14" s="227">
        <v>3</v>
      </c>
      <c r="C14" s="193" t="s">
        <v>28</v>
      </c>
      <c r="D14" s="193"/>
      <c r="E14" s="194">
        <v>46000</v>
      </c>
      <c r="F14" s="195">
        <v>0.02</v>
      </c>
      <c r="G14" s="228">
        <f>E14*F14</f>
        <v>920</v>
      </c>
    </row>
    <row r="15" s="205" customFormat="1" ht="30" customHeight="1" spans="2:7">
      <c r="B15" s="229"/>
      <c r="C15" s="61"/>
      <c r="D15" s="61"/>
      <c r="E15" s="61"/>
      <c r="F15" s="61"/>
      <c r="G15" s="230">
        <f>IF(G5&lt;0.7,0,SUM(G10:G14))</f>
        <v>2100</v>
      </c>
    </row>
    <row r="16" s="205" customFormat="1" ht="30" customHeight="1" spans="2:7">
      <c r="B16" s="229"/>
      <c r="C16" s="61"/>
      <c r="D16" s="61"/>
      <c r="E16" s="61"/>
      <c r="F16" s="61"/>
      <c r="G16" s="231"/>
    </row>
    <row r="17" s="205" customFormat="1" ht="24" customHeight="1" spans="2:7">
      <c r="B17" s="232"/>
      <c r="C17" s="64" t="s">
        <v>30</v>
      </c>
      <c r="D17" s="63"/>
      <c r="E17" s="63"/>
      <c r="F17" s="63"/>
      <c r="G17" s="233"/>
    </row>
    <row r="18" s="1" customFormat="1" ht="30" customHeight="1" spans="2:7">
      <c r="B18" s="221" t="s">
        <v>15</v>
      </c>
      <c r="C18" s="234" t="s">
        <v>23</v>
      </c>
      <c r="D18" s="235"/>
      <c r="E18" s="32" t="s">
        <v>24</v>
      </c>
      <c r="F18" s="32" t="s">
        <v>25</v>
      </c>
      <c r="G18" s="222" t="s">
        <v>90</v>
      </c>
    </row>
    <row r="19" spans="2:7">
      <c r="B19" s="225">
        <v>1</v>
      </c>
      <c r="C19" s="236" t="s">
        <v>32</v>
      </c>
      <c r="D19" s="237"/>
      <c r="E19" s="67">
        <v>2</v>
      </c>
      <c r="F19" s="67">
        <v>30</v>
      </c>
      <c r="G19" s="238">
        <f>E19*F19</f>
        <v>60</v>
      </c>
    </row>
    <row r="20" spans="2:7">
      <c r="B20" s="225">
        <v>2</v>
      </c>
      <c r="C20" s="236" t="s">
        <v>33</v>
      </c>
      <c r="D20" s="237"/>
      <c r="E20" s="67">
        <v>1</v>
      </c>
      <c r="F20" s="67">
        <v>50</v>
      </c>
      <c r="G20" s="238">
        <f>E20*F20</f>
        <v>50</v>
      </c>
    </row>
    <row r="21" ht="27" customHeight="1" spans="2:7">
      <c r="B21" s="225">
        <v>3</v>
      </c>
      <c r="C21" s="239" t="s">
        <v>60</v>
      </c>
      <c r="D21" s="240"/>
      <c r="E21" s="67">
        <v>0</v>
      </c>
      <c r="F21" s="241">
        <v>0.01</v>
      </c>
      <c r="G21" s="238">
        <f>E21*F21</f>
        <v>0</v>
      </c>
    </row>
    <row r="22" ht="20.1" customHeight="1" spans="2:7">
      <c r="B22" s="225">
        <v>4</v>
      </c>
      <c r="C22" s="236" t="s">
        <v>35</v>
      </c>
      <c r="D22" s="237"/>
      <c r="E22" s="67"/>
      <c r="F22" s="67">
        <v>30</v>
      </c>
      <c r="G22" s="238">
        <f>E22*F22</f>
        <v>0</v>
      </c>
    </row>
    <row r="23" ht="20.1" customHeight="1" spans="2:7">
      <c r="B23" s="227">
        <v>5</v>
      </c>
      <c r="C23" s="236" t="s">
        <v>91</v>
      </c>
      <c r="D23" s="237"/>
      <c r="E23" s="71">
        <v>0</v>
      </c>
      <c r="F23" s="71">
        <v>100</v>
      </c>
      <c r="G23" s="238">
        <f>E23*F23</f>
        <v>0</v>
      </c>
    </row>
    <row r="24" ht="27" customHeight="1" spans="2:7">
      <c r="B24" s="242"/>
      <c r="C24" s="72"/>
      <c r="D24" s="72"/>
      <c r="E24" s="73"/>
      <c r="F24" s="47"/>
      <c r="G24" s="243">
        <f>SUM(G19:G23)</f>
        <v>110</v>
      </c>
    </row>
    <row r="25" ht="27" customHeight="1" spans="2:7">
      <c r="B25" s="242"/>
      <c r="C25" s="72"/>
      <c r="D25" s="72"/>
      <c r="E25" s="73"/>
      <c r="F25" s="47"/>
      <c r="G25" s="244">
        <f>IF((G15-G24)&gt;(D30*1.5),D30*1.5,G15-G24)</f>
        <v>1500</v>
      </c>
    </row>
    <row r="26" ht="56.1" customHeight="1" spans="2:7">
      <c r="B26" s="218"/>
      <c r="C26" s="82" t="s">
        <v>55</v>
      </c>
      <c r="D26" s="82"/>
      <c r="E26" s="83"/>
      <c r="F26" s="83"/>
      <c r="G26" s="245"/>
    </row>
    <row r="27" ht="63" customHeight="1" spans="2:7">
      <c r="B27" s="246"/>
      <c r="C27" s="247" t="s">
        <v>61</v>
      </c>
      <c r="D27" s="247"/>
      <c r="E27" s="248"/>
      <c r="F27" s="248"/>
      <c r="G27" s="249"/>
    </row>
    <row r="29" ht="48" customHeight="1" spans="4:17">
      <c r="D29" s="250" t="s">
        <v>62</v>
      </c>
      <c r="E29" s="251">
        <v>1</v>
      </c>
      <c r="F29" s="251">
        <v>2</v>
      </c>
      <c r="G29" s="251">
        <v>3</v>
      </c>
      <c r="H29" s="251">
        <v>4</v>
      </c>
      <c r="I29" s="264" t="s">
        <v>26</v>
      </c>
      <c r="J29" s="251">
        <v>1</v>
      </c>
      <c r="K29" s="251">
        <v>2</v>
      </c>
      <c r="L29" s="251">
        <v>3</v>
      </c>
      <c r="M29" s="251">
        <v>4</v>
      </c>
      <c r="N29" s="251">
        <v>5</v>
      </c>
      <c r="O29" s="264" t="s">
        <v>31</v>
      </c>
      <c r="P29" s="250" t="s">
        <v>63</v>
      </c>
      <c r="Q29" s="250" t="s">
        <v>64</v>
      </c>
    </row>
    <row r="30" ht="17.25" spans="2:17">
      <c r="B30" s="252">
        <v>1</v>
      </c>
      <c r="C30" s="253" t="s">
        <v>65</v>
      </c>
      <c r="D30" s="254">
        <v>1000</v>
      </c>
      <c r="E30" s="254">
        <v>9</v>
      </c>
      <c r="F30" s="255">
        <v>897926</v>
      </c>
      <c r="G30" s="255">
        <v>15762.651715</v>
      </c>
      <c r="H30" s="256">
        <v>0.89</v>
      </c>
      <c r="I30" s="265">
        <f t="shared" ref="I30:I48" si="0">IF(H30&lt;0.7,0,(E30*$F$10)+(F30*$F$12)+(G30*$F$14))</f>
        <v>1034.2160343</v>
      </c>
      <c r="J30" s="254">
        <v>0</v>
      </c>
      <c r="K30" s="254">
        <v>0</v>
      </c>
      <c r="L30" s="254">
        <v>0</v>
      </c>
      <c r="M30" s="254">
        <v>0</v>
      </c>
      <c r="N30" s="254">
        <v>0</v>
      </c>
      <c r="O30" s="265">
        <f t="shared" ref="O30:O48" si="1">(J30*$F$19)+(K30*$F$20)+(L30*$F$21)+(M30*$F$23)+(N30*$F$22)</f>
        <v>0</v>
      </c>
      <c r="P30" s="266">
        <f t="shared" ref="P30:P48" si="2">IF(I30=0,0,(I30-O30))</f>
        <v>1034.2160343</v>
      </c>
      <c r="Q30" s="266">
        <v>376</v>
      </c>
    </row>
    <row r="31" ht="17.25" spans="2:17">
      <c r="B31" s="65">
        <v>2</v>
      </c>
      <c r="C31" s="257" t="s">
        <v>66</v>
      </c>
      <c r="D31" s="258">
        <v>850</v>
      </c>
      <c r="E31" s="258">
        <v>9</v>
      </c>
      <c r="F31" s="259">
        <v>281523</v>
      </c>
      <c r="G31" s="259">
        <v>6877.28</v>
      </c>
      <c r="H31" s="260">
        <v>1.775</v>
      </c>
      <c r="I31" s="265">
        <f t="shared" si="0"/>
        <v>548.3071</v>
      </c>
      <c r="J31" s="258">
        <v>0</v>
      </c>
      <c r="K31" s="258">
        <v>0</v>
      </c>
      <c r="L31" s="258">
        <v>0</v>
      </c>
      <c r="M31" s="258">
        <v>0</v>
      </c>
      <c r="N31" s="258">
        <v>0</v>
      </c>
      <c r="O31" s="265">
        <f t="shared" si="1"/>
        <v>0</v>
      </c>
      <c r="P31" s="267">
        <f t="shared" si="2"/>
        <v>548.3071</v>
      </c>
      <c r="Q31" s="267">
        <v>0</v>
      </c>
    </row>
    <row r="32" ht="17.25" spans="2:17">
      <c r="B32" s="65">
        <v>3</v>
      </c>
      <c r="C32" s="257" t="s">
        <v>67</v>
      </c>
      <c r="D32" s="258">
        <v>1000</v>
      </c>
      <c r="E32" s="258">
        <v>9</v>
      </c>
      <c r="F32" s="259">
        <v>515336</v>
      </c>
      <c r="G32" s="259">
        <v>13036.83068</v>
      </c>
      <c r="H32" s="260">
        <v>1.17</v>
      </c>
      <c r="I32" s="265">
        <f t="shared" si="0"/>
        <v>788.4046136</v>
      </c>
      <c r="J32" s="258">
        <v>0</v>
      </c>
      <c r="K32" s="258">
        <v>0</v>
      </c>
      <c r="L32" s="258">
        <v>0</v>
      </c>
      <c r="M32" s="258">
        <v>0</v>
      </c>
      <c r="N32" s="258">
        <v>0</v>
      </c>
      <c r="O32" s="265">
        <f t="shared" si="1"/>
        <v>0</v>
      </c>
      <c r="P32" s="267">
        <f t="shared" si="2"/>
        <v>788.4046136</v>
      </c>
      <c r="Q32" s="267">
        <v>260</v>
      </c>
    </row>
    <row r="33" ht="17.25" spans="2:17">
      <c r="B33" s="65">
        <v>4</v>
      </c>
      <c r="C33" s="257" t="s">
        <v>68</v>
      </c>
      <c r="D33" s="258">
        <v>1300</v>
      </c>
      <c r="E33" s="258">
        <v>24</v>
      </c>
      <c r="F33" s="259">
        <v>906495</v>
      </c>
      <c r="G33" s="259">
        <v>22210.73834</v>
      </c>
      <c r="H33" s="260">
        <v>2.81</v>
      </c>
      <c r="I33" s="265">
        <f t="shared" si="0"/>
        <v>1617.4622668</v>
      </c>
      <c r="J33" s="258">
        <v>0</v>
      </c>
      <c r="K33" s="258">
        <v>0</v>
      </c>
      <c r="L33" s="258">
        <v>0</v>
      </c>
      <c r="M33" s="258">
        <v>0</v>
      </c>
      <c r="N33" s="258">
        <v>0</v>
      </c>
      <c r="O33" s="265">
        <f t="shared" si="1"/>
        <v>0</v>
      </c>
      <c r="P33" s="267">
        <f t="shared" si="2"/>
        <v>1617.4622668</v>
      </c>
      <c r="Q33" s="267"/>
    </row>
    <row r="34" ht="17.25" spans="2:17">
      <c r="B34" s="65">
        <v>5</v>
      </c>
      <c r="C34" s="257" t="s">
        <v>69</v>
      </c>
      <c r="D34" s="258">
        <v>1000</v>
      </c>
      <c r="E34" s="258">
        <v>5</v>
      </c>
      <c r="F34" s="259">
        <v>842459</v>
      </c>
      <c r="G34" s="259">
        <v>18670.1635</v>
      </c>
      <c r="H34" s="260">
        <v>1</v>
      </c>
      <c r="I34" s="265">
        <f t="shared" si="0"/>
        <v>944.63277</v>
      </c>
      <c r="J34" s="258">
        <v>0</v>
      </c>
      <c r="K34" s="258">
        <v>1</v>
      </c>
      <c r="L34" s="258">
        <v>17311</v>
      </c>
      <c r="M34" s="258">
        <v>0</v>
      </c>
      <c r="N34" s="258">
        <v>0</v>
      </c>
      <c r="O34" s="265">
        <f t="shared" si="1"/>
        <v>223.11</v>
      </c>
      <c r="P34" s="267">
        <f t="shared" si="2"/>
        <v>721.52277</v>
      </c>
      <c r="Q34" s="267">
        <v>70</v>
      </c>
    </row>
    <row r="35" ht="17.25" spans="2:17">
      <c r="B35" s="65">
        <v>6</v>
      </c>
      <c r="C35" s="257" t="s">
        <v>71</v>
      </c>
      <c r="D35" s="258">
        <v>1000</v>
      </c>
      <c r="E35" s="258">
        <v>8</v>
      </c>
      <c r="F35" s="259">
        <v>321617</v>
      </c>
      <c r="G35" s="259">
        <v>5680.125355</v>
      </c>
      <c r="H35" s="260">
        <v>1.845</v>
      </c>
      <c r="I35" s="265">
        <f t="shared" si="0"/>
        <v>514.4110071</v>
      </c>
      <c r="J35" s="258">
        <v>0</v>
      </c>
      <c r="K35" s="258">
        <v>0</v>
      </c>
      <c r="L35" s="258">
        <v>0</v>
      </c>
      <c r="M35" s="258">
        <v>0</v>
      </c>
      <c r="N35" s="258">
        <v>0</v>
      </c>
      <c r="O35" s="265">
        <f t="shared" si="1"/>
        <v>0</v>
      </c>
      <c r="P35" s="267">
        <f t="shared" si="2"/>
        <v>514.4110071</v>
      </c>
      <c r="Q35" s="267"/>
    </row>
    <row r="36" ht="17.25" spans="2:17">
      <c r="B36" s="65">
        <v>7</v>
      </c>
      <c r="C36" s="257" t="s">
        <v>72</v>
      </c>
      <c r="D36" s="258">
        <v>1000</v>
      </c>
      <c r="E36" s="258">
        <v>7</v>
      </c>
      <c r="F36" s="259">
        <v>885831</v>
      </c>
      <c r="G36" s="259">
        <v>20956.114015</v>
      </c>
      <c r="H36" s="260">
        <v>1.085</v>
      </c>
      <c r="I36" s="265">
        <f t="shared" si="0"/>
        <v>1072.0377803</v>
      </c>
      <c r="J36" s="268">
        <v>0</v>
      </c>
      <c r="K36" s="268">
        <v>1</v>
      </c>
      <c r="L36" s="268">
        <v>5457</v>
      </c>
      <c r="M36" s="268">
        <v>0</v>
      </c>
      <c r="N36" s="268">
        <v>0</v>
      </c>
      <c r="O36" s="265">
        <f t="shared" si="1"/>
        <v>104.57</v>
      </c>
      <c r="P36" s="267">
        <f t="shared" si="2"/>
        <v>967.4677803</v>
      </c>
      <c r="Q36" s="267">
        <v>403</v>
      </c>
    </row>
    <row r="37" ht="17.25" spans="2:17">
      <c r="B37" s="65">
        <v>8</v>
      </c>
      <c r="C37" s="257" t="s">
        <v>73</v>
      </c>
      <c r="D37" s="258">
        <v>1000</v>
      </c>
      <c r="E37" s="258">
        <v>11</v>
      </c>
      <c r="F37" s="259">
        <v>584338</v>
      </c>
      <c r="G37" s="259">
        <v>12046.61893</v>
      </c>
      <c r="H37" s="260">
        <v>1.7</v>
      </c>
      <c r="I37" s="265">
        <f t="shared" si="0"/>
        <v>863.1013786</v>
      </c>
      <c r="J37" s="268">
        <v>0</v>
      </c>
      <c r="K37" s="268">
        <v>0</v>
      </c>
      <c r="L37" s="268">
        <v>0</v>
      </c>
      <c r="M37" s="268">
        <v>0</v>
      </c>
      <c r="N37" s="268">
        <v>0</v>
      </c>
      <c r="O37" s="265">
        <f t="shared" si="1"/>
        <v>0</v>
      </c>
      <c r="P37" s="267">
        <f t="shared" si="2"/>
        <v>863.1013786</v>
      </c>
      <c r="Q37" s="267">
        <v>320</v>
      </c>
    </row>
    <row r="38" ht="17.25" spans="2:17">
      <c r="B38" s="65">
        <v>9</v>
      </c>
      <c r="C38" s="257" t="s">
        <v>74</v>
      </c>
      <c r="D38" s="258">
        <v>1000</v>
      </c>
      <c r="E38" s="258">
        <v>3</v>
      </c>
      <c r="F38" s="259">
        <v>457865</v>
      </c>
      <c r="G38" s="259">
        <v>11444.33763</v>
      </c>
      <c r="H38" s="260">
        <v>0.565</v>
      </c>
      <c r="I38" s="265">
        <f t="shared" si="0"/>
        <v>0</v>
      </c>
      <c r="J38" s="268">
        <v>0</v>
      </c>
      <c r="K38" s="268">
        <v>0</v>
      </c>
      <c r="L38" s="268">
        <v>0</v>
      </c>
      <c r="M38" s="268">
        <v>0</v>
      </c>
      <c r="N38" s="268">
        <v>0</v>
      </c>
      <c r="O38" s="265">
        <f t="shared" si="1"/>
        <v>0</v>
      </c>
      <c r="P38" s="267">
        <f t="shared" si="2"/>
        <v>0</v>
      </c>
      <c r="Q38" s="267">
        <v>0</v>
      </c>
    </row>
    <row r="39" ht="17.25" spans="2:17">
      <c r="B39" s="65">
        <v>10</v>
      </c>
      <c r="C39" s="257" t="s">
        <v>75</v>
      </c>
      <c r="D39" s="258">
        <v>1000</v>
      </c>
      <c r="E39" s="258">
        <v>7</v>
      </c>
      <c r="F39" s="259">
        <v>785600</v>
      </c>
      <c r="G39" s="259">
        <v>19480.589125</v>
      </c>
      <c r="H39" s="260">
        <v>0.83</v>
      </c>
      <c r="I39" s="265">
        <f t="shared" si="0"/>
        <v>992.4117825</v>
      </c>
      <c r="J39" s="268">
        <v>0</v>
      </c>
      <c r="K39" s="268">
        <v>0</v>
      </c>
      <c r="L39" s="268">
        <v>0</v>
      </c>
      <c r="M39" s="268">
        <v>0</v>
      </c>
      <c r="N39" s="268">
        <v>0</v>
      </c>
      <c r="O39" s="265">
        <f t="shared" si="1"/>
        <v>0</v>
      </c>
      <c r="P39" s="267">
        <f t="shared" si="2"/>
        <v>992.4117825</v>
      </c>
      <c r="Q39" s="267">
        <v>310</v>
      </c>
    </row>
    <row r="40" ht="17.25" spans="2:17">
      <c r="B40" s="65">
        <v>11</v>
      </c>
      <c r="C40" s="257" t="s">
        <v>76</v>
      </c>
      <c r="D40" s="258">
        <v>850</v>
      </c>
      <c r="E40" s="258">
        <v>9</v>
      </c>
      <c r="F40" s="259">
        <v>150875</v>
      </c>
      <c r="G40" s="259">
        <v>2608.81</v>
      </c>
      <c r="H40" s="260">
        <v>1.94</v>
      </c>
      <c r="I40" s="265">
        <f t="shared" si="0"/>
        <v>397.6137</v>
      </c>
      <c r="J40" s="268">
        <v>0</v>
      </c>
      <c r="K40" s="268">
        <v>0</v>
      </c>
      <c r="L40" s="268">
        <v>0</v>
      </c>
      <c r="M40" s="268">
        <v>0</v>
      </c>
      <c r="N40" s="268">
        <v>0</v>
      </c>
      <c r="O40" s="265">
        <f t="shared" si="1"/>
        <v>0</v>
      </c>
      <c r="P40" s="267">
        <f t="shared" si="2"/>
        <v>397.6137</v>
      </c>
      <c r="Q40" s="267"/>
    </row>
    <row r="41" ht="17.25" spans="2:17">
      <c r="B41" s="65">
        <v>12</v>
      </c>
      <c r="C41" s="257" t="s">
        <v>77</v>
      </c>
      <c r="D41" s="258">
        <v>1700</v>
      </c>
      <c r="E41" s="258">
        <v>3</v>
      </c>
      <c r="F41" s="259">
        <v>2333566</v>
      </c>
      <c r="G41" s="259">
        <v>50651.18297</v>
      </c>
      <c r="H41" s="260">
        <v>0.46</v>
      </c>
      <c r="I41" s="265">
        <f t="shared" si="0"/>
        <v>0</v>
      </c>
      <c r="J41" s="268">
        <v>1</v>
      </c>
      <c r="K41" s="268">
        <v>7</v>
      </c>
      <c r="L41" s="268">
        <v>66227</v>
      </c>
      <c r="M41" s="268">
        <v>0</v>
      </c>
      <c r="N41" s="268">
        <v>0</v>
      </c>
      <c r="O41" s="265">
        <f t="shared" si="1"/>
        <v>1042.27</v>
      </c>
      <c r="P41" s="267">
        <f t="shared" si="2"/>
        <v>0</v>
      </c>
      <c r="Q41" s="267">
        <v>72</v>
      </c>
    </row>
    <row r="42" ht="17.25" spans="2:17">
      <c r="B42" s="65">
        <v>13</v>
      </c>
      <c r="C42" s="257" t="s">
        <v>78</v>
      </c>
      <c r="D42" s="258">
        <v>1000</v>
      </c>
      <c r="E42" s="258">
        <v>6</v>
      </c>
      <c r="F42" s="259">
        <v>811623</v>
      </c>
      <c r="G42" s="259">
        <v>18867.206195</v>
      </c>
      <c r="H42" s="260">
        <v>0.67</v>
      </c>
      <c r="I42" s="265">
        <f t="shared" si="0"/>
        <v>0</v>
      </c>
      <c r="J42" s="268">
        <v>0</v>
      </c>
      <c r="K42" s="268">
        <v>0</v>
      </c>
      <c r="L42" s="268">
        <v>0</v>
      </c>
      <c r="M42" s="268">
        <v>0</v>
      </c>
      <c r="N42" s="268">
        <v>0</v>
      </c>
      <c r="O42" s="265">
        <f t="shared" si="1"/>
        <v>0</v>
      </c>
      <c r="P42" s="267">
        <f t="shared" si="2"/>
        <v>0</v>
      </c>
      <c r="Q42" s="267">
        <v>290</v>
      </c>
    </row>
    <row r="43" ht="17.25" spans="2:17">
      <c r="B43" s="65">
        <v>14</v>
      </c>
      <c r="C43" s="257" t="s">
        <v>79</v>
      </c>
      <c r="D43" s="258">
        <v>1400</v>
      </c>
      <c r="E43" s="258">
        <v>5</v>
      </c>
      <c r="F43" s="259">
        <v>173056</v>
      </c>
      <c r="G43" s="259">
        <v>3012.58</v>
      </c>
      <c r="H43" s="260">
        <v>0.89</v>
      </c>
      <c r="I43" s="265">
        <f t="shared" si="0"/>
        <v>296.7796</v>
      </c>
      <c r="J43" s="268">
        <v>0</v>
      </c>
      <c r="K43" s="268">
        <v>0</v>
      </c>
      <c r="L43" s="268">
        <v>0</v>
      </c>
      <c r="M43" s="268">
        <v>0</v>
      </c>
      <c r="N43" s="268">
        <v>0</v>
      </c>
      <c r="O43" s="265">
        <f t="shared" si="1"/>
        <v>0</v>
      </c>
      <c r="P43" s="267">
        <f t="shared" si="2"/>
        <v>296.7796</v>
      </c>
      <c r="Q43" s="267"/>
    </row>
    <row r="44" ht="17.25" spans="2:17">
      <c r="B44" s="65">
        <v>15</v>
      </c>
      <c r="C44" s="257" t="s">
        <v>80</v>
      </c>
      <c r="D44" s="258">
        <v>1000</v>
      </c>
      <c r="E44" s="258">
        <v>5</v>
      </c>
      <c r="F44" s="259">
        <v>588929</v>
      </c>
      <c r="G44" s="259">
        <v>11219.979125</v>
      </c>
      <c r="H44" s="260">
        <v>0.7</v>
      </c>
      <c r="I44" s="265">
        <f t="shared" si="0"/>
        <v>668.8640825</v>
      </c>
      <c r="J44" s="268">
        <v>0</v>
      </c>
      <c r="K44" s="268">
        <v>0</v>
      </c>
      <c r="L44" s="268">
        <v>0</v>
      </c>
      <c r="M44" s="268">
        <v>0</v>
      </c>
      <c r="N44" s="268">
        <v>0</v>
      </c>
      <c r="O44" s="265">
        <f t="shared" si="1"/>
        <v>0</v>
      </c>
      <c r="P44" s="267">
        <f t="shared" si="2"/>
        <v>668.8640825</v>
      </c>
      <c r="Q44" s="267">
        <v>182</v>
      </c>
    </row>
    <row r="45" ht="17.25" spans="2:17">
      <c r="B45" s="65">
        <v>16</v>
      </c>
      <c r="C45" s="257" t="s">
        <v>81</v>
      </c>
      <c r="D45" s="258">
        <v>850</v>
      </c>
      <c r="E45" s="258">
        <v>21</v>
      </c>
      <c r="F45" s="259">
        <v>762205</v>
      </c>
      <c r="G45" s="259">
        <v>17210.75417</v>
      </c>
      <c r="H45" s="260">
        <v>1.595</v>
      </c>
      <c r="I45" s="265">
        <f t="shared" si="0"/>
        <v>1355.3175834</v>
      </c>
      <c r="J45" s="268">
        <v>0</v>
      </c>
      <c r="K45" s="268">
        <v>0</v>
      </c>
      <c r="L45" s="268">
        <v>0</v>
      </c>
      <c r="M45" s="268">
        <v>0</v>
      </c>
      <c r="N45" s="268">
        <v>0</v>
      </c>
      <c r="O45" s="265">
        <f t="shared" si="1"/>
        <v>0</v>
      </c>
      <c r="P45" s="267">
        <f t="shared" si="2"/>
        <v>1355.3175834</v>
      </c>
      <c r="Q45" s="267">
        <v>0</v>
      </c>
    </row>
    <row r="46" ht="17.25" spans="2:17">
      <c r="B46" s="65">
        <v>17</v>
      </c>
      <c r="C46" s="257" t="s">
        <v>82</v>
      </c>
      <c r="D46" s="258">
        <v>1000</v>
      </c>
      <c r="E46" s="258">
        <v>23</v>
      </c>
      <c r="F46" s="258">
        <v>821342.57</v>
      </c>
      <c r="G46" s="258">
        <v>20086</v>
      </c>
      <c r="H46" s="260">
        <v>3.66</v>
      </c>
      <c r="I46" s="265">
        <f t="shared" si="0"/>
        <v>1502.391285</v>
      </c>
      <c r="J46" s="268">
        <v>0</v>
      </c>
      <c r="K46" s="268">
        <v>0</v>
      </c>
      <c r="L46" s="268">
        <v>0</v>
      </c>
      <c r="M46" s="268">
        <v>0</v>
      </c>
      <c r="N46" s="268">
        <v>0</v>
      </c>
      <c r="O46" s="265">
        <f t="shared" si="1"/>
        <v>0</v>
      </c>
      <c r="P46" s="267">
        <f t="shared" si="2"/>
        <v>1502.391285</v>
      </c>
      <c r="Q46" s="267">
        <v>0</v>
      </c>
    </row>
    <row r="47" ht="17.25" spans="2:17">
      <c r="B47" s="65">
        <v>18</v>
      </c>
      <c r="C47" s="257" t="s">
        <v>83</v>
      </c>
      <c r="D47" s="258">
        <v>1000</v>
      </c>
      <c r="E47" s="258">
        <v>24</v>
      </c>
      <c r="F47" s="258">
        <v>631920.04</v>
      </c>
      <c r="G47" s="258">
        <v>16530</v>
      </c>
      <c r="H47" s="260">
        <v>1.61</v>
      </c>
      <c r="I47" s="265">
        <f t="shared" si="0"/>
        <v>1366.56002</v>
      </c>
      <c r="J47" s="268">
        <v>0</v>
      </c>
      <c r="K47" s="268">
        <v>0</v>
      </c>
      <c r="L47" s="268">
        <v>0</v>
      </c>
      <c r="M47" s="268">
        <v>0</v>
      </c>
      <c r="N47" s="268">
        <v>0</v>
      </c>
      <c r="O47" s="265">
        <f t="shared" si="1"/>
        <v>0</v>
      </c>
      <c r="P47" s="267">
        <f t="shared" si="2"/>
        <v>1366.56002</v>
      </c>
      <c r="Q47" s="267">
        <v>0</v>
      </c>
    </row>
    <row r="48" ht="17.25" spans="2:17">
      <c r="B48" s="65">
        <v>19</v>
      </c>
      <c r="C48" s="261" t="s">
        <v>84</v>
      </c>
      <c r="D48" s="262">
        <v>850</v>
      </c>
      <c r="E48" s="262">
        <v>49</v>
      </c>
      <c r="F48" s="262">
        <v>811939.24</v>
      </c>
      <c r="G48" s="262">
        <v>19348</v>
      </c>
      <c r="H48" s="263">
        <v>2.88</v>
      </c>
      <c r="I48" s="265">
        <f t="shared" si="0"/>
        <v>2262.92962</v>
      </c>
      <c r="J48" s="269">
        <v>0</v>
      </c>
      <c r="K48" s="269">
        <v>0</v>
      </c>
      <c r="L48" s="269">
        <v>0</v>
      </c>
      <c r="M48" s="269">
        <v>0</v>
      </c>
      <c r="N48" s="269">
        <v>0</v>
      </c>
      <c r="O48" s="265">
        <f t="shared" si="1"/>
        <v>0</v>
      </c>
      <c r="P48" s="270">
        <f t="shared" si="2"/>
        <v>2262.92962</v>
      </c>
      <c r="Q48" s="270">
        <v>0</v>
      </c>
    </row>
  </sheetData>
  <mergeCells count="22">
    <mergeCell ref="C2:D2"/>
    <mergeCell ref="C3:D3"/>
    <mergeCell ref="C4:D4"/>
    <mergeCell ref="C5:D5"/>
    <mergeCell ref="C14:D14"/>
    <mergeCell ref="C18:D18"/>
    <mergeCell ref="C19:D19"/>
    <mergeCell ref="C20:D20"/>
    <mergeCell ref="C21:D21"/>
    <mergeCell ref="C22:D22"/>
    <mergeCell ref="C23:D23"/>
    <mergeCell ref="C26:G26"/>
    <mergeCell ref="C27:G27"/>
    <mergeCell ref="B8:B9"/>
    <mergeCell ref="B10:B11"/>
    <mergeCell ref="B12:B13"/>
    <mergeCell ref="C10:C11"/>
    <mergeCell ref="C12:C13"/>
    <mergeCell ref="E8:E9"/>
    <mergeCell ref="F8:F9"/>
    <mergeCell ref="G8:G9"/>
    <mergeCell ref="C8:D9"/>
  </mergeCells>
  <pageMargins left="0.21" right="0.21" top="0.28" bottom="0.36" header="0.5" footer="0.31496062992126"/>
  <pageSetup paperSize="9" scale="66" fitToHeight="10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B2:K60"/>
  <sheetViews>
    <sheetView zoomScale="115" zoomScaleNormal="115" topLeftCell="A25" workbookViewId="0">
      <selection activeCell="G53" sqref="G53"/>
    </sheetView>
  </sheetViews>
  <sheetFormatPr defaultColWidth="9.14285714285714" defaultRowHeight="16.5"/>
  <cols>
    <col min="1" max="1" width="4.57142857142857" style="2" customWidth="1"/>
    <col min="2" max="2" width="4.85714285714286" style="2" customWidth="1"/>
    <col min="3" max="3" width="53" style="2" customWidth="1"/>
    <col min="4" max="4" width="19" style="2" customWidth="1"/>
    <col min="5" max="5" width="17.4285714285714" style="2" customWidth="1"/>
    <col min="6" max="6" width="18.7142857142857" style="2" customWidth="1"/>
    <col min="7" max="7" width="15.5714285714286" style="2" customWidth="1"/>
    <col min="8" max="8" width="31.8571428571429" style="2" customWidth="1"/>
    <col min="9" max="16384" width="9.14285714285714" style="2"/>
  </cols>
  <sheetData>
    <row r="2" spans="2:7">
      <c r="B2" s="5"/>
      <c r="C2" s="5"/>
      <c r="D2" s="5"/>
      <c r="E2" s="5"/>
      <c r="F2" s="5"/>
      <c r="G2" s="5"/>
    </row>
    <row r="3" ht="21" spans="2:7">
      <c r="B3" s="6" t="s">
        <v>0</v>
      </c>
      <c r="C3" s="7"/>
      <c r="D3" s="7"/>
      <c r="E3" s="7"/>
      <c r="F3" s="7"/>
      <c r="G3" s="5"/>
    </row>
    <row r="4" ht="11.1" customHeight="1" spans="2:7">
      <c r="B4" s="6"/>
      <c r="C4" s="7"/>
      <c r="D4" s="7"/>
      <c r="E4" s="7"/>
      <c r="F4" s="7"/>
      <c r="G4" s="5"/>
    </row>
    <row r="5" ht="17.25" spans="2:7">
      <c r="B5" s="5"/>
      <c r="C5" s="8"/>
      <c r="D5" s="5"/>
      <c r="E5" s="9"/>
      <c r="F5" s="10" t="s">
        <v>1</v>
      </c>
      <c r="G5" s="10"/>
    </row>
    <row r="6" ht="8.1" customHeight="1" spans="2:7">
      <c r="B6" s="11"/>
      <c r="C6" s="5"/>
      <c r="D6" s="5"/>
      <c r="E6" s="5"/>
      <c r="F6" s="5"/>
      <c r="G6" s="5"/>
    </row>
    <row r="7" ht="21" customHeight="1" spans="2:7">
      <c r="B7" s="12" t="s">
        <v>2</v>
      </c>
      <c r="C7" s="13"/>
      <c r="D7" s="13"/>
      <c r="E7" s="13"/>
      <c r="F7" s="13"/>
      <c r="G7" s="5"/>
    </row>
    <row r="8" ht="9.95" customHeight="1" spans="2:7">
      <c r="B8" s="14"/>
      <c r="C8" s="15"/>
      <c r="D8" s="15"/>
      <c r="E8" s="15"/>
      <c r="F8" s="15"/>
      <c r="G8" s="5"/>
    </row>
    <row r="9" ht="18" spans="2:7">
      <c r="B9" s="16" t="s">
        <v>96</v>
      </c>
      <c r="C9" s="17"/>
      <c r="D9" s="17"/>
      <c r="E9" s="17"/>
      <c r="F9" s="17"/>
      <c r="G9" s="5"/>
    </row>
    <row r="10" spans="2:7">
      <c r="B10" s="18" t="s">
        <v>5</v>
      </c>
      <c r="C10" s="19"/>
      <c r="D10" s="19"/>
      <c r="E10" s="19"/>
      <c r="F10" s="19"/>
      <c r="G10" s="5"/>
    </row>
    <row r="11" ht="9" customHeight="1" spans="2:7">
      <c r="B11" s="18"/>
      <c r="C11" s="19"/>
      <c r="D11" s="19"/>
      <c r="E11" s="19"/>
      <c r="F11" s="19"/>
      <c r="G11" s="5"/>
    </row>
    <row r="12" ht="17.25" spans="2:7">
      <c r="B12" s="18"/>
      <c r="C12" s="20" t="s">
        <v>6</v>
      </c>
      <c r="D12" s="166" t="s">
        <v>97</v>
      </c>
      <c r="E12" s="166"/>
      <c r="F12" s="166"/>
      <c r="G12" s="5"/>
    </row>
    <row r="13" ht="9" customHeight="1" spans="2:7">
      <c r="B13" s="18"/>
      <c r="C13" s="19"/>
      <c r="D13" s="19"/>
      <c r="E13" s="19"/>
      <c r="F13" s="19"/>
      <c r="G13" s="5"/>
    </row>
    <row r="14" spans="2:11">
      <c r="B14" s="18"/>
      <c r="C14" s="22" t="s">
        <v>7</v>
      </c>
      <c r="D14" s="19"/>
      <c r="E14" s="19"/>
      <c r="F14" s="19"/>
      <c r="G14" s="5"/>
      <c r="K14" s="2" t="s">
        <v>98</v>
      </c>
    </row>
    <row r="15" ht="9" customHeight="1" spans="2:7">
      <c r="B15" s="18"/>
      <c r="C15" s="23"/>
      <c r="D15" s="19"/>
      <c r="E15" s="19"/>
      <c r="F15" s="19"/>
      <c r="G15" s="5"/>
    </row>
    <row r="16" ht="18" spans="2:7">
      <c r="B16" s="18"/>
      <c r="C16" s="24" t="s">
        <v>8</v>
      </c>
      <c r="D16" s="25" t="s">
        <v>99</v>
      </c>
      <c r="E16" s="25"/>
      <c r="F16" s="25"/>
      <c r="G16" s="5"/>
    </row>
    <row r="17" ht="9" customHeight="1" spans="2:7">
      <c r="B17" s="18"/>
      <c r="C17" s="26"/>
      <c r="D17" s="11"/>
      <c r="E17" s="11"/>
      <c r="F17" s="11"/>
      <c r="G17" s="5"/>
    </row>
    <row r="18" ht="18" spans="2:7">
      <c r="B18" s="18"/>
      <c r="C18" s="24" t="s">
        <v>10</v>
      </c>
      <c r="D18" s="25" t="s">
        <v>100</v>
      </c>
      <c r="E18" s="25"/>
      <c r="F18" s="25"/>
      <c r="G18" s="5"/>
    </row>
    <row r="19" ht="9" customHeight="1" spans="2:7">
      <c r="B19" s="18"/>
      <c r="C19" s="26"/>
      <c r="D19" s="11"/>
      <c r="E19" s="11"/>
      <c r="F19" s="11"/>
      <c r="G19" s="5"/>
    </row>
    <row r="20" ht="18" spans="2:7">
      <c r="B20" s="5"/>
      <c r="C20" s="24" t="s">
        <v>12</v>
      </c>
      <c r="D20" s="25">
        <v>54</v>
      </c>
      <c r="E20" s="25" t="s">
        <v>13</v>
      </c>
      <c r="F20" s="25"/>
      <c r="G20" s="5"/>
    </row>
    <row r="21" ht="11.1" customHeight="1" spans="2:7">
      <c r="B21" s="5"/>
      <c r="C21" s="26"/>
      <c r="D21" s="11"/>
      <c r="E21" s="11"/>
      <c r="F21" s="11"/>
      <c r="G21" s="5"/>
    </row>
    <row r="22" ht="15" customHeight="1" spans="2:7">
      <c r="B22" s="5"/>
      <c r="C22" s="24" t="s">
        <v>14</v>
      </c>
      <c r="D22" s="28">
        <v>1870</v>
      </c>
      <c r="E22" s="11"/>
      <c r="F22" s="11"/>
      <c r="G22" s="5"/>
    </row>
    <row r="23" ht="17.25" spans="2:7">
      <c r="B23" s="5"/>
      <c r="C23" s="29"/>
      <c r="D23" s="30"/>
      <c r="E23" s="30"/>
      <c r="F23" s="30"/>
      <c r="G23" s="5"/>
    </row>
    <row r="24" ht="30.95" customHeight="1" spans="2:7">
      <c r="B24" s="31" t="s">
        <v>15</v>
      </c>
      <c r="C24" s="32" t="s">
        <v>85</v>
      </c>
      <c r="D24" s="32"/>
      <c r="E24" s="31" t="s">
        <v>17</v>
      </c>
      <c r="F24" s="31" t="s">
        <v>18</v>
      </c>
      <c r="G24" s="167" t="s">
        <v>48</v>
      </c>
    </row>
    <row r="25" ht="18" customHeight="1" spans="2:7">
      <c r="B25" s="34">
        <v>1</v>
      </c>
      <c r="C25" s="35" t="s">
        <v>19</v>
      </c>
      <c r="D25" s="35"/>
      <c r="E25" s="36">
        <v>16</v>
      </c>
      <c r="F25" s="36">
        <v>224000</v>
      </c>
      <c r="G25" s="168"/>
    </row>
    <row r="26" ht="18" customHeight="1" spans="2:7">
      <c r="B26" s="34">
        <v>2</v>
      </c>
      <c r="C26" s="35" t="s">
        <v>101</v>
      </c>
      <c r="D26" s="35"/>
      <c r="E26" s="36">
        <v>30</v>
      </c>
      <c r="F26" s="36">
        <v>223900</v>
      </c>
      <c r="G26" s="169"/>
    </row>
    <row r="27" ht="18" customHeight="1" spans="2:7">
      <c r="B27" s="42">
        <v>3</v>
      </c>
      <c r="C27" s="170" t="s">
        <v>21</v>
      </c>
      <c r="D27" s="170"/>
      <c r="E27" s="171">
        <f>E26/E25</f>
        <v>1.875</v>
      </c>
      <c r="F27" s="171">
        <f>F26/F25</f>
        <v>0.999553571428571</v>
      </c>
      <c r="G27" s="172">
        <f>(E27+F27)/2</f>
        <v>1.43727678571429</v>
      </c>
    </row>
    <row r="28" ht="12" customHeight="1" spans="2:7">
      <c r="B28" s="47"/>
      <c r="C28" s="48"/>
      <c r="D28" s="48"/>
      <c r="E28" s="30"/>
      <c r="F28" s="30"/>
      <c r="G28" s="30"/>
    </row>
    <row r="29" spans="2:7">
      <c r="B29" s="47"/>
      <c r="C29" s="49" t="s">
        <v>22</v>
      </c>
      <c r="D29" s="49"/>
      <c r="E29" s="47"/>
      <c r="F29" s="47"/>
      <c r="G29" s="47"/>
    </row>
    <row r="30" s="1" customFormat="1" ht="30" customHeight="1" spans="2:7">
      <c r="B30" s="32" t="s">
        <v>15</v>
      </c>
      <c r="C30" s="32" t="s">
        <v>23</v>
      </c>
      <c r="D30" s="32"/>
      <c r="E30" s="32" t="s">
        <v>24</v>
      </c>
      <c r="F30" s="32" t="s">
        <v>25</v>
      </c>
      <c r="G30" s="32" t="s">
        <v>86</v>
      </c>
    </row>
    <row r="31" spans="2:7">
      <c r="B31" s="173"/>
      <c r="C31" s="173"/>
      <c r="D31" s="173"/>
      <c r="E31" s="173"/>
      <c r="F31" s="173"/>
      <c r="G31" s="173"/>
    </row>
    <row r="32" spans="2:7">
      <c r="B32" s="174">
        <v>1</v>
      </c>
      <c r="C32" s="175" t="s">
        <v>87</v>
      </c>
      <c r="D32" s="176" t="s">
        <v>88</v>
      </c>
      <c r="E32" s="177">
        <v>30</v>
      </c>
      <c r="F32" s="177">
        <v>20</v>
      </c>
      <c r="G32" s="177">
        <f t="shared" ref="G32:G42" si="0">E32*F32</f>
        <v>600</v>
      </c>
    </row>
    <row r="33" spans="2:7">
      <c r="B33" s="178"/>
      <c r="C33" s="179"/>
      <c r="D33" s="176" t="s">
        <v>89</v>
      </c>
      <c r="E33" s="177">
        <v>0</v>
      </c>
      <c r="F33" s="177">
        <v>60</v>
      </c>
      <c r="G33" s="177">
        <f t="shared" si="0"/>
        <v>0</v>
      </c>
    </row>
    <row r="34" spans="2:7">
      <c r="B34" s="178"/>
      <c r="C34" s="179"/>
      <c r="D34" s="176" t="s">
        <v>102</v>
      </c>
      <c r="E34" s="177">
        <v>0</v>
      </c>
      <c r="F34" s="177">
        <v>40</v>
      </c>
      <c r="G34" s="177">
        <f t="shared" si="0"/>
        <v>0</v>
      </c>
    </row>
    <row r="35" spans="2:7">
      <c r="B35" s="180"/>
      <c r="C35" s="181"/>
      <c r="D35" s="182" t="s">
        <v>103</v>
      </c>
      <c r="E35" s="183">
        <v>0</v>
      </c>
      <c r="F35" s="183">
        <v>40</v>
      </c>
      <c r="G35" s="183">
        <f t="shared" si="0"/>
        <v>0</v>
      </c>
    </row>
    <row r="36" spans="2:7">
      <c r="B36" s="65">
        <v>2</v>
      </c>
      <c r="C36" s="184" t="s">
        <v>44</v>
      </c>
      <c r="D36" s="185"/>
      <c r="E36" s="177">
        <v>0</v>
      </c>
      <c r="F36" s="177">
        <v>30</v>
      </c>
      <c r="G36" s="177">
        <f t="shared" si="0"/>
        <v>0</v>
      </c>
    </row>
    <row r="37" spans="2:7">
      <c r="B37" s="174">
        <v>3</v>
      </c>
      <c r="C37" s="186" t="s">
        <v>59</v>
      </c>
      <c r="D37" s="176" t="s">
        <v>88</v>
      </c>
      <c r="E37" s="177">
        <v>1580114.61</v>
      </c>
      <c r="F37" s="187">
        <v>0.0005</v>
      </c>
      <c r="G37" s="177">
        <f t="shared" si="0"/>
        <v>790.057305</v>
      </c>
    </row>
    <row r="38" spans="2:7">
      <c r="B38" s="178"/>
      <c r="C38" s="188"/>
      <c r="D38" s="176" t="s">
        <v>89</v>
      </c>
      <c r="E38" s="177">
        <v>0</v>
      </c>
      <c r="F38" s="187">
        <v>0.0003</v>
      </c>
      <c r="G38" s="177">
        <f t="shared" si="0"/>
        <v>0</v>
      </c>
    </row>
    <row r="39" spans="2:7">
      <c r="B39" s="178"/>
      <c r="C39" s="188"/>
      <c r="D39" s="176" t="s">
        <v>102</v>
      </c>
      <c r="E39" s="189">
        <v>35346.66</v>
      </c>
      <c r="F39" s="187">
        <v>0.001</v>
      </c>
      <c r="G39" s="177">
        <f t="shared" si="0"/>
        <v>35.34666</v>
      </c>
    </row>
    <row r="40" spans="2:7">
      <c r="B40" s="178"/>
      <c r="C40" s="188"/>
      <c r="D40" s="182" t="s">
        <v>103</v>
      </c>
      <c r="E40" s="190">
        <v>400000</v>
      </c>
      <c r="F40" s="191">
        <v>0.0015</v>
      </c>
      <c r="G40" s="183">
        <f t="shared" si="0"/>
        <v>600</v>
      </c>
    </row>
    <row r="41" spans="2:7">
      <c r="B41" s="180"/>
      <c r="C41" s="192"/>
      <c r="D41" s="182" t="s">
        <v>104</v>
      </c>
      <c r="E41" s="190">
        <v>850000</v>
      </c>
      <c r="F41" s="191">
        <v>0.0005</v>
      </c>
      <c r="G41" s="183">
        <f t="shared" si="0"/>
        <v>425</v>
      </c>
    </row>
    <row r="42" ht="33" customHeight="1" spans="2:7">
      <c r="B42" s="69">
        <v>4</v>
      </c>
      <c r="C42" s="193" t="s">
        <v>105</v>
      </c>
      <c r="D42" s="193"/>
      <c r="E42" s="194">
        <v>33336.92</v>
      </c>
      <c r="F42" s="195">
        <v>0.02</v>
      </c>
      <c r="G42" s="177">
        <f t="shared" si="0"/>
        <v>666.7384</v>
      </c>
    </row>
    <row r="43" s="1" customFormat="1" ht="30" customHeight="1" spans="2:7">
      <c r="B43" s="60"/>
      <c r="C43" s="61"/>
      <c r="D43" s="61"/>
      <c r="E43" s="61"/>
      <c r="F43" s="61"/>
      <c r="G43" s="196">
        <f>IF(G27&lt;0.7,0,SUM(G32:G42))</f>
        <v>3117.142365</v>
      </c>
    </row>
    <row r="44" spans="2:7">
      <c r="B44" s="63"/>
      <c r="C44" s="64" t="s">
        <v>30</v>
      </c>
      <c r="D44" s="63"/>
      <c r="E44" s="63"/>
      <c r="F44" s="63"/>
      <c r="G44" s="63"/>
    </row>
    <row r="45" ht="34.5" spans="2:7">
      <c r="B45" s="32" t="s">
        <v>15</v>
      </c>
      <c r="C45" s="32" t="s">
        <v>23</v>
      </c>
      <c r="D45" s="32"/>
      <c r="E45" s="32" t="s">
        <v>24</v>
      </c>
      <c r="F45" s="32" t="s">
        <v>25</v>
      </c>
      <c r="G45" s="32" t="s">
        <v>90</v>
      </c>
    </row>
    <row r="46" spans="2:7">
      <c r="B46" s="65">
        <v>1</v>
      </c>
      <c r="C46" s="197" t="s">
        <v>32</v>
      </c>
      <c r="D46" s="197"/>
      <c r="E46" s="198">
        <v>4</v>
      </c>
      <c r="F46" s="198">
        <v>30</v>
      </c>
      <c r="G46" s="198">
        <v>120</v>
      </c>
    </row>
    <row r="47" spans="2:7">
      <c r="B47" s="65">
        <v>2</v>
      </c>
      <c r="C47" s="197" t="s">
        <v>33</v>
      </c>
      <c r="D47" s="197"/>
      <c r="E47" s="198">
        <v>1</v>
      </c>
      <c r="F47" s="198">
        <v>50</v>
      </c>
      <c r="G47" s="198">
        <v>50</v>
      </c>
    </row>
    <row r="48" ht="32.1" customHeight="1" spans="2:7">
      <c r="B48" s="65">
        <v>3</v>
      </c>
      <c r="C48" s="199" t="s">
        <v>60</v>
      </c>
      <c r="D48" s="199"/>
      <c r="E48" s="198">
        <v>3485.73</v>
      </c>
      <c r="F48" s="200">
        <v>0.01</v>
      </c>
      <c r="G48" s="198">
        <v>34.8573</v>
      </c>
    </row>
    <row r="49" spans="2:7">
      <c r="B49" s="65">
        <v>4</v>
      </c>
      <c r="C49" s="66" t="s">
        <v>35</v>
      </c>
      <c r="D49" s="66"/>
      <c r="E49" s="67">
        <v>0</v>
      </c>
      <c r="F49" s="67">
        <v>30</v>
      </c>
      <c r="G49" s="67">
        <v>0</v>
      </c>
    </row>
    <row r="50" spans="2:7">
      <c r="B50" s="69">
        <v>5</v>
      </c>
      <c r="C50" s="70" t="s">
        <v>91</v>
      </c>
      <c r="D50" s="70"/>
      <c r="E50" s="71">
        <v>0</v>
      </c>
      <c r="F50" s="71">
        <v>100</v>
      </c>
      <c r="G50" s="71">
        <v>0</v>
      </c>
    </row>
    <row r="51" ht="17.25" spans="2:7">
      <c r="B51" s="72"/>
      <c r="C51" s="72"/>
      <c r="D51" s="72"/>
      <c r="E51" s="73"/>
      <c r="F51" s="47"/>
      <c r="G51" s="201">
        <f>SUM(G46:G50)</f>
        <v>204.8573</v>
      </c>
    </row>
    <row r="52" ht="21" spans="2:7">
      <c r="B52" s="72"/>
      <c r="C52" s="72"/>
      <c r="D52" s="72"/>
      <c r="E52" s="73"/>
      <c r="F52" s="47"/>
      <c r="G52" s="202">
        <f>IF((G43-G51)&gt;(D22*1.5),D22*1.5,G43-G51)</f>
        <v>2805</v>
      </c>
    </row>
    <row r="53" ht="21" spans="2:7">
      <c r="B53" s="72"/>
      <c r="C53" s="72"/>
      <c r="D53" s="203" t="s">
        <v>106</v>
      </c>
      <c r="E53" s="203"/>
      <c r="F53" s="203"/>
      <c r="G53" s="79">
        <f>(G43-G51)/D22</f>
        <v>1.55737169251337</v>
      </c>
    </row>
    <row r="54" ht="62.1" customHeight="1" spans="2:7">
      <c r="B54" s="47"/>
      <c r="C54" s="80" t="s">
        <v>55</v>
      </c>
      <c r="D54" s="80"/>
      <c r="E54" s="81"/>
      <c r="F54" s="81"/>
      <c r="G54" s="81"/>
    </row>
    <row r="55" ht="51" customHeight="1" spans="2:7">
      <c r="B55" s="47"/>
      <c r="C55" s="82" t="s">
        <v>107</v>
      </c>
      <c r="D55" s="82"/>
      <c r="E55" s="83"/>
      <c r="F55" s="83"/>
      <c r="G55" s="83"/>
    </row>
    <row r="56" ht="18" spans="2:7">
      <c r="B56" s="47"/>
      <c r="C56" s="82"/>
      <c r="D56" s="82"/>
      <c r="E56" s="83"/>
      <c r="F56" s="83"/>
      <c r="G56" s="83"/>
    </row>
    <row r="57" ht="21" spans="2:7">
      <c r="B57" s="5"/>
      <c r="C57" s="204" t="s">
        <v>108</v>
      </c>
      <c r="D57" s="5"/>
      <c r="E57" s="5"/>
      <c r="F57" s="5"/>
      <c r="G57" s="5"/>
    </row>
    <row r="58" ht="21" spans="2:7">
      <c r="B58" s="5"/>
      <c r="C58" s="204"/>
      <c r="D58" s="5"/>
      <c r="E58" s="5"/>
      <c r="F58" s="5"/>
      <c r="G58" s="5"/>
    </row>
    <row r="59" ht="21" spans="2:7">
      <c r="B59" s="5"/>
      <c r="C59" s="204" t="s">
        <v>109</v>
      </c>
      <c r="D59" s="5"/>
      <c r="E59" s="5"/>
      <c r="F59" s="5"/>
      <c r="G59" s="5"/>
    </row>
    <row r="60" spans="2:7">
      <c r="B60" s="5"/>
      <c r="C60" s="5"/>
      <c r="D60" s="5"/>
      <c r="E60" s="5"/>
      <c r="F60" s="5"/>
      <c r="G60" s="5"/>
    </row>
  </sheetData>
  <mergeCells count="35">
    <mergeCell ref="B3:F3"/>
    <mergeCell ref="F5:G5"/>
    <mergeCell ref="B7:F7"/>
    <mergeCell ref="B8:F8"/>
    <mergeCell ref="B9:F9"/>
    <mergeCell ref="B10:F10"/>
    <mergeCell ref="D12:F12"/>
    <mergeCell ref="D16:F16"/>
    <mergeCell ref="D18:F18"/>
    <mergeCell ref="E20:F20"/>
    <mergeCell ref="D23:F23"/>
    <mergeCell ref="C24:D24"/>
    <mergeCell ref="C25:D25"/>
    <mergeCell ref="C26:D26"/>
    <mergeCell ref="C27:D27"/>
    <mergeCell ref="C36:D36"/>
    <mergeCell ref="C42:D42"/>
    <mergeCell ref="C45:D45"/>
    <mergeCell ref="C46:D46"/>
    <mergeCell ref="C47:D47"/>
    <mergeCell ref="C48:D48"/>
    <mergeCell ref="C49:D49"/>
    <mergeCell ref="C50:D50"/>
    <mergeCell ref="D53:F53"/>
    <mergeCell ref="C54:G54"/>
    <mergeCell ref="C55:G55"/>
    <mergeCell ref="B30:B31"/>
    <mergeCell ref="B32:B35"/>
    <mergeCell ref="B37:B41"/>
    <mergeCell ref="C32:C35"/>
    <mergeCell ref="C37:C41"/>
    <mergeCell ref="E30:E31"/>
    <mergeCell ref="F30:F31"/>
    <mergeCell ref="G30:G31"/>
    <mergeCell ref="C30:D31"/>
  </mergeCells>
  <pageMargins left="0.196850393700787" right="0.196850393700787" top="0.196850393700787" bottom="0.196850393700787" header="0.354330708661417" footer="0.196850393700787"/>
  <pageSetup paperSize="9" scale="70" fitToHeight="100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8"/>
  <sheetViews>
    <sheetView tabSelected="1" topLeftCell="A26" workbookViewId="0">
      <selection activeCell="G37" sqref="G37"/>
    </sheetView>
  </sheetViews>
  <sheetFormatPr defaultColWidth="9.14285714285714" defaultRowHeight="16.5" outlineLevelCol="5"/>
  <cols>
    <col min="1" max="1" width="4.85714285714286" style="92" customWidth="1"/>
    <col min="2" max="2" width="49.1428571428571" style="92" customWidth="1"/>
    <col min="3" max="3" width="29.1428571428571" style="92" customWidth="1"/>
    <col min="4" max="4" width="13.8571428571429" style="92" customWidth="1"/>
    <col min="5" max="5" width="23.2857142857143" style="92" customWidth="1"/>
    <col min="6" max="6" width="14" style="92" customWidth="1"/>
    <col min="7" max="16384" width="9.14285714285714" style="92"/>
  </cols>
  <sheetData>
    <row r="1" ht="45" customHeight="1" spans="1:6">
      <c r="A1" s="93" t="s">
        <v>110</v>
      </c>
      <c r="B1" s="93"/>
      <c r="C1" s="93"/>
      <c r="D1" s="93"/>
      <c r="E1" s="93"/>
      <c r="F1" s="93"/>
    </row>
    <row r="2" spans="1:6">
      <c r="A2" s="90"/>
      <c r="B2" s="90"/>
      <c r="C2" s="90"/>
      <c r="D2" s="90"/>
      <c r="E2" s="90"/>
      <c r="F2" s="90"/>
    </row>
    <row r="3" ht="21" spans="1:6">
      <c r="A3" s="94" t="s">
        <v>111</v>
      </c>
      <c r="B3" s="94"/>
      <c r="C3" s="94"/>
      <c r="D3" s="94"/>
      <c r="E3" s="94"/>
      <c r="F3" s="94"/>
    </row>
    <row r="4" ht="17.25" spans="1:6">
      <c r="A4" s="90"/>
      <c r="B4" s="90"/>
      <c r="C4" s="90"/>
      <c r="D4" s="95"/>
      <c r="E4" s="96" t="s">
        <v>1</v>
      </c>
      <c r="F4" s="96"/>
    </row>
    <row r="5" ht="42.75" customHeight="1" spans="1:6">
      <c r="A5" s="97" t="s">
        <v>112</v>
      </c>
      <c r="B5" s="97"/>
      <c r="C5" s="97"/>
      <c r="D5" s="97"/>
      <c r="E5" s="97"/>
      <c r="F5" s="97"/>
    </row>
    <row r="6" spans="1:6">
      <c r="A6" s="98"/>
      <c r="B6" s="99"/>
      <c r="C6" s="99"/>
      <c r="D6" s="99"/>
      <c r="E6" s="99"/>
      <c r="F6" s="90"/>
    </row>
    <row r="7" ht="21" spans="1:6">
      <c r="A7" s="100" t="s">
        <v>113</v>
      </c>
      <c r="B7" s="100"/>
      <c r="C7" s="100"/>
      <c r="D7" s="100"/>
      <c r="E7" s="100"/>
      <c r="F7" s="100"/>
    </row>
    <row r="8" spans="1:6">
      <c r="A8" s="101" t="s">
        <v>5</v>
      </c>
      <c r="B8" s="101"/>
      <c r="C8" s="101"/>
      <c r="D8" s="101"/>
      <c r="E8" s="101"/>
      <c r="F8" s="101"/>
    </row>
    <row r="9" ht="17.25" spans="1:6">
      <c r="A9" s="101"/>
      <c r="B9" s="102" t="s">
        <v>6</v>
      </c>
      <c r="C9" s="103">
        <v>45778</v>
      </c>
      <c r="D9" s="103"/>
      <c r="E9" s="103"/>
      <c r="F9" s="103"/>
    </row>
    <row r="10" spans="1:6">
      <c r="A10" s="101"/>
      <c r="B10" s="104"/>
      <c r="C10" s="105"/>
      <c r="D10" s="105"/>
      <c r="E10" s="105"/>
      <c r="F10" s="90"/>
    </row>
    <row r="11" spans="1:6">
      <c r="A11" s="101"/>
      <c r="B11" s="106" t="s">
        <v>114</v>
      </c>
      <c r="C11" s="105"/>
      <c r="D11" s="105"/>
      <c r="E11" s="105"/>
      <c r="F11" s="90"/>
    </row>
    <row r="12" ht="18" spans="1:6">
      <c r="A12" s="101"/>
      <c r="B12" s="107" t="s">
        <v>115</v>
      </c>
      <c r="C12" s="108" t="s">
        <v>116</v>
      </c>
      <c r="D12" s="108"/>
      <c r="E12" s="108"/>
      <c r="F12" s="108"/>
    </row>
    <row r="13" spans="1:6">
      <c r="A13" s="101"/>
      <c r="B13" s="109"/>
      <c r="C13" s="110"/>
      <c r="D13" s="110"/>
      <c r="E13" s="110"/>
      <c r="F13" s="90"/>
    </row>
    <row r="14" ht="18" spans="1:6">
      <c r="A14" s="101"/>
      <c r="B14" s="107" t="s">
        <v>10</v>
      </c>
      <c r="C14" s="108" t="s">
        <v>117</v>
      </c>
      <c r="D14" s="108"/>
      <c r="E14" s="108"/>
      <c r="F14" s="108"/>
    </row>
    <row r="15" spans="1:6">
      <c r="A15" s="101"/>
      <c r="B15" s="109"/>
      <c r="C15" s="110"/>
      <c r="D15" s="110"/>
      <c r="E15" s="110"/>
      <c r="F15" s="90"/>
    </row>
    <row r="16" ht="18" spans="1:6">
      <c r="A16" s="111"/>
      <c r="B16" s="107" t="s">
        <v>118</v>
      </c>
      <c r="C16" s="112">
        <v>4320</v>
      </c>
      <c r="D16" s="113" t="s">
        <v>119</v>
      </c>
      <c r="E16" s="114">
        <f>F49</f>
        <v>6480</v>
      </c>
      <c r="F16" s="90"/>
    </row>
    <row r="17" ht="18" spans="1:6">
      <c r="A17" s="111"/>
      <c r="B17" s="107"/>
      <c r="C17" s="112"/>
      <c r="D17" s="113"/>
      <c r="E17" s="114"/>
      <c r="F17" s="90"/>
    </row>
    <row r="18" s="90" customFormat="1" ht="18" spans="2:5">
      <c r="B18" s="115" t="s">
        <v>120</v>
      </c>
      <c r="C18" s="114">
        <f>C16+F49</f>
        <v>10800</v>
      </c>
      <c r="D18" s="116"/>
      <c r="E18" s="116"/>
    </row>
    <row r="19" s="90" customFormat="1" ht="18" spans="2:5">
      <c r="B19" s="115"/>
      <c r="C19" s="114"/>
      <c r="D19" s="116"/>
      <c r="E19" s="116"/>
    </row>
    <row r="20" spans="1:6">
      <c r="A20" s="90"/>
      <c r="B20" s="117" t="s">
        <v>121</v>
      </c>
      <c r="C20" s="118"/>
      <c r="D20" s="118"/>
      <c r="E20" s="118"/>
      <c r="F20" s="90"/>
    </row>
    <row r="21" ht="64.5" customHeight="1" spans="1:6">
      <c r="A21" s="119" t="s">
        <v>15</v>
      </c>
      <c r="B21" s="120" t="s">
        <v>25</v>
      </c>
      <c r="C21" s="120"/>
      <c r="D21" s="120" t="s">
        <v>122</v>
      </c>
      <c r="E21" s="120" t="s">
        <v>123</v>
      </c>
      <c r="F21" s="120" t="s">
        <v>124</v>
      </c>
    </row>
    <row r="22" spans="1:6">
      <c r="A22" s="121">
        <v>1</v>
      </c>
      <c r="B22" s="122" t="s">
        <v>125</v>
      </c>
      <c r="C22" s="122"/>
      <c r="D22" s="123">
        <v>2</v>
      </c>
      <c r="E22" s="124">
        <f>SUM(F26:F33)</f>
        <v>1000110</v>
      </c>
      <c r="F22" s="125">
        <f>E22/IF(D22=0,1,D22)</f>
        <v>500055</v>
      </c>
    </row>
    <row r="23" spans="1:6">
      <c r="A23" s="126"/>
      <c r="B23" s="127"/>
      <c r="C23" s="127"/>
      <c r="D23" s="118"/>
      <c r="E23" s="118"/>
      <c r="F23" s="118"/>
    </row>
    <row r="24" spans="1:6">
      <c r="A24" s="126"/>
      <c r="B24" s="128" t="s">
        <v>126</v>
      </c>
      <c r="C24" s="128"/>
      <c r="D24" s="126"/>
      <c r="E24" s="126"/>
      <c r="F24" s="126"/>
    </row>
    <row r="25" s="91" customFormat="1" ht="51.75" customHeight="1" spans="1:6">
      <c r="A25" s="120" t="s">
        <v>15</v>
      </c>
      <c r="B25" s="120" t="s">
        <v>25</v>
      </c>
      <c r="C25" s="120"/>
      <c r="D25" s="120" t="s">
        <v>127</v>
      </c>
      <c r="E25" s="120" t="s">
        <v>128</v>
      </c>
      <c r="F25" s="120" t="s">
        <v>129</v>
      </c>
    </row>
    <row r="26" spans="1:6">
      <c r="A26" s="121">
        <v>1</v>
      </c>
      <c r="B26" s="122" t="s">
        <v>130</v>
      </c>
      <c r="C26" s="122"/>
      <c r="D26" s="129">
        <v>0</v>
      </c>
      <c r="E26" s="130">
        <v>100</v>
      </c>
      <c r="F26" s="130">
        <f>D26*E26</f>
        <v>0</v>
      </c>
    </row>
    <row r="27" spans="1:6">
      <c r="A27" s="121">
        <v>2</v>
      </c>
      <c r="B27" s="122" t="s">
        <v>131</v>
      </c>
      <c r="C27" s="122"/>
      <c r="D27" s="129">
        <v>100000</v>
      </c>
      <c r="E27" s="130">
        <v>10</v>
      </c>
      <c r="F27" s="130">
        <f>D27*E27</f>
        <v>1000000</v>
      </c>
    </row>
    <row r="28" spans="1:6">
      <c r="A28" s="121">
        <v>3</v>
      </c>
      <c r="B28" s="131" t="s">
        <v>132</v>
      </c>
      <c r="C28" s="132"/>
      <c r="D28" s="129">
        <v>0</v>
      </c>
      <c r="E28" s="130">
        <v>25</v>
      </c>
      <c r="F28" s="130">
        <f>D28*E28</f>
        <v>0</v>
      </c>
    </row>
    <row r="29" spans="1:6">
      <c r="A29" s="121">
        <v>4</v>
      </c>
      <c r="B29" s="122" t="s">
        <v>133</v>
      </c>
      <c r="C29" s="122"/>
      <c r="D29" s="133"/>
      <c r="E29" s="134"/>
      <c r="F29" s="134"/>
    </row>
    <row r="30" spans="1:6">
      <c r="A30" s="121"/>
      <c r="B30" s="122"/>
      <c r="C30" s="122" t="s">
        <v>134</v>
      </c>
      <c r="D30" s="129">
        <v>10</v>
      </c>
      <c r="E30" s="130">
        <v>5</v>
      </c>
      <c r="F30" s="130">
        <f t="shared" ref="F30:F33" si="0">D30*E30</f>
        <v>50</v>
      </c>
    </row>
    <row r="31" spans="1:6">
      <c r="A31" s="121"/>
      <c r="B31" s="122"/>
      <c r="C31" s="122" t="s">
        <v>135</v>
      </c>
      <c r="D31" s="129">
        <v>20</v>
      </c>
      <c r="E31" s="130">
        <v>3</v>
      </c>
      <c r="F31" s="130">
        <f t="shared" si="0"/>
        <v>60</v>
      </c>
    </row>
    <row r="32" spans="1:6">
      <c r="A32" s="121"/>
      <c r="B32" s="122"/>
      <c r="C32" s="122" t="s">
        <v>136</v>
      </c>
      <c r="D32" s="129">
        <v>0</v>
      </c>
      <c r="E32" s="130">
        <v>10</v>
      </c>
      <c r="F32" s="130">
        <f t="shared" si="0"/>
        <v>0</v>
      </c>
    </row>
    <row r="33" spans="1:6">
      <c r="A33" s="121"/>
      <c r="B33" s="122"/>
      <c r="C33" s="122" t="s">
        <v>137</v>
      </c>
      <c r="D33" s="129"/>
      <c r="E33" s="130">
        <v>20</v>
      </c>
      <c r="F33" s="130">
        <f t="shared" si="0"/>
        <v>0</v>
      </c>
    </row>
    <row r="34" spans="1:6">
      <c r="A34" s="121"/>
      <c r="B34" s="135" t="s">
        <v>138</v>
      </c>
      <c r="C34" s="135"/>
      <c r="D34" s="124"/>
      <c r="E34" s="130"/>
      <c r="F34" s="136">
        <f>IF(SUM(F26:F33)&gt;D22/2,SUM(F26:F33),0)</f>
        <v>1000110</v>
      </c>
    </row>
    <row r="35" s="91" customFormat="1" spans="1:6">
      <c r="A35" s="126"/>
      <c r="B35" s="128" t="s">
        <v>139</v>
      </c>
      <c r="C35" s="128"/>
      <c r="D35" s="126"/>
      <c r="E35" s="126"/>
      <c r="F35" s="126"/>
    </row>
    <row r="36" s="91" customFormat="1" ht="29.25" customHeight="1" spans="1:6">
      <c r="A36" s="121">
        <v>5</v>
      </c>
      <c r="B36" s="137" t="s">
        <v>140</v>
      </c>
      <c r="C36" s="138"/>
      <c r="D36" s="139">
        <v>5000000</v>
      </c>
      <c r="E36" s="140">
        <f>IF(OR(C12="УМАРОВ ФАРИДУН",C12="Носирова Дилрабо",C12="ХАЛИМОВА ЗАРИНА",C12="САФИНА КАРИНА",C12="САИДАСАНОВА НИЛУФАР"),0.00005,0.00001)</f>
        <v>5e-5</v>
      </c>
      <c r="F36" s="130">
        <f>D36*E36</f>
        <v>250</v>
      </c>
    </row>
    <row r="37" s="91" customFormat="1" ht="15" spans="1:6">
      <c r="A37" s="121">
        <v>6</v>
      </c>
      <c r="B37" s="122" t="s">
        <v>141</v>
      </c>
      <c r="C37" s="122"/>
      <c r="D37" s="139">
        <v>500000</v>
      </c>
      <c r="E37" s="140">
        <f>IF(OR(C12="УМАРОВ ФАРИДУН",C12="Носирова Дилрабо",C12="ХАЛИМОВА ЗАРИНА",C12="САФИНА КАРИНА",C12="САИДАСАНОВА НИЛУФАР"),0.00005,0.00001)</f>
        <v>5e-5</v>
      </c>
      <c r="F37" s="130">
        <f>D37*E37</f>
        <v>25</v>
      </c>
    </row>
    <row r="38" s="91" customFormat="1" ht="15" spans="1:6">
      <c r="A38" s="121">
        <v>7</v>
      </c>
      <c r="B38" s="141" t="s">
        <v>142</v>
      </c>
      <c r="C38" s="142"/>
      <c r="D38" s="143">
        <v>200</v>
      </c>
      <c r="E38" s="144">
        <f>IF(OR(C12="УМАРОВ ФАРИДУН",C12="Носирова Дилрабо",C12="ХАЛИМОВА ЗАРИНА",C12="САФИНА КАРИНА",C12="САИДАСАНОВА НИЛУФАР"),0.8,1)</f>
        <v>0.8</v>
      </c>
      <c r="F38" s="130">
        <f t="shared" ref="F38" si="1">D38*E38</f>
        <v>160</v>
      </c>
    </row>
    <row r="39" s="91" customFormat="1" ht="15" spans="1:6">
      <c r="A39" s="121"/>
      <c r="B39" s="135" t="s">
        <v>138</v>
      </c>
      <c r="C39" s="135"/>
      <c r="D39" s="145"/>
      <c r="E39" s="146"/>
      <c r="F39" s="136">
        <f>SUM(F36:F38)</f>
        <v>435</v>
      </c>
    </row>
    <row r="40" s="91" customFormat="1" ht="15" spans="1:6">
      <c r="A40" s="147"/>
      <c r="B40" s="148"/>
      <c r="C40" s="148"/>
      <c r="D40" s="149"/>
      <c r="E40" s="149"/>
      <c r="F40" s="150"/>
    </row>
    <row r="41" s="91" customFormat="1" spans="1:6">
      <c r="A41" s="126"/>
      <c r="B41" s="128" t="s">
        <v>143</v>
      </c>
      <c r="C41" s="128"/>
      <c r="D41" s="126"/>
      <c r="E41" s="126"/>
      <c r="F41" s="126"/>
    </row>
    <row r="42" s="91" customFormat="1" ht="51.75" spans="1:6">
      <c r="A42" s="120" t="s">
        <v>15</v>
      </c>
      <c r="B42" s="120" t="s">
        <v>25</v>
      </c>
      <c r="C42" s="120"/>
      <c r="D42" s="120" t="s">
        <v>144</v>
      </c>
      <c r="E42" s="120" t="s">
        <v>128</v>
      </c>
      <c r="F42" s="120" t="s">
        <v>129</v>
      </c>
    </row>
    <row r="43" s="91" customFormat="1" ht="15" spans="1:6">
      <c r="A43" s="121">
        <v>1</v>
      </c>
      <c r="B43" s="122" t="s">
        <v>145</v>
      </c>
      <c r="C43" s="122"/>
      <c r="D43" s="151">
        <v>8</v>
      </c>
      <c r="E43" s="130" t="s">
        <v>146</v>
      </c>
      <c r="F43" s="152">
        <f>MAX(-0.3,(IF(D43&lt;2,-0.3,IF(D43&lt;3,-0.2,IF(D43&lt;5,-0.1,IF(D43&lt;7,0,IF(D43&lt;9,0.1,0.2)))))))</f>
        <v>0.1</v>
      </c>
    </row>
    <row r="44" s="91" customFormat="1" ht="15" spans="1:6">
      <c r="A44" s="121">
        <v>2</v>
      </c>
      <c r="B44" s="122" t="s">
        <v>147</v>
      </c>
      <c r="C44" s="122"/>
      <c r="D44" s="153">
        <v>1</v>
      </c>
      <c r="E44" s="154" t="s">
        <v>148</v>
      </c>
      <c r="F44" s="152">
        <f>-(D44/10)</f>
        <v>-0.1</v>
      </c>
    </row>
    <row r="45" s="91" customFormat="1" ht="15" spans="1:6">
      <c r="A45" s="121">
        <v>3</v>
      </c>
      <c r="B45" s="141" t="s">
        <v>149</v>
      </c>
      <c r="C45" s="142"/>
      <c r="D45" s="155">
        <v>3</v>
      </c>
      <c r="E45" s="144" t="s">
        <v>150</v>
      </c>
      <c r="F45" s="152">
        <f>IF(AND(D45&gt;=0,D45&lt;=2),-0.1,IF(AND(D45&gt;=2.1,D45&lt;=4),-0.05,IF(AND(D45&gt;=4.1,D45&lt;=6),0,IF(AND(D45&gt;=6.1,D45&lt;=8),0.05,IF(AND(D45&gt;=8.1,D45&lt;=9),0.1,IF(D45&gt;=9.1,0.15,""))))))</f>
        <v>-0.05</v>
      </c>
    </row>
    <row r="46" s="91" customFormat="1" ht="15" spans="1:6">
      <c r="A46" s="121"/>
      <c r="B46" s="135" t="s">
        <v>138</v>
      </c>
      <c r="C46" s="135"/>
      <c r="D46" s="146"/>
      <c r="E46" s="146"/>
      <c r="F46" s="156">
        <f>MAX(0.7,(IF(D43&lt;2,0.7,IF(D43&lt;3,0.8,IF(D43&lt;5,0.9,IF(D43&lt;7,1,IF(D43&lt;9,1.1,1.2))))))-(D44/10)+IF(AND(D45&gt;=0,D45&lt;=2),-0.1,IF(AND(D45&gt;=2.1,D45&lt;=4),-0.05,IF(AND(D45&gt;=4.1,D45&lt;=6),0,IF(AND(D45&gt;=6.1,D45&lt;=8),0.05,IF(AND(D45&gt;=8.1,D45&lt;=9),0.1,IF(D45&gt;=9.1,0.15,"")))))))</f>
        <v>0.95</v>
      </c>
    </row>
    <row r="47" s="91" customFormat="1" ht="15" spans="1:6">
      <c r="A47" s="147"/>
      <c r="B47" s="149"/>
      <c r="C47" s="149"/>
      <c r="D47" s="149"/>
      <c r="E47" s="149"/>
      <c r="F47" s="150"/>
    </row>
    <row r="48" s="91" customFormat="1" ht="15" spans="1:6">
      <c r="A48" s="147"/>
      <c r="B48" s="149"/>
      <c r="C48" s="149"/>
      <c r="D48" s="149"/>
      <c r="E48" s="149"/>
      <c r="F48" s="150"/>
    </row>
    <row r="49" ht="21" spans="1:6">
      <c r="A49" s="157"/>
      <c r="B49" s="157"/>
      <c r="C49" s="158" t="s">
        <v>151</v>
      </c>
      <c r="D49" s="158"/>
      <c r="E49" s="158"/>
      <c r="F49" s="159">
        <f>IF(F22&lt;0.5,0,MIN(SUM(F39,F34)*F46,C16*1.5))</f>
        <v>6480</v>
      </c>
    </row>
    <row r="50" ht="18" spans="1:6">
      <c r="A50" s="126"/>
      <c r="B50" s="160" t="s">
        <v>152</v>
      </c>
      <c r="C50" s="160"/>
      <c r="D50" s="161"/>
      <c r="E50" s="161"/>
      <c r="F50" s="161"/>
    </row>
    <row r="51" ht="39.75" customHeight="1" spans="1:6">
      <c r="A51" s="126"/>
      <c r="B51" s="160" t="s">
        <v>153</v>
      </c>
      <c r="C51" s="160"/>
      <c r="D51" s="161"/>
      <c r="E51" s="161"/>
      <c r="F51" s="161"/>
    </row>
    <row r="52" ht="57.75" customHeight="1" spans="1:6">
      <c r="A52" s="126"/>
      <c r="B52" s="160" t="s">
        <v>154</v>
      </c>
      <c r="C52" s="160"/>
      <c r="D52" s="161"/>
      <c r="E52" s="161"/>
      <c r="F52" s="161"/>
    </row>
    <row r="53" ht="18" spans="1:6">
      <c r="A53" s="126"/>
      <c r="B53" s="160" t="s">
        <v>155</v>
      </c>
      <c r="C53" s="160"/>
      <c r="D53" s="160"/>
      <c r="E53" s="160"/>
      <c r="F53" s="160"/>
    </row>
    <row r="54" spans="1:6">
      <c r="A54" s="126" t="s">
        <v>156</v>
      </c>
      <c r="B54" s="162" t="s">
        <v>157</v>
      </c>
      <c r="C54" s="162"/>
      <c r="D54" s="162"/>
      <c r="E54" s="162"/>
      <c r="F54" s="162"/>
    </row>
    <row r="55" spans="1:6">
      <c r="A55" s="126"/>
      <c r="B55" s="162"/>
      <c r="C55" s="162"/>
      <c r="D55" s="162"/>
      <c r="E55" s="162"/>
      <c r="F55" s="162"/>
    </row>
    <row r="56" ht="42.95" customHeight="1" spans="1:6">
      <c r="A56" s="126"/>
      <c r="B56" s="163" t="s">
        <v>158</v>
      </c>
      <c r="C56" s="90"/>
      <c r="D56" s="90"/>
      <c r="E56" s="90"/>
      <c r="F56" s="90"/>
    </row>
    <row r="57" ht="21" spans="1:2">
      <c r="A57" s="164"/>
      <c r="B57" s="165"/>
    </row>
    <row r="61" spans="1:6">
      <c r="A61" s="111"/>
      <c r="B61" s="111"/>
      <c r="C61" s="111"/>
      <c r="D61" s="111"/>
      <c r="E61" s="111"/>
      <c r="F61" s="111"/>
    </row>
    <row r="62" spans="1:6">
      <c r="A62" s="111"/>
      <c r="B62" s="111"/>
      <c r="C62" s="111"/>
      <c r="D62" s="111"/>
      <c r="E62" s="111"/>
      <c r="F62" s="111"/>
    </row>
    <row r="63" spans="1:6">
      <c r="A63" s="111"/>
      <c r="B63" s="111"/>
      <c r="C63" s="111"/>
      <c r="D63" s="111"/>
      <c r="E63" s="111"/>
      <c r="F63" s="111"/>
    </row>
    <row r="64" spans="1:6">
      <c r="A64" s="111"/>
      <c r="B64" s="111"/>
      <c r="C64" s="111"/>
      <c r="D64" s="111"/>
      <c r="E64" s="111"/>
      <c r="F64" s="111"/>
    </row>
    <row r="65" spans="1:6">
      <c r="A65" s="111"/>
      <c r="B65" s="111"/>
      <c r="C65" s="111"/>
      <c r="D65" s="111"/>
      <c r="E65" s="111"/>
      <c r="F65" s="111"/>
    </row>
    <row r="66" spans="1:6">
      <c r="A66" s="111"/>
      <c r="B66" s="111"/>
      <c r="C66" s="111"/>
      <c r="D66" s="111"/>
      <c r="E66" s="111"/>
      <c r="F66" s="111"/>
    </row>
    <row r="67" spans="1:6">
      <c r="A67" s="111"/>
      <c r="B67" s="111"/>
      <c r="C67" s="111"/>
      <c r="D67" s="111"/>
      <c r="E67" s="111"/>
      <c r="F67" s="111"/>
    </row>
    <row r="68" spans="1:6">
      <c r="A68" s="111"/>
      <c r="B68" s="111"/>
      <c r="C68" s="111"/>
      <c r="D68" s="111"/>
      <c r="E68" s="111"/>
      <c r="F68" s="111"/>
    </row>
    <row r="69" spans="1:6">
      <c r="A69" s="111"/>
      <c r="B69" s="111"/>
      <c r="C69" s="111"/>
      <c r="D69" s="111"/>
      <c r="E69" s="111"/>
      <c r="F69" s="111"/>
    </row>
    <row r="70" spans="1:6">
      <c r="A70" s="111"/>
      <c r="B70" s="111"/>
      <c r="C70" s="111"/>
      <c r="D70" s="111"/>
      <c r="E70" s="111"/>
      <c r="F70" s="111"/>
    </row>
    <row r="71" spans="1:6">
      <c r="A71" s="111"/>
      <c r="B71" s="111"/>
      <c r="C71" s="111"/>
      <c r="D71" s="111"/>
      <c r="E71" s="111"/>
      <c r="F71" s="111"/>
    </row>
    <row r="72" spans="1:6">
      <c r="A72" s="111"/>
      <c r="B72" s="111"/>
      <c r="C72" s="111"/>
      <c r="D72" s="111"/>
      <c r="E72" s="111"/>
      <c r="F72" s="111"/>
    </row>
    <row r="73" spans="1:6">
      <c r="A73" s="111"/>
      <c r="B73" s="111"/>
      <c r="C73" s="111"/>
      <c r="D73" s="111"/>
      <c r="E73" s="111"/>
      <c r="F73" s="111"/>
    </row>
    <row r="74" spans="1:6">
      <c r="A74" s="111"/>
      <c r="B74" s="111"/>
      <c r="C74" s="111"/>
      <c r="D74" s="111"/>
      <c r="E74" s="111"/>
      <c r="F74" s="111"/>
    </row>
    <row r="75" spans="1:6">
      <c r="A75" s="111"/>
      <c r="B75" s="111"/>
      <c r="C75" s="111"/>
      <c r="D75" s="111"/>
      <c r="E75" s="111"/>
      <c r="F75" s="111"/>
    </row>
    <row r="76" spans="1:6">
      <c r="A76" s="111"/>
      <c r="B76" s="111"/>
      <c r="C76" s="111"/>
      <c r="D76" s="111"/>
      <c r="E76" s="111"/>
      <c r="F76" s="111"/>
    </row>
    <row r="77" spans="1:6">
      <c r="A77" s="111"/>
      <c r="B77" s="111"/>
      <c r="C77" s="111"/>
      <c r="D77" s="111"/>
      <c r="E77" s="111"/>
      <c r="F77" s="111"/>
    </row>
    <row r="78" spans="1:6">
      <c r="A78" s="111"/>
      <c r="B78" s="111"/>
      <c r="C78" s="111"/>
      <c r="D78" s="111"/>
      <c r="E78" s="111"/>
      <c r="F78" s="111"/>
    </row>
    <row r="79" spans="1:6">
      <c r="A79" s="111"/>
      <c r="B79" s="111"/>
      <c r="C79" s="111"/>
      <c r="D79" s="111"/>
      <c r="E79" s="111"/>
      <c r="F79" s="111"/>
    </row>
    <row r="80" spans="1:6">
      <c r="A80" s="111"/>
      <c r="B80" s="111"/>
      <c r="C80" s="111"/>
      <c r="D80" s="111"/>
      <c r="E80" s="111"/>
      <c r="F80" s="111"/>
    </row>
    <row r="81" spans="1:6">
      <c r="A81" s="111"/>
      <c r="B81" s="111"/>
      <c r="C81" s="111"/>
      <c r="D81" s="111"/>
      <c r="E81" s="111"/>
      <c r="F81" s="111"/>
    </row>
    <row r="82" spans="1:6">
      <c r="A82" s="111"/>
      <c r="B82" s="111"/>
      <c r="C82" s="111"/>
      <c r="D82" s="111"/>
      <c r="E82" s="111"/>
      <c r="F82" s="111"/>
    </row>
    <row r="83" spans="1:6">
      <c r="A83" s="111"/>
      <c r="B83" s="111"/>
      <c r="C83" s="111"/>
      <c r="D83" s="111"/>
      <c r="E83" s="111"/>
      <c r="F83" s="111"/>
    </row>
    <row r="84" spans="1:6">
      <c r="A84" s="111"/>
      <c r="B84" s="111"/>
      <c r="C84" s="111"/>
      <c r="D84" s="111"/>
      <c r="E84" s="111"/>
      <c r="F84" s="111"/>
    </row>
    <row r="85" spans="1:6">
      <c r="A85" s="111"/>
      <c r="B85" s="111"/>
      <c r="C85" s="111"/>
      <c r="D85" s="111"/>
      <c r="E85" s="111"/>
      <c r="F85" s="111"/>
    </row>
    <row r="86" spans="1:6">
      <c r="A86" s="111"/>
      <c r="B86" s="111"/>
      <c r="C86" s="111"/>
      <c r="D86" s="111"/>
      <c r="E86" s="111"/>
      <c r="F86" s="111"/>
    </row>
    <row r="87" spans="1:6">
      <c r="A87" s="111"/>
      <c r="B87" s="111"/>
      <c r="C87" s="111"/>
      <c r="D87" s="111"/>
      <c r="E87" s="111"/>
      <c r="F87" s="111"/>
    </row>
    <row r="88" spans="1:6">
      <c r="A88" s="111"/>
      <c r="B88" s="111"/>
      <c r="C88" s="111"/>
      <c r="D88" s="111"/>
      <c r="E88" s="111"/>
      <c r="F88" s="111"/>
    </row>
    <row r="89" spans="1:6">
      <c r="A89" s="111"/>
      <c r="B89" s="111"/>
      <c r="C89" s="111"/>
      <c r="D89" s="111"/>
      <c r="E89" s="111"/>
      <c r="F89" s="111"/>
    </row>
    <row r="90" spans="1:6">
      <c r="A90" s="111"/>
      <c r="B90" s="111"/>
      <c r="C90" s="111"/>
      <c r="D90" s="111"/>
      <c r="E90" s="111"/>
      <c r="F90" s="111"/>
    </row>
    <row r="91" spans="1:6">
      <c r="A91" s="111"/>
      <c r="B91" s="111"/>
      <c r="C91" s="111"/>
      <c r="D91" s="111"/>
      <c r="E91" s="111"/>
      <c r="F91" s="111"/>
    </row>
    <row r="92" spans="1:6">
      <c r="A92" s="111"/>
      <c r="B92" s="111"/>
      <c r="C92" s="111"/>
      <c r="D92" s="111"/>
      <c r="E92" s="111"/>
      <c r="F92" s="111"/>
    </row>
    <row r="93" spans="1:6">
      <c r="A93" s="111"/>
      <c r="B93" s="111"/>
      <c r="C93" s="111"/>
      <c r="D93" s="111"/>
      <c r="E93" s="111"/>
      <c r="F93" s="111"/>
    </row>
    <row r="94" spans="1:6">
      <c r="A94" s="111"/>
      <c r="B94" s="111"/>
      <c r="C94" s="111"/>
      <c r="D94" s="111"/>
      <c r="E94" s="111"/>
      <c r="F94" s="111"/>
    </row>
    <row r="95" spans="1:6">
      <c r="A95" s="111"/>
      <c r="B95" s="111"/>
      <c r="C95" s="111"/>
      <c r="D95" s="111"/>
      <c r="E95" s="111"/>
      <c r="F95" s="111"/>
    </row>
    <row r="96" spans="1:6">
      <c r="A96" s="111"/>
      <c r="B96" s="111"/>
      <c r="C96" s="111"/>
      <c r="D96" s="111"/>
      <c r="E96" s="111"/>
      <c r="F96" s="111"/>
    </row>
    <row r="97" spans="1:6">
      <c r="A97" s="111"/>
      <c r="B97" s="111"/>
      <c r="C97" s="111"/>
      <c r="D97" s="111"/>
      <c r="E97" s="111"/>
      <c r="F97" s="111"/>
    </row>
    <row r="98" spans="1:6">
      <c r="A98" s="111"/>
      <c r="B98" s="111"/>
      <c r="C98" s="111"/>
      <c r="D98" s="111"/>
      <c r="E98" s="111"/>
      <c r="F98" s="111"/>
    </row>
    <row r="99" spans="1:6">
      <c r="A99" s="111"/>
      <c r="B99" s="111"/>
      <c r="C99" s="111"/>
      <c r="D99" s="111"/>
      <c r="E99" s="111"/>
      <c r="F99" s="111"/>
    </row>
    <row r="100" spans="1:6">
      <c r="A100" s="111"/>
      <c r="B100" s="111"/>
      <c r="C100" s="111"/>
      <c r="D100" s="111"/>
      <c r="E100" s="111"/>
      <c r="F100" s="111"/>
    </row>
    <row r="101" spans="1:6">
      <c r="A101" s="111"/>
      <c r="B101" s="111"/>
      <c r="C101" s="111"/>
      <c r="D101" s="111"/>
      <c r="E101" s="111"/>
      <c r="F101" s="111"/>
    </row>
    <row r="102" spans="1:6">
      <c r="A102" s="111"/>
      <c r="B102" s="111"/>
      <c r="C102" s="111"/>
      <c r="D102" s="111"/>
      <c r="E102" s="111"/>
      <c r="F102" s="111"/>
    </row>
    <row r="103" spans="1:6">
      <c r="A103" s="111"/>
      <c r="B103" s="111"/>
      <c r="C103" s="111"/>
      <c r="D103" s="111"/>
      <c r="E103" s="111"/>
      <c r="F103" s="111"/>
    </row>
    <row r="104" spans="1:6">
      <c r="A104" s="111"/>
      <c r="B104" s="111"/>
      <c r="C104" s="111"/>
      <c r="D104" s="111"/>
      <c r="E104" s="111"/>
      <c r="F104" s="111"/>
    </row>
    <row r="105" spans="1:6">
      <c r="A105" s="111"/>
      <c r="B105" s="111"/>
      <c r="C105" s="111"/>
      <c r="D105" s="111"/>
      <c r="E105" s="111"/>
      <c r="F105" s="111"/>
    </row>
    <row r="106" spans="1:6">
      <c r="A106" s="111"/>
      <c r="B106" s="111"/>
      <c r="C106" s="111"/>
      <c r="D106" s="111"/>
      <c r="E106" s="111"/>
      <c r="F106" s="111"/>
    </row>
    <row r="107" spans="1:6">
      <c r="A107" s="111"/>
      <c r="B107" s="111"/>
      <c r="C107" s="111"/>
      <c r="D107" s="111"/>
      <c r="E107" s="111"/>
      <c r="F107" s="111"/>
    </row>
    <row r="108" spans="1:6">
      <c r="A108" s="111"/>
      <c r="B108" s="111"/>
      <c r="C108" s="111"/>
      <c r="D108" s="111"/>
      <c r="E108" s="111"/>
      <c r="F108" s="111"/>
    </row>
    <row r="109" spans="1:6">
      <c r="A109" s="111"/>
      <c r="B109" s="111"/>
      <c r="C109" s="111"/>
      <c r="D109" s="111"/>
      <c r="E109" s="111"/>
      <c r="F109" s="111"/>
    </row>
    <row r="110" spans="1:6">
      <c r="A110" s="111"/>
      <c r="B110" s="111"/>
      <c r="C110" s="111"/>
      <c r="D110" s="111"/>
      <c r="E110" s="111"/>
      <c r="F110" s="111"/>
    </row>
    <row r="111" spans="1:6">
      <c r="A111" s="111"/>
      <c r="B111" s="111"/>
      <c r="C111" s="111"/>
      <c r="D111" s="111"/>
      <c r="E111" s="111"/>
      <c r="F111" s="111"/>
    </row>
    <row r="112" spans="1:6">
      <c r="A112" s="111"/>
      <c r="B112" s="111"/>
      <c r="C112" s="111"/>
      <c r="D112" s="111"/>
      <c r="E112" s="111"/>
      <c r="F112" s="111"/>
    </row>
    <row r="113" spans="1:6">
      <c r="A113" s="111"/>
      <c r="B113" s="111"/>
      <c r="C113" s="111"/>
      <c r="D113" s="111"/>
      <c r="E113" s="111"/>
      <c r="F113" s="111"/>
    </row>
    <row r="114" spans="1:6">
      <c r="A114" s="111"/>
      <c r="B114" s="111"/>
      <c r="C114" s="111"/>
      <c r="D114" s="111"/>
      <c r="E114" s="111"/>
      <c r="F114" s="111"/>
    </row>
    <row r="115" spans="1:6">
      <c r="A115" s="111"/>
      <c r="B115" s="111"/>
      <c r="C115" s="111"/>
      <c r="D115" s="111"/>
      <c r="E115" s="111"/>
      <c r="F115" s="111"/>
    </row>
    <row r="116" spans="1:6">
      <c r="A116" s="111"/>
      <c r="B116" s="111"/>
      <c r="C116" s="111"/>
      <c r="D116" s="111"/>
      <c r="E116" s="111"/>
      <c r="F116" s="111"/>
    </row>
    <row r="117" spans="1:6">
      <c r="A117" s="111"/>
      <c r="B117" s="111"/>
      <c r="C117" s="111"/>
      <c r="D117" s="111"/>
      <c r="E117" s="111"/>
      <c r="F117" s="111"/>
    </row>
    <row r="118" spans="1:6">
      <c r="A118" s="111"/>
      <c r="B118" s="111"/>
      <c r="C118" s="111"/>
      <c r="D118" s="111"/>
      <c r="E118" s="111"/>
      <c r="F118" s="111"/>
    </row>
    <row r="119" spans="1:6">
      <c r="A119" s="111"/>
      <c r="B119" s="111"/>
      <c r="C119" s="111"/>
      <c r="D119" s="111"/>
      <c r="E119" s="111"/>
      <c r="F119" s="111"/>
    </row>
    <row r="120" spans="1:6">
      <c r="A120" s="111"/>
      <c r="B120" s="111"/>
      <c r="C120" s="111"/>
      <c r="D120" s="111"/>
      <c r="E120" s="111"/>
      <c r="F120" s="111"/>
    </row>
    <row r="121" spans="1:6">
      <c r="A121" s="111"/>
      <c r="B121" s="111"/>
      <c r="C121" s="111"/>
      <c r="D121" s="111"/>
      <c r="E121" s="111"/>
      <c r="F121" s="111"/>
    </row>
    <row r="122" spans="1:6">
      <c r="A122" s="111"/>
      <c r="B122" s="111"/>
      <c r="C122" s="111"/>
      <c r="D122" s="111"/>
      <c r="E122" s="111"/>
      <c r="F122" s="111"/>
    </row>
    <row r="123" spans="1:6">
      <c r="A123" s="111"/>
      <c r="B123" s="111"/>
      <c r="C123" s="111"/>
      <c r="D123" s="111"/>
      <c r="E123" s="111"/>
      <c r="F123" s="111"/>
    </row>
    <row r="124" spans="1:6">
      <c r="A124" s="111"/>
      <c r="B124" s="111"/>
      <c r="C124" s="111"/>
      <c r="D124" s="111"/>
      <c r="E124" s="111"/>
      <c r="F124" s="111"/>
    </row>
    <row r="125" spans="1:6">
      <c r="A125" s="111"/>
      <c r="B125" s="111"/>
      <c r="C125" s="111"/>
      <c r="D125" s="111"/>
      <c r="E125" s="111"/>
      <c r="F125" s="111"/>
    </row>
    <row r="126" spans="1:6">
      <c r="A126" s="111"/>
      <c r="B126" s="111"/>
      <c r="C126" s="111"/>
      <c r="D126" s="111"/>
      <c r="E126" s="111"/>
      <c r="F126" s="111"/>
    </row>
    <row r="127" spans="1:6">
      <c r="A127" s="111"/>
      <c r="B127" s="111"/>
      <c r="C127" s="111"/>
      <c r="D127" s="111"/>
      <c r="E127" s="111"/>
      <c r="F127" s="111"/>
    </row>
    <row r="128" spans="1:6">
      <c r="A128" s="111"/>
      <c r="B128" s="111"/>
      <c r="C128" s="111"/>
      <c r="D128" s="111"/>
      <c r="E128" s="111"/>
      <c r="F128" s="111"/>
    </row>
  </sheetData>
  <sheetProtection selectLockedCells="1" formatCells="0" formatColumns="0" formatRows="0" insertRows="0" insertColumns="0" insertHyperlinks="0" deleteColumns="0" deleteRows="0" sort="0" autoFilter="0" pivotTables="0"/>
  <mergeCells count="34">
    <mergeCell ref="A1:F1"/>
    <mergeCell ref="A3:F3"/>
    <mergeCell ref="E4:F4"/>
    <mergeCell ref="A5:F5"/>
    <mergeCell ref="A7:F7"/>
    <mergeCell ref="A8:F8"/>
    <mergeCell ref="C9:F9"/>
    <mergeCell ref="C12:F12"/>
    <mergeCell ref="C14:F14"/>
    <mergeCell ref="C18:E18"/>
    <mergeCell ref="C20:E20"/>
    <mergeCell ref="B21:C21"/>
    <mergeCell ref="B22:C22"/>
    <mergeCell ref="B25:C25"/>
    <mergeCell ref="B26:C26"/>
    <mergeCell ref="B27:C27"/>
    <mergeCell ref="B28:C28"/>
    <mergeCell ref="B29:C29"/>
    <mergeCell ref="B34:C34"/>
    <mergeCell ref="B36:C36"/>
    <mergeCell ref="B37:C37"/>
    <mergeCell ref="B38:C38"/>
    <mergeCell ref="B39:C39"/>
    <mergeCell ref="B42:C42"/>
    <mergeCell ref="B43:C43"/>
    <mergeCell ref="B44:C44"/>
    <mergeCell ref="B45:C45"/>
    <mergeCell ref="B46:C46"/>
    <mergeCell ref="C49:E49"/>
    <mergeCell ref="B50:F50"/>
    <mergeCell ref="B51:F51"/>
    <mergeCell ref="B52:F52"/>
    <mergeCell ref="B53:F53"/>
    <mergeCell ref="B54:F54"/>
  </mergeCells>
  <pageMargins left="0.708661417322835" right="0.708661417322835" top="0.748031496062992" bottom="0.748031496062992" header="0.31496062992126" footer="0.31496062992126"/>
  <pageSetup paperSize="9" scale="70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Азизова М.</vt:lpstr>
      <vt:lpstr>Фаридуни Х.</vt:lpstr>
      <vt:lpstr>Ачилов Б.</vt:lpstr>
      <vt:lpstr>Каюмов З.</vt:lpstr>
      <vt:lpstr>Намуна</vt:lpstr>
      <vt:lpstr>Намуна (2) тичорати универсали</vt:lpstr>
      <vt:lpstr>Намуна (2) истеъмоли</vt:lpstr>
      <vt:lpstr>Ёрмадзода П.  К.</vt:lpstr>
      <vt:lpstr>Карточники</vt:lpstr>
      <vt:lpstr>Холикзода Аминчон1</vt:lpstr>
      <vt:lpstr>Исломов Мехроч1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Чалолов Бехруз Фирузович</dc:creator>
  <cp:lastModifiedBy>Франческо Дильд�</cp:lastModifiedBy>
  <dcterms:created xsi:type="dcterms:W3CDTF">2018-01-02T08:49:00Z</dcterms:created>
  <cp:lastPrinted>2024-09-02T09:06:00Z</cp:lastPrinted>
  <dcterms:modified xsi:type="dcterms:W3CDTF">2025-07-08T08:44:28Z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8B9DF3E6411E4237A053DEFB00DFD986_12</vt:lpwstr>
  </property>
  <property fmtid="{D5CDD505-2E9C-101B-9397-08002B2CF9AE}" pid="3" name="KSOProductBuildVer">
    <vt:lpwstr>1049-12.2.0.21931</vt:lpwstr>
  </property>
</Properties>
</file>