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8.png" ContentType="image/png"/>
  <Override PartName="/xl/media/image7.png" ContentType="image/png"/>
  <Override PartName="/xl/media/image6.png" ContentType="image/png"/>
  <Override PartName="/xl/media/image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51" firstSheet="0" activeTab="2"/>
  </bookViews>
  <sheets>
    <sheet name="Title-README" sheetId="1" state="visible" r:id="rId2"/>
    <sheet name="Step1-System Details" sheetId="2" state="visible" r:id="rId3"/>
    <sheet name="Step2-DDR Timings" sheetId="3" state="visible" r:id="rId4"/>
    <sheet name="Step3-Board Details" sheetId="4" state="visible" r:id="rId5"/>
    <sheet name="Invert Clock" sheetId="5" state="hidden" r:id="rId6"/>
    <sheet name="EMIF Tool" sheetId="6" state="visible" r:id="rId7"/>
    <sheet name="Registers" sheetId="7" state="visible" r:id="rId8"/>
    <sheet name="GEL" sheetId="8" state="visible" r:id="rId9"/>
    <sheet name="u-boot" sheetId="9" state="visible" r:id="rId10"/>
  </sheets>
  <definedNames>
    <definedName function="false" hidden="false" name="CLK_PERIOD" vbProcedure="false">'Invert Clock'!$C$16</definedName>
    <definedName function="false" hidden="false" name="CL_1066" vbProcedure="false">'Step1-System Details'!$F$117:$F$119</definedName>
    <definedName function="false" hidden="false" name="CL_1333" vbProcedure="false">'Step1-System Details'!$G$117:$G$120</definedName>
    <definedName function="false" hidden="false" name="CL_1600" vbProcedure="false">'Step1-System Details'!$H$117:$H$120</definedName>
    <definedName function="false" hidden="false" name="CL_1866" vbProcedure="false">'Step1-System Details'!$I$117:$I$120</definedName>
    <definedName function="false" hidden="false" name="CL_2133" vbProcedure="false">'Step1-System Details'!$J$117:$J$120</definedName>
    <definedName function="false" hidden="false" name="CL_800" vbProcedure="false">'Step1-System Details'!$E$117:$E$118</definedName>
    <definedName function="false" hidden="false" name="DDR3_1600_CL" vbProcedure="false">'Step2-DDR Timings'!$E$253:$E$254</definedName>
    <definedName function="false" hidden="false" name="DDR3_1866_CL" vbProcedure="false">'Step2-DDR Timings'!$E$258:$E$259</definedName>
    <definedName function="false" hidden="false" name="DDR3_2133_CL" vbProcedure="false">'Step2-DDR Timings'!$E$259</definedName>
    <definedName function="false" hidden="false" name="DDR3_Addr" vbProcedure="false">'Step1-System Details'!$D$117</definedName>
    <definedName function="false" hidden="false" name="DDR3_CL" vbProcedure="false">'Step2-DDR Timings'!$E$253:$E$254</definedName>
    <definedName function="false" hidden="false" name="DDR3_CL_Max" vbProcedure="false">'Step2-DDR Timings'!$D$253</definedName>
    <definedName function="false" hidden="false" name="DDR3_CL_Min" vbProcedure="false">'Step2-DDR Timings'!$C$253</definedName>
    <definedName function="false" hidden="false" name="DDR3_CS" vbProcedure="false">'Step1-System Details'!$D$105</definedName>
    <definedName function="false" hidden="false" name="DDR3_CWL" vbProcedure="false">'Step2-DDR Timings'!$I$254</definedName>
    <definedName function="false" hidden="false" name="DDR3_Data" vbProcedure="false">'Step1-System Details'!$D$124</definedName>
    <definedName function="false" hidden="false" name="DDR3_DQS" vbProcedure="false">'Step1-System Details'!$C$105</definedName>
    <definedName function="false" hidden="false" name="DDR3_DYN_ODT" vbProcedure="false">'Step1-System Details'!$G$92:$G$94</definedName>
    <definedName function="false" hidden="false" name="DDR3_L" vbProcedure="false">'Step1-System Details'!$C$91:$C$95</definedName>
    <definedName function="false" hidden="false" name="DDR3_Max" vbProcedure="false">'Step1-System Details'!$D$99</definedName>
    <definedName function="false" hidden="false" name="DDR3_Min" vbProcedure="false">'Step1-System Details'!$C$99</definedName>
    <definedName function="false" hidden="false" name="DDR3_NVM_RDB" vbProcedure="false">'Step1-System Details'!$E$105</definedName>
    <definedName function="false" hidden="false" name="DDR3_NVM_RDB_Size" vbProcedure="false">'Step1-System Details'!$F$105</definedName>
    <definedName function="false" hidden="false" name="DDR3_Refresh" vbProcedure="false">'Step1-System Details'!$D$111</definedName>
    <definedName function="false" hidden="false" name="DDR3_Width" vbProcedure="false">'Step1-System Details'!$E$92:$E$93</definedName>
    <definedName function="false" hidden="false" name="DDR3_ZQ_Tsens_Max" vbProcedure="false">'Step1-System Details'!$O$98</definedName>
    <definedName function="false" hidden="false" name="DDR3_ZQ_Tsens_Min" vbProcedure="false">'Step1-System Details'!$N$98</definedName>
    <definedName function="false" hidden="false" name="DDR3_ZQ_Vsens_Max" vbProcedure="false">'Step1-System Details'!$O$103</definedName>
    <definedName function="false" hidden="false" name="DDR3_ZQ_Vsens_Min" vbProcedure="false">'Step1-System Details'!$N$103</definedName>
    <definedName function="false" hidden="false" name="DDR_Type" vbProcedure="false">'Step1-System Details'!$B$92</definedName>
    <definedName function="false" hidden="false" name="INVERT_CLK" vbProcedure="false">'Invert Clock'!$C$17</definedName>
    <definedName function="false" hidden="false" name="LPDDR2" vbProcedure="false">'Step1-System Details'!$B$98:$B$102</definedName>
    <definedName function="false" hidden="false" name="LPDDR2_1066_CL" vbProcedure="false">'Step2-DDR Timings'!$H$258</definedName>
    <definedName function="false" hidden="false" name="LPDDR2_533_CL" vbProcedure="false">'Step2-DDR Timings'!$H$254</definedName>
    <definedName function="false" hidden="false" name="LPDDR2_667_CL" vbProcedure="false">'Step2-DDR Timings'!$H$255</definedName>
    <definedName function="false" hidden="false" name="LPDDR2_800_CL" vbProcedure="false">'Step2-DDR Timings'!$H$256</definedName>
    <definedName function="false" hidden="false" name="LPDDR2_933_CL" vbProcedure="false">'Step2-DDR Timings'!$H$257</definedName>
    <definedName function="false" hidden="false" name="LPDDR2_Addr" vbProcedure="false">'Step1-System Details'!$D$118:$D$120</definedName>
    <definedName function="false" hidden="false" name="LPDDR2_CL_Max" vbProcedure="false">'Step2-DDR Timings'!$D$254</definedName>
    <definedName function="false" hidden="false" name="LPDDR2_CL_Min" vbProcedure="false">'Step2-DDR Timings'!$C$254</definedName>
    <definedName function="false" hidden="false" name="LPDDR2_CS" vbProcedure="false">'Step1-System Details'!$D$106:$D$107</definedName>
    <definedName function="false" hidden="false" name="LPDDR2_CWL" vbProcedure="false">'Step2-DDR Timings'!$I$253</definedName>
    <definedName function="false" hidden="false" name="LPDDR2_Data" vbProcedure="false">'Step1-System Details'!$D$125:$D$127</definedName>
    <definedName function="false" hidden="false" name="LPDDR2_DQS" vbProcedure="false">'Step1-System Details'!$C$106:$C$107</definedName>
    <definedName function="false" hidden="false" name="LPDDR2_DYN_ODT" vbProcedure="false">'Step1-System Details'!$G$91</definedName>
    <definedName function="false" hidden="false" name="LPDDR2_Max" vbProcedure="false">'Step1-System Details'!$D$100</definedName>
    <definedName function="false" hidden="false" name="LPDDR2_Min" vbProcedure="false">'Step1-System Details'!$C$100</definedName>
    <definedName function="false" hidden="false" name="LPDDR2_NVM_RDB" vbProcedure="false">'Step1-System Details'!$E$106:$E$109</definedName>
    <definedName function="false" hidden="false" name="LPDDR2_NVM_RDB_Size" vbProcedure="false">'Step1-System Details'!$F$106:$F$113</definedName>
    <definedName function="false" hidden="false" name="LPDDR2_Refresh" vbProcedure="false">'Step1-System Details'!$D$112:$D$113</definedName>
    <definedName function="false" hidden="false" name="LPDDR2_Width" vbProcedure="false">'Step1-System Details'!$E$93:$E$94</definedName>
    <definedName function="false" hidden="false" name="LPDDR2_ZQ_Tsens_Max" vbProcedure="false">'Step1-System Details'!$O$99</definedName>
    <definedName function="false" hidden="false" name="LPDDR2_ZQ_Tsens_Min" vbProcedure="false">'Step1-System Details'!$N$99</definedName>
    <definedName function="false" hidden="false" name="LPDDR2_ZQ_Vsens_Max" vbProcedure="false">'Step1-System Details'!$O$104</definedName>
    <definedName function="false" hidden="false" name="LPDDR2_ZQ_Vsens_Min" vbProcedure="false">'Step1-System Details'!$N$104</definedName>
    <definedName function="false" hidden="false" name="NA" vbProcedure="false">'Step1-System Details'!$K$117</definedName>
    <definedName function="false" hidden="false" name="Speed_Bin_CL" vbProcedure="false">'Step1-System Details'!$E$40</definedName>
    <definedName function="false" hidden="false" name="Speed_Bin_CL_DDR3" vbProcedure="false">'Step1-System Details'!$E$40</definedName>
    <definedName function="false" hidden="false" name="_auto_nda_config" vbProcedure="false">0</definedName>
    <definedName function="false" hidden="false" name="_company_project" vbProcedure="false">['file:///ti/avataremiftools/docs/avatar_emif_registerconfig.xlsm.bkup.xlsm']'step1-systemdetails'!$f$17</definedName>
    <definedName function="false" hidden="false" name="_company_project_invalid" vbProcedure="false">isspecial(_company_project)</definedName>
    <definedName function="false" hidden="false" name="_CTRL_CORE_CONTROL_DDRCACH1_0_VAL" vbProcedure="false">DEC2HEX(SUM(_ctrl_io_ch1_acc_i*2^29,_ctrl_io_ch1_acc_sr*2^26,_ctrl_io_ch1_acc_wd*2^24,_ctrl_io_ch1_acc_i*2^21,_ctrl_io_ch1_acc_sr*2^18,_ctrl_io_ch1_acc_wd*2^16,_ctrl_io_ch1_acc_i*2^13,_ctrl_io_ch1_acc_sr*2^10,_ctrl_io_ch1_acc_wd*2^8,_ctrl_io_ch1_acc_i*2^5,_ctrl_io_ch1_acc_sr*2^2,_ctrl_io_ch1_acc_wd),8)</definedName>
    <definedName function="false" hidden="false" name="_ctrl_io_ch1_acc_i" vbProcedure="false">MATCH(_emif_io_dr_acc,_emif_io_dr,0)-1</definedName>
    <definedName function="false" hidden="false" name="_emif_io_dr_acc" vbProcedure="false">['file:///ti/avataremiftools/docs/avatar_emif_registerconfig.xlsm.bkup.xlsm']'step1-systemdetails'!$f$50</definedName>
    <definedName function="false" hidden="false" name="_emif_io_dr" vbProcedure="false">{80;60;48;40;34}</definedName>
    <definedName function="false" hidden="false" name="_ctrl_io_ch1_acc_sr" vbProcedure="false">MATCH(_emif_io_sr_acc,_emif_io_sr,0)-1</definedName>
    <definedName function="false" hidden="false" name="_emif_io_sr_acc" vbProcedure="false">['file:///ti/avataremiftools/docs/avatar_emif_registerconfig.xlsm.bkup.xlsm']'step1-systemdetails'!$f$48</definedName>
    <definedName function="false" hidden="false" name="_emif_io_sr" vbProcedure="false">{"Fastest: SR[2:0] = 0b000";"SR[2:0] = 0b001";"SR[2:0] = 0b010";"SR[2:0] = 0b011";"SR[2:0] = 0b100";"SR[2:0] = 0b101";"SR[2:0] = 0b110";"Slowest: SR[2:0] = 0b111"}</definedName>
    <definedName function="false" hidden="false" name="_ctrl_io_ch1_acc_wd" vbProcedure="false">0</definedName>
    <definedName function="false" hidden="false" name="_CTRL_CORE_CONTROL_DDRCH1_0_VAL" vbProcedure="false">DEC2HEX(SUM(_ctrl_io_ch1_ds_i*2^29,_ctrl_io_ch1_ds_sr*2^26,_ctrl_io_ch1_ds_wd*2^24,_ctrl_io_ch1_ds_i*2^21,_ctrl_io_ch1_ds_sr*2^18,_ctrl_io_ch1_ds_wd*2^16,_ctrl_io_ch1_ds_i*2^13,_ctrl_io_ch1_ds_sr*2^10,_ctrl_io_ch1_ds_wd*2^8,_ctrl_io_ch1_ds_i*2^5,_ctrl_io_ch1_ds_sr*2^2,_ctrl_io_ch1_ds_wd),8)</definedName>
    <definedName function="false" hidden="false" name="_ctrl_io_ch1_ds_i" vbProcedure="false">MATCH(_emif_io_dr_ds,_emif_io_dr,0)-1</definedName>
    <definedName function="false" hidden="false" name="_emif_io_dr_ds" vbProcedure="false">['file:///ti/avataremiftools/docs/avatar_emif_registerconfig.xlsm.bkup.xlsm']'step1-systemdetails'!$f$51</definedName>
    <definedName function="false" hidden="false" name="_ctrl_io_ch1_ds_sr" vbProcedure="false">MATCH(_emif_io_sr_ds,_emif_io_sr,0)-1</definedName>
    <definedName function="false" hidden="false" name="_emif_io_sr_ds" vbProcedure="false">['file:///ti/avataremiftools/docs/avatar_emif_registerconfig.xlsm.bkup.xlsm']'step1-systemdetails'!$f$49</definedName>
    <definedName function="false" hidden="false" name="_ctrl_io_ch1_ds_wd" vbProcedure="false">0</definedName>
    <definedName function="false" hidden="false" name="_CTRL_CORE_CONTROL_DDRIO_0" vbProcedure="false">IF('title-readme'!_soc_name="adaslow",DEC2HEX(642656,8),DEC2HEX(608832,8))</definedName>
    <definedName function="false" hidden="false" name="_CTRL_CORE_CONTROL_DDRIO_1" vbProcedure="false">IF('title-readme'!_soc_name="vayu",DEC2HEX(77930496,8),DEC2HEX(0,8))</definedName>
    <definedName function="false" hidden="false" name="_ctrl_ratio0" vbProcedure="false">IF(_phy_invert_clk=1,256,128)</definedName>
    <definedName function="false" hidden="false" name="_phy_invert_clk" vbProcedure="false">IF(_sdram_type="DDR3/L",1,0)</definedName>
    <definedName function="false" hidden="false" name="_sdram_type" vbProcedure="false">['file:///ti/avataremiftools/docs/avatar_emif_registerconfig.xlsm.bkup.xlsm']'step1-systemdetails'!$f$21</definedName>
    <definedName function="false" hidden="false" name="_ctrl_ratio1" vbProcedure="false">IF(_phy_invert_clk=1,256,128)</definedName>
    <definedName function="false" hidden="false" name="_ctrl_ratio2" vbProcedure="false">64</definedName>
    <definedName function="false" hidden="false" name="_ctrl_wkup_emif1_dis_reset" vbProcedure="false">0</definedName>
    <definedName function="false" hidden="false" name="_ctrl_wkup_emif1_en_ecc" vbProcedure="false">IF(_user_ecc="Yes",1,0)</definedName>
    <definedName function="false" hidden="false" name="_user_ecc" vbProcedure="false">['file:///ti/avataremiftools/docs/avatar_emif_registerconfig.xlsm.bkup.xlsm']'step1-systemdetails'!$f$26</definedName>
    <definedName function="false" hidden="false" name="_ctrl_wkup_emif1_en_slice0" vbProcedure="false">1</definedName>
    <definedName function="false" hidden="false" name="_ctrl_wkup_emif1_en_slice1" vbProcedure="false">1</definedName>
    <definedName function="false" hidden="false" name="_ctrl_wkup_emif1_en_slice2" vbProcedure="false">IF(_sdram_type="LPDDR2",1,0)</definedName>
    <definedName function="false" hidden="false" name="_ctrl_wkup_emif1_odt" vbProcedure="false">MATCH(_emif_io_odt,_emif_io_odt_list,0)-1</definedName>
    <definedName function="false" hidden="false" name="_emif_io_odt" vbProcedure="false">['file:///ti/avataremiftools/docs/avatar_emif_registerconfig.xlsm.bkup.xlsm']'step1-systemdetails'!$f$47</definedName>
    <definedName function="false" hidden="false" name="_emif_io_odt_list" vbProcedure="false">{"Disabled";60;80;120}</definedName>
    <definedName function="false" hidden="false" name="_ctrl_wkup_emif1_phase_ctrl" vbProcedure="false">0</definedName>
    <definedName function="false" hidden="false" name="_ctrl_wkup_emif1_rdlvl_algo" vbProcedure="false">0</definedName>
    <definedName function="false" hidden="false" name="_ctrl_wkup_emif1_rdlvl_resp" vbProcedure="false">0</definedName>
    <definedName function="false" hidden="false" name="_ctrl_wkup_emif1_rdlvl_samp" vbProcedure="false">3</definedName>
    <definedName function="false" hidden="false" name="_ctrl_wkup_emif1_reserved" vbProcedure="false">1</definedName>
    <definedName function="false" hidden="false" name="_CTRL_WKUP_EMIF1_SDRAM_CONFIG_EXT" vbProcedure="false">DEC2HEX(SUM(_sdram_config_narrow_mode*2^17,_ctrl_wkup_emif1_en_ecc*2^16,_ctrl_wkup_emif1_rdlvl_samp*2^14,_ctrl_wkup_emif1_rdlvl_algo*2^13,_ctrl_wkup_emif1_rdlvl_resp*2^12,_ctrl_wkup_emif1_reserved*2^8,_ctrl_wkup_emif1_dis_reset*2^7,_ctrl_wkup_emif1_odt*2^5,_ctrl_wkup_emif1_phase_ctrl*2^3,_ctrl_wkup_emif1_en_slice2*2^2,_ctrl_wkup_emif1_en_slice1*2^1,_ctrl_wkup_emif1_en_slice0),8)</definedName>
    <definedName function="false" hidden="false" name="_sdram_config_narrow_mode" vbProcedure="false">MAX(MIN(IF(_sdram_bw=16,1,0),2^2-1),0)</definedName>
    <definedName function="false" hidden="false" name="_sdram_bw" vbProcedure="false">['file:///ti/avataremiftools/docs/avatar_emif_registerconfig.xlsm.bkup.xlsm']'step1-systemdetails'!$f$23</definedName>
    <definedName function="false" hidden="false" name="_ctrl_wkup_emif2_en_ecc" vbProcedure="false">0</definedName>
    <definedName function="false" hidden="false" name="_CTRL_WKUP_EMIF2_SDRAM_CONFIG_EXT" vbProcedure="false">DEC2HEX(SUM(_sdram_config_narrow_mode*2^17,_ctrl_wkup_emif2_en_ecc*2^16,_ctrl_wkup_emif1_rdlvl_samp*2^14,_ctrl_wkup_emif1_rdlvl_algo*2^13,_ctrl_wkup_emif1_rdlvl_resp*2^12,_ctrl_wkup_emif1_reserved*2^8,_ctrl_wkup_emif1_dis_reset*2^7,_ctrl_wkup_emif1_odt*2^5,_ctrl_wkup_emif1_phase_ctrl*2^3,_ctrl_wkup_emif1_en_slice2*2^2,_ctrl_wkup_emif1_en_slice1*2^1,_ctrl_wkup_emif1_en_slice0),8)</definedName>
    <definedName function="false" hidden="false" name="_ddr2_3_width" vbProcedure="false">{8;16}</definedName>
    <definedName function="false" hidden="false" name="_ddr2_ddr3_ecc" vbProcedure="false">{"Yes";"No"}</definedName>
    <definedName function="false" hidden="false" name="_ddr2_densities" vbProcedure="false">{0.25;0.5;1;2;4}</definedName>
    <definedName function="false" hidden="false" name="_ddr2_drive_imp" vbProcedure="false">{"Normal";"Weak"}</definedName>
    <definedName function="false" hidden="false" name="_ddr2_lvl" vbProcedure="false">{"S/W"}</definedName>
    <definedName function="false" hidden="false" name="_ddr2_rtt" vbProcedure="false">{"Disabled";"75 Ohm";"150 Ohm";"50 Ohm"}</definedName>
    <definedName function="false" hidden="false" name="_ddr2_rttwr" vbProcedure="false">{"NA"}</definedName>
    <definedName function="false" hidden="false" name="_ddr2_sb_403_ck" vbProcedure="false">{5;5}</definedName>
    <definedName function="false" hidden="false" name="_ddr2_sb_403_cl" vbProcedure="false">{3;4}</definedName>
    <definedName function="false" hidden="false" name="_ddr2_sb_404_ck" vbProcedure="false">{5}</definedName>
    <definedName function="false" hidden="false" name="_ddr2_sb_404_cl" vbProcedure="false">{4}</definedName>
    <definedName function="false" hidden="false" name="_ddr2_sb_536_ck" vbProcedure="false">{3.75;3.75}</definedName>
    <definedName function="false" hidden="false" name="_ddr2_sb_536_cl" vbProcedure="false">{3;4}</definedName>
    <definedName function="false" hidden="false" name="_ddr2_sb_537_ck" vbProcedure="false">{5;3.75}</definedName>
    <definedName function="false" hidden="false" name="_ddr2_sb_537_cl" vbProcedure="false">{3;4}</definedName>
    <definedName function="false" hidden="false" name="_ddr2_sb_671_ck" vbProcedure="false">{3;3}</definedName>
    <definedName function="false" hidden="false" name="_ddr2_sb_671_cl" vbProcedure="false">{4;5}</definedName>
    <definedName function="false" hidden="false" name="_ddr2_sb_672_ck" vbProcedure="false">{3.75;3}</definedName>
    <definedName function="false" hidden="false" name="_ddr2_sb_672_cl" vbProcedure="false">{4;5}</definedName>
    <definedName function="false" hidden="false" name="_ddr2_sb_804_ck" vbProcedure="false">{2.5;2.5}</definedName>
    <definedName function="false" hidden="false" name="_ddr2_sb_804_cl" vbProcedure="false">{4;5}</definedName>
    <definedName function="false" hidden="false" name="_ddr2_sb_805_ck" vbProcedure="false">{3.75;2.5}</definedName>
    <definedName function="false" hidden="false" name="_ddr2_sb_805_cl" vbProcedure="false">{4;5}</definedName>
    <definedName function="false" hidden="false" name="_ddr2_sb_806_ck" vbProcedure="false">{3.75;3;2.5}</definedName>
    <definedName function="false" hidden="false" name="_ddr2_sb_806_cl" vbProcedure="false">{4;5;6}</definedName>
    <definedName function="false" hidden="false" name="_ddr2_sb_data" vbProcedure="false">{400;533;667;800}</definedName>
    <definedName function="false" hidden="false" name="_ddr2_sb_dqsck_max" vbProcedure="false">{500;500;450;450;400;400;350;350;350}</definedName>
    <definedName function="false" hidden="false" name="_ddr2_sb_faw_1k" vbProcedure="false">{37.5;37.5;37.5;37.5;37.5;37.5;35;35;35}</definedName>
    <definedName function="false" hidden="false" name="_ddr2_sb_faw_2k" vbProcedure="false">{50;50;50;50;50;50;45;45;45}</definedName>
    <definedName function="false" hidden="false" name="_ddr2_sb_lookup" vbProcedure="false">{403;404;536;537;671;672;804;805;806}</definedName>
    <definedName function="false" hidden="false" name="_ddr2_sb_ras_min" vbProcedure="false">{40;45;45;45;45;45;45;45;45}</definedName>
    <definedName function="false" hidden="false" name="_ddr2_sb_rc" vbProcedure="false">{55;65;56.25;60;57;60;55;57.5;60}</definedName>
    <definedName function="false" hidden="false" name="_ddr2_sb_rcd" vbProcedure="false">{15;20;11.25;15;12;15;10;12.5;15}</definedName>
    <definedName function="false" hidden="false" name="_ddr2_sb_rp" vbProcedure="false">{15;20;11.25;15;12;15;10;12.5;15}</definedName>
    <definedName function="false" hidden="false" name="_ddr2_sb_wtr" vbProcedure="false">{10;10;7.5;7.5;7.5;7.5;7.5;7.5;7.5}</definedName>
    <definedName function="false" hidden="false" name="_ddr2_width" vbProcedure="false">{8;16;32}</definedName>
    <definedName function="false" hidden="false" name="_ddr3_densities" vbProcedure="false">{0.5;1;2;4;8}</definedName>
    <definedName function="false" hidden="false" name="_ddr3_drive_imp" vbProcedure="false">{"RZQ/6";"RZQ/7"}</definedName>
    <definedName function="false" hidden="false" name="_ddr3_lvl" vbProcedure="false">{"S/W","H/W"}</definedName>
    <definedName function="false" hidden="false" name="_ddr3_rtt" vbProcedure="false">{"Disabled";"RZQ/4";"RZQ/2";"RZQ/6";"RZQ/12";"RZQ/8"}</definedName>
    <definedName function="false" hidden="false" name="_ddr3_rttwr" vbProcedure="false">{"Disabled";"RZQ/4";"RZQ/2"}</definedName>
    <definedName function="false" hidden="false" name="_ddr3_sb_1072_ck" vbProcedure="false">{2.5;2.5;1.875;1.875;1.875}</definedName>
    <definedName function="false" hidden="false" name="_ddr3_sb_1072_cl" vbProcedure="false">{5;6;6;7;8}</definedName>
    <definedName function="false" hidden="false" name="_ddr3_sb_1072_cwl" vbProcedure="false">{5;5;6;6;6}</definedName>
    <definedName function="false" hidden="false" name="_ddr3_sb_1073_ck" vbProcedure="false">{3;2.5;1.875;1.875}</definedName>
    <definedName function="false" hidden="false" name="_ddr3_sb_1073_cl" vbProcedure="false">{5;6;7;8}</definedName>
    <definedName function="false" hidden="false" name="_ddr3_sb_1073_cwl" vbProcedure="false">{5;5;6;6}</definedName>
    <definedName function="false" hidden="false" name="_ddr3_sb_1074_ck" vbProcedure="false">{3;2.5;1.875}</definedName>
    <definedName function="false" hidden="false" name="_ddr3_sb_1074_cl" vbProcedure="false">{5;6;8}</definedName>
    <definedName function="false" hidden="false" name="_ddr3_sb_1074_cwl" vbProcedure="false">{5;5;6}</definedName>
    <definedName function="false" hidden="false" name="_ddr3_sb_1340_ck" vbProcedure="false">{2.5;2.5;1.875;1.875;1.5;1.875;1.5;1.5;1.5}</definedName>
    <definedName function="false" hidden="false" name="_ddr3_sb_1340_cl" vbProcedure="false">{5;6;6;7;7;8;8;9;10}</definedName>
    <definedName function="false" hidden="false" name="_ddr3_sb_1340_cwl" vbProcedure="false">{5;5;6;6;7;6;7;7;7}</definedName>
    <definedName function="false" hidden="false" name="_ddr3_sb_1341_ck" vbProcedure="false">{2.5;2.5;1.875;1.875;1.5;1.5;1.5}</definedName>
    <definedName function="false" hidden="false" name="_ddr3_sb_1341_cl" vbProcedure="false">{5;6;7;8;8;9;10}</definedName>
    <definedName function="false" hidden="false" name="_ddr3_sb_1341_cwl" vbProcedure="false">{5;5;6;6;7;7;7}</definedName>
    <definedName function="false" hidden="false" name="_ddr3_sb_1342_ck" vbProcedure="false">{3;2.5;1.875;1.875;1.5;1.5}</definedName>
    <definedName function="false" hidden="false" name="_ddr3_sb_1342_cl" vbProcedure="false">{5;6;7;8;9;10}</definedName>
    <definedName function="false" hidden="false" name="_ddr3_sb_1342_cwl" vbProcedure="false">{5;5;6;6;7;7}</definedName>
    <definedName function="false" hidden="false" name="_ddr3_sb_1343_ck" vbProcedure="false">{3;2.5;1.875;1.5}</definedName>
    <definedName function="false" hidden="false" name="_ddr3_sb_1343_cl" vbProcedure="false">{5;6;8;10}</definedName>
    <definedName function="false" hidden="false" name="_ddr3_sb_1343_cwl" vbProcedure="false">{5;5;6;7}</definedName>
    <definedName function="false" hidden="false" name="_ddr3_sb_1608_ck" vbProcedure="false">{2.5;2.5;1.875;1.875;1.5;1.875;1.5;1.25;1.5;1.25;1.5;1.25;1.25}</definedName>
    <definedName function="false" hidden="false" name="_ddr3_sb_1608_cl" vbProcedure="false">{5;6;6;7;7;8;8;8;9;9;10;10;11}</definedName>
    <definedName function="false" hidden="false" name="_ddr3_sb_1608_cwl" vbProcedure="false">{5;5;6;6;7;6;7;8;7;8;7;8;8}</definedName>
    <definedName function="false" hidden="false" name="_ddr3_sb_1609_ck" vbProcedure="false">{2.5;2.5;1.875;1.875;1.875;1.5;1.5;1.25;1.5;1.25;1.25}</definedName>
    <definedName function="false" hidden="false" name="_ddr3_sb_1609_cl" vbProcedure="false">{5;6;6;7;8;8;9;9;10;10;11}</definedName>
    <definedName function="false" hidden="false" name="_ddr3_sb_1609_cwl" vbProcedure="false">{5;5;6;6;6;7;7;8;7;8;8}</definedName>
    <definedName function="false" hidden="false" name="_ddr3_sb_1610_ck" vbProcedure="false">{2.5;2.5;1.875;1.875;1.5;1.5;1.25;1.25}</definedName>
    <definedName function="false" hidden="false" name="_ddr3_sb_1610_cl" vbProcedure="false">{5;6;7;8;9;10;10;11}</definedName>
    <definedName function="false" hidden="false" name="_ddr3_sb_1610_cwl" vbProcedure="false">{5;5;6;6;7;7;8;8}</definedName>
    <definedName function="false" hidden="false" name="_ddr3_sb_1611_ck" vbProcedure="false">{3;2.5;1.875;1.875;1.5;1.5;1.25}</definedName>
    <definedName function="false" hidden="false" name="_ddr3_sb_1611_cl" vbProcedure="false">{5;6;7;8;9;10;11}</definedName>
    <definedName function="false" hidden="false" name="_ddr3_sb_1611_cwl" vbProcedure="false">{5;5;6;6;7;7;8}</definedName>
    <definedName function="false" hidden="false" name="_ddr3_sb_1876_ck" vbProcedure="false">{1.25}</definedName>
    <definedName function="false" hidden="false" name="_ddr3_sb_1876_cl" vbProcedure="false">{1}</definedName>
    <definedName function="false" hidden="false" name="_ddr3_sb_1876_cwl" vbProcedure="false">{1}</definedName>
    <definedName function="false" hidden="false" name="_ddr3_sb_1877_ck" vbProcedure="false">{1.25}</definedName>
    <definedName function="false" hidden="false" name="_ddr3_sb_1877_cl" vbProcedure="false">{1}</definedName>
    <definedName function="false" hidden="false" name="_ddr3_sb_1877_cwl" vbProcedure="false">{1}</definedName>
    <definedName function="false" hidden="false" name="_ddr3_sb_1878_ck" vbProcedure="false">{1.25}</definedName>
    <definedName function="false" hidden="false" name="_ddr3_sb_1878_cl" vbProcedure="false">{1}</definedName>
    <definedName function="false" hidden="false" name="_ddr3_sb_1878_cwl" vbProcedure="false">{1}</definedName>
    <definedName function="false" hidden="false" name="_ddr3_sb_1879_ck" vbProcedure="false">{1.25}</definedName>
    <definedName function="false" hidden="false" name="_ddr3_sb_1879_cl" vbProcedure="false">{1}</definedName>
    <definedName function="false" hidden="false" name="_ddr3_sb_1879_cwl" vbProcedure="false">{1}</definedName>
    <definedName function="false" hidden="false" name="_ddr3_sb_2144_ck" vbProcedure="false">{1.25}</definedName>
    <definedName function="false" hidden="false" name="_ddr3_sb_2144_cl" vbProcedure="false">{1}</definedName>
    <definedName function="false" hidden="false" name="_ddr3_sb_2144_cwl" vbProcedure="false">{1}</definedName>
    <definedName function="false" hidden="false" name="_ddr3_sb_2145_ck" vbProcedure="false">{1.25}</definedName>
    <definedName function="false" hidden="false" name="_ddr3_sb_2145_cl" vbProcedure="false">{1}</definedName>
    <definedName function="false" hidden="false" name="_ddr3_sb_2145_cwl" vbProcedure="false">{1}</definedName>
    <definedName function="false" hidden="false" name="_ddr3_sb_2146_ck" vbProcedure="false">{1.25}</definedName>
    <definedName function="false" hidden="false" name="_ddr3_sb_2146_cl" vbProcedure="false">{1}</definedName>
    <definedName function="false" hidden="false" name="_ddr3_sb_2146_cwl" vbProcedure="false">{1}</definedName>
    <definedName function="false" hidden="false" name="_ddr3_sb_2147_ck" vbProcedure="false">{1.25}</definedName>
    <definedName function="false" hidden="false" name="_ddr3_sb_2147_cl" vbProcedure="false">{1}</definedName>
    <definedName function="false" hidden="false" name="_ddr3_sb_2147_cwl" vbProcedure="false">{1}</definedName>
    <definedName function="false" hidden="false" name="_ddr3_sb_805_ck" vbProcedure="false">{2.5;2.5}</definedName>
    <definedName function="false" hidden="false" name="_ddr3_sb_805_cl" vbProcedure="false">{5;6}</definedName>
    <definedName function="false" hidden="false" name="_ddr3_sb_805_cwl" vbProcedure="false">{5;5}</definedName>
    <definedName function="false" hidden="false" name="_ddr3_sb_806_ck" vbProcedure="false">{3;2.5}</definedName>
    <definedName function="false" hidden="false" name="_ddr3_sb_806_cl" vbProcedure="false">{5;6}</definedName>
    <definedName function="false" hidden="false" name="_ddr3_sb_806_cwl" vbProcedure="false">{5;5}</definedName>
    <definedName function="false" hidden="false" name="_ddr3_sb_cke" vbProcedure="false">{7.5;7.5;5.625;5.625;5.625;5.625;5.625;5.625;5.625;5;5;5;5;5;5;5;5;5;5;5;5}</definedName>
    <definedName function="false" hidden="false" name="_ddr3_sb_data" vbProcedure="false">{800;1066;1333;1600;1866;2133}</definedName>
    <definedName function="false" hidden="false" name="_ddr3_sb_dqsck_max" vbProcedure="false">{400;400;300;300;300;255;255;255;255;255;255;255;255;195;195;195;195;180;180;180;180}</definedName>
    <definedName function="false" hidden="false" name="_ddr3_sb_faw_1k" vbProcedure="false">{40;40;37.5;37.5;37.5;30;30;30;30;30;30;30;30;27;27;27;27;25;25;25;25}</definedName>
    <definedName function="false" hidden="false" name="_ddr3_sb_faw_2k" vbProcedure="false">{50;50;50;50;50;45;45;45;45;40;40;40;40;35;35;35;35;35;35;35;35}</definedName>
    <definedName function="false" hidden="false" name="_ddr3_sb_lookup" vbProcedure="false">{805;806;1072;1073;1074;1340;1341;1342;1343;1608;1609;1610;1611;1876;1877;1878;1879;2144;2145;2146;2147}</definedName>
    <definedName function="false" hidden="false" name="_ddr3_sb_ras_min" vbProcedure="false">{37.5;37.5;37.5;37.5;37.5;36;36;36;36;35;35;35;35;34;34;34;34;33;33;33;33}</definedName>
    <definedName function="false" hidden="false" name="_ddr3_sb_rc" vbProcedure="false">{50;52.5;48.75;50.625;52.5;46.5;48;49.5;51;45;46.25;47.5;48.75;44.7;45.77;46.84;47.91;43.285;44.22;45.155;46.09}</definedName>
    <definedName function="false" hidden="false" name="_ddr3_sb_rcd" vbProcedure="false">{12.5;15;11.25;13.125;15;10.5;12;13.5;15;10;11.25;12.5;13.75;10.7;11.77;12.84;13.91;10.285;11.22;12.155;13.09}</definedName>
    <definedName function="false" hidden="false" name="_ddr3_sb_rp" vbProcedure="false">{12.5;15;11.25;13.125;15;10.5;12;13.5;15;10;11.25;12.5;13.75;10.7;11.77;12.84;13.91;10.285;11.22;12.155;13.09}</definedName>
    <definedName function="false" hidden="false" name="_ddr3_sb_rrd_1k" vbProcedure="false">{10;10;7.5;7.5;7.5;6;6;6;6;6;6;6;6;5;5;5;5;5;5;5;5}</definedName>
    <definedName function="false" hidden="false" name="_ddr3_sb_rrd_2k" vbProcedure="false">{10;10;10;10;10;7.5;7.5;7.5;7.5;7.5;7.5;7.5;7.5;6;6;6;6;6;6;6;6}</definedName>
    <definedName function="false" hidden="false" name="_ddr3_sb_xp" vbProcedure="false">{7.5;7.5;7.5;7.5;7.5;6;6;6;6;6;6;6;6;6;6;6;6;6;6;6;6}</definedName>
    <definedName function="false" hidden="false" name="_ddr3_width" vbProcedure="false">{8;16}</definedName>
    <definedName function="false" hidden="false" name="_ddr_pll_dco_div2" vbProcedure="false">_ddr_pll_freq*_ddr_pll_m2</definedName>
    <definedName function="false" hidden="false" name="_ddr_pll_freq" vbProcedure="false">['file:///ti/avataremiftools/docs/avatar_emif_registerconfig.xlsm.bkup.xlsm']'step1-systemdetails'!$f$22</definedName>
    <definedName function="false" hidden="false" name="_ddr_pll_m2" vbProcedure="false">MAX(IF(ISEVEN(ROUNDDOWN(_ddr_pll_m2_max,0)),ROUNDDOWN(_ddr_pll_m2_max,0),ROUNDDOWN(_ddr_pll_m2_max,0)-1),1)</definedName>
    <definedName function="false" hidden="false" name="_ddr_pll_m2_max" vbProcedure="false">1400/_ddr_pll_freq</definedName>
    <definedName function="false" hidden="false" name="_ddr_pll_m" vbProcedure="false">ROUNDDOWN(_ddr_pll_dco_div2*(_ddr_pll_n+1)/_sysclk1,0)</definedName>
    <definedName function="false" hidden="false" name="_ddr_pll_n" vbProcedure="false">MIN((_sysclk1*_sysclk1_mult/_ddr_pll_mn_gcd)-1,ROUNDDOWN(_sysclk1-1,0))</definedName>
    <definedName function="false" hidden="false" name="_sysclk1" vbProcedure="false">['file:///ti/avataremiftools/docs/avatar_emif_registerconfig.xlsm.bkup.xlsm']'step1-systemdetails'!$f$19</definedName>
    <definedName function="false" hidden="false" name="_sysclk1_mult" vbProcedure="false">IF((_sysclk1-ROUND(_sysclk1,0))&gt;0,ROUND(1/(_sysclk1-ROUND(_sysclk1,0)),0),1)</definedName>
    <definedName function="false" hidden="false" name="_ddr_pll_mn_gcd" vbProcedure="false">GCD(_ddr_pll_dco_div2*_sysclk1_mult,_sysclk1*_sysclk1_mult)</definedName>
    <definedName function="false" hidden="false" name="_dll_res" vbProcedure="false">IF(_phy_half_delay=1,1000000/_ddr_pll_freq/128,1000000/_ddr_pll_freq/256)</definedName>
    <definedName function="false" hidden="false" name="_phy_half_delay" vbProcedure="false">IF(_sdram_type="LPDDR2",0,1)</definedName>
    <definedName function="false" hidden="false" name="_DMM_LISA_MAP_0_VAL" vbProcedure="false">DEC2HEX(SUM(_dmm_sys_addr_0*2^24,_dmm_sys_size_0*2^20,_dmm_sdrc_intl_0*2^18,_dmm_sdrc_map_0*2^8),8)</definedName>
    <definedName function="false" hidden="false" name="_dmm_sys_addr_0" vbProcedure="false">0</definedName>
    <definedName function="false" hidden="false" name="_dmm_sys_size_0" vbProcedure="false">0</definedName>
    <definedName function="false" hidden="false" name="_dmm_sdrc_intl_0" vbProcedure="false">0</definedName>
    <definedName function="false" hidden="false" name="_dmm_sdrc_map_0" vbProcedure="false">0</definedName>
    <definedName function="false" hidden="false" name="_DMM_LISA_MAP_1_VAL" vbProcedure="false">DEC2HEX(SUM(_dmm_sys_addr_1*2^24,_dmm_sys_size_1*2^20,_dmm_sdrc_intl_1*2^18,_dmm_sdrc_map_1*2^8),8)</definedName>
    <definedName function="false" hidden="false" name="_dmm_sys_addr_1" vbProcedure="false">0</definedName>
    <definedName function="false" hidden="false" name="_dmm_sys_size_1" vbProcedure="false">0</definedName>
    <definedName function="false" hidden="false" name="_dmm_sdrc_intl_1" vbProcedure="false">0</definedName>
    <definedName function="false" hidden="false" name="_dmm_sdrc_map_1" vbProcedure="false">0</definedName>
    <definedName function="false" hidden="false" name="_DMM_LISA_MAP_2_VAL" vbProcedure="false">DEC2HEX(SUM(_dmm_sys_addr_2*2^24,_dmm_sys_size_2*2^20,_dmm_sdrc_intl_2*2^18,_dmm_sdrc_map_2*2^8),8)</definedName>
    <definedName function="false" hidden="false" name="_dmm_sys_addr_2" vbProcedure="false">128</definedName>
    <definedName function="false" hidden="false" name="_dmm_sys_size_2" vbProcedure="false">IF(_user_emifs=1,MATCH(MIN(_sdram_density*_sdram_bw/_sdram_width/8,2),_dmm_sys_size_list,0)-1,MATCH(MIN(2*_sdram_density*_sdram_bw/_sdram_width/8,2),_dmm_sys_size_list,0)-1)</definedName>
    <definedName function="false" hidden="false" name="_user_emifs" vbProcedure="false">['file:///ti/avataremiftools/docs/avatar_emif_registerconfig.xlsm.bkup.xlsm']'step1-systemdetails'!$f$20</definedName>
    <definedName function="false" hidden="false" name="_sdram_density" vbProcedure="false">['file:///ti/avataremiftools/docs/avatar_emif_registerconfig.xlsm.bkup.xlsm']'step1-systemdetails'!$f$32</definedName>
    <definedName function="false" hidden="false" name="_sdram_width" vbProcedure="false">['file:///ti/avataremiftools/docs/avatar_emif_registerconfig.xlsm.bkup.xlsm']'step1-systemdetails'!$f$33</definedName>
    <definedName function="false" hidden="false" name="_dmm_sys_size_list" vbProcedure="false">{0.015625;0.03125;0.0625;0.125;0.25;0.5;1;2}</definedName>
    <definedName function="false" hidden="false" name="_dmm_sdrc_intl_2" vbProcedure="false">IF(_user_emifs=1,0,1)</definedName>
    <definedName function="false" hidden="false" name="_dmm_sdrc_map_2" vbProcedure="false">IF(_user_emifs=1,1,3)</definedName>
    <definedName function="false" hidden="false" name="_DMM_LISA_MAP_3_VAL" vbProcedure="false">DEC2HEX(SUM(_dmm_sys_addr_3*2^24,_dmm_sys_size_3*2^20,_dmm_sdrc_intl_3*2^18,_dmm_sdrc_addrspc_3*2^16,_dmm_sdrc_map_3*2^8),8)</definedName>
    <definedName function="false" hidden="false" name="_dmm_sys_addr_3" vbProcedure="false">255</definedName>
    <definedName function="false" hidden="false" name="_dmm_sys_size_3" vbProcedure="false">0</definedName>
    <definedName function="false" hidden="false" name="_dmm_sdrc_intl_3" vbProcedure="false">0</definedName>
    <definedName function="false" hidden="false" name="_dmm_sdrc_addrspc_3" vbProcedure="false">2</definedName>
    <definedName function="false" hidden="false" name="_dmm_sdrc_map_3" vbProcedure="false">1</definedName>
    <definedName function="false" hidden="false" name="_dyn_user_config_options" vbProcedure="false">['file:///ti/avataremiftools/docs/avatar_emif_registerconfig.xlsm.bkup.xlsm']userconfig!$a$1:INDEX(['file:///ti/avataremiftools/docs/avatar_emif_registerconfig.xlsm.bkup.xlsm']userconfig!$a$1:$a$100,COUNTIF(['file:///ti/avataremiftools/docs/avatar_emif_registerconfig.xlsm.bkup.xlsm']userconfig!$a$1:$a$100,"?*"))</definedName>
    <definedName function="false" hidden="false" name="_dyn_user_cs" vbProcedure="false">['file:///ti/avataremiftools/docs/avatar_emif_registerconfig.xlsm.bkup.xlsm']dynamicuseroptions!$e$6:INDEX(['file:///ti/avataremiftools/docs/avatar_emif_registerconfig.xlsm.bkup.xlsm']dynamicuseroptions!$e$6:$e$19,COUNTIF(['file:///ti/avataremiftools/docs/avatar_emif_registerconfig.xlsm.bkup.xlsm']dynamicuseroptions!$e$6:$e$19,"&lt;&gt;"&amp;"*"))</definedName>
    <definedName function="false" hidden="false" name="_dyn_user_cs_list" vbProcedure="false">IF(_soc_name="j6eco",_soc_cs_j6eco,_soc_cs_vayu)</definedName>
    <definedName function="false" hidden="false" name="_soc_name" vbProcedure="false">CHOOSE(MATCH(_user_soc,_soc_partnum_list,0),"j6eco","vayu","j6eco","vayu","vayu","j6eco","vayu","adaslow")</definedName>
    <definedName function="false" hidden="false" name="_user_soc" vbProcedure="false">['file:///ti/avataremiftools/docs/avatar_emif_registerconfig.xlsm.bkup.xlsm']'step1-systemdetails'!$f$18</definedName>
    <definedName function="false" hidden="false" name="_soc_partnum_list" vbProcedure="false">{"AM571x";"AM572x";"DRA72x";"DRA74x";"DRA75x";"TDA2Ex";"TDA2x";"TDA3x"}</definedName>
    <definedName function="false" hidden="false" name="_soc_cs_j6eco" vbProcedure="false">{1}</definedName>
    <definedName function="false" hidden="false" name="_soc_cs_vayu" vbProcedure="false">{1}</definedName>
    <definedName function="false" hidden="false" name="_dyn_user_ecc" vbProcedure="false">['file:///ti/avataremiftools/docs/avatar_emif_registerconfig.xlsm.bkup.xlsm']dynamicuseroptions!$g$6:INDEX(['file:///ti/avataremiftools/docs/avatar_emif_registerconfig.xlsm.bkup.xlsm']dynamicuseroptions!$g$6:$g$19,COUNTIF(['file:///ti/avataremiftools/docs/avatar_emif_registerconfig.xlsm.bkup.xlsm']dynamicuseroptions!$g$6:$g$19,"?*"))</definedName>
    <definedName function="false" hidden="false" name="_dyn_user_ecc_list" vbProcedure="false">IF(_sdram_type="LPDDR2",_lpddr2_ecc,_ddr2_ddr3_ecc)</definedName>
    <definedName function="false" hidden="false" name="_lpddr2_ecc" vbProcedure="false">{"No"}</definedName>
    <definedName function="false" hidden="false" name="_dyn_user_emifs" vbProcedure="false">['file:///ti/avataremiftools/docs/avatar_emif_registerconfig.xlsm.bkup.xlsm']dynamicuseroptions!$d$6:INDEX(['file:///ti/avataremiftools/docs/avatar_emif_registerconfig.xlsm.bkup.xlsm']dynamicuseroptions!$d$6:$d$19,COUNTIF(['file:///ti/avataremiftools/docs/avatar_emif_registerconfig.xlsm.bkup.xlsm']dynamicuseroptions!$d$6:$d$19,"&lt;&gt;"&amp;"*"))</definedName>
    <definedName function="false" hidden="false" name="_dyn_user_emifs_list" vbProcedure="false">IF(OR('title-readme'!_soc_name="j6eco",'title-readme'!_soc_name="adaslow"),_soc_emifs_j6eco,_soc_emifs_vayu)</definedName>
    <definedName function="false" hidden="false" name="_soc_emifs_j6eco" vbProcedure="false">{1}</definedName>
    <definedName function="false" hidden="false" name="_soc_emifs_vayu" vbProcedure="false">{1;2}</definedName>
    <definedName function="false" hidden="false" name="_dyn_user_emif_io_sr" vbProcedure="false">['file:///ti/avataremiftools/docs/avatar_emif_registerconfig.xlsm.bkup.xlsm']dynamicuseroptions!$q$6:INDEX(['file:///ti/avataremiftools/docs/avatar_emif_registerconfig.xlsm.bkup.xlsm']dynamicuseroptions!$q$6:$q$19,COUNTIF(['file:///ti/avataremiftools/docs/avatar_emif_registerconfig.xlsm.bkup.xlsm']dynamicuseroptions!$q$6:$q$19,"?*"))</definedName>
    <definedName function="false" hidden="false" name="_dyn_user_freqmax" vbProcedure="false">['file:///ti/avataremiftools/docs/avatar_emif_registerconfig.xlsm.bkup.xlsm']dynamicuseroptions!$i$6</definedName>
    <definedName function="false" hidden="false" name="_dyn_user_freqmax_list" vbProcedure="false">IF('title-readme'!_soc_name="adaslow",_soc_freqmax_adaslow,IF('title-readme'!_soc_name="j6eco",_soc_freqmax_j6eco,_soc_freqmax_vayu))</definedName>
    <definedName function="false" hidden="false" name="_soc_freqmax_adaslow" vbProcedure="false">IF(_sdram_type="DDR3/L",533,400)</definedName>
    <definedName function="false" hidden="false" name="_soc_freqmax_j6eco" vbProcedure="false">667</definedName>
    <definedName function="false" hidden="false" name="_soc_freqmax_vayu" vbProcedure="false">IF(_sdram_type="DDR2",400,533)</definedName>
    <definedName function="false" hidden="false" name="_dyn_user_freqmin" vbProcedure="false">['file:///ti/avataremiftools/docs/avatar_emif_registerconfig.xlsm.bkup.xlsm']dynamicuseroptions!$h$6</definedName>
    <definedName function="false" hidden="false" name="_dyn_user_freqmin_list" vbProcedure="false">IF('title-readme'!_soc_name="adaslow",_soc_freqmin_adaslow,IF('title-readme'!_soc_name="j6eco",_soc_freqmin_j6eco,_soc_freqmin_vayu))</definedName>
    <definedName function="false" hidden="false" name="_soc_freqmin_adaslow" vbProcedure="false">IF(_sdram_type="DDR3/L",303,IF(_sdram_type="DDR2",125,10))</definedName>
    <definedName function="false" hidden="false" name="_soc_freqmin_j6eco" vbProcedure="false">303</definedName>
    <definedName function="false" hidden="false" name="_soc_freqmin_vayu" vbProcedure="false">IF(_sdram_type="DDR2",125,303)</definedName>
    <definedName function="false" hidden="false" name="_dyn_user_memtype" vbProcedure="false">['file:///ti/avataremiftools/docs/avatar_emif_registerconfig.xlsm.bkup.xlsm']dynamicuseroptions!$c$6:INDEX(['file:///ti/avataremiftools/docs/avatar_emif_registerconfig.xlsm.bkup.xlsm']dynamicuseroptions!$c$6:$c$19,COUNTIF(['file:///ti/avataremiftools/docs/avatar_emif_registerconfig.xlsm.bkup.xlsm']dynamicuseroptions!$c$6:$c$19,"?*"))</definedName>
    <definedName function="false" hidden="false" name="_dyn_user_memtype_list" vbProcedure="false">CHOOSE(MATCH(_soc_name,_soc_names,0),_soc_memtype_vayu,_soc_memtype_vayu,_soc_memtype_j6eco,_soc_memtype_adaslow)</definedName>
    <definedName function="false" hidden="false" name="_soc_names" vbProcedure="false">{"omap5";"vayu";"j6eco";"adaslow"}</definedName>
    <definedName function="false" hidden="false" name="_soc_memtype_vayu" vbProcedure="false">{"DDR2";"DDR3/L"}</definedName>
    <definedName function="false" hidden="false" name="_soc_memtype_j6eco" vbProcedure="false">{"DDR3/L"}</definedName>
    <definedName function="false" hidden="false" name="_soc_memtype_adaslow" vbProcedure="false">{"DDR3/L"}</definedName>
    <definedName function="false" hidden="false" name="_dyn_user_sdram_cl" vbProcedure="false">['file:///ti/avataremiftools/docs/avatar_emif_registerconfig.xlsm.bkup.xlsm']dynamicuseroptions!$l$6:INDEX(['file:///ti/avataremiftools/docs/avatar_emif_registerconfig.xlsm.bkup.xlsm']dynamicuseroptions!$l$6:$l$19,COUNTIF(['file:///ti/avataremiftools/docs/avatar_emif_registerconfig.xlsm.bkup.xlsm']dynamicuseroptions!$l$6:$l$19,"&lt;&gt;"&amp;"*")+COUNTIF(['file:///ti/avataremiftools/docs/avatar_emif_registerconfig.xlsm.bkup.xlsm']dynamicuseroptions!$l$6:$l$19,"?*"))</definedName>
    <definedName function="false" hidden="false" name="_dyn_user_sdram_data" vbProcedure="false">['file:///ti/avataremiftools/docs/avatar_emif_registerconfig.xlsm.bkup.xlsm']dynamicuseroptions!$j$6:INDEX(['file:///ti/avataremiftools/docs/avatar_emif_registerconfig.xlsm.bkup.xlsm']dynamicuseroptions!$j$6:$j$19,COUNTIF(['file:///ti/avataremiftools/docs/avatar_emif_registerconfig.xlsm.bkup.xlsm']dynamicuseroptions!$j$6:$j$19,"&lt;&gt;"&amp;"*"))</definedName>
    <definedName function="false" hidden="false" name="_dyn_user_sdram_data_list" vbProcedure="false">IF(_sdram_type="LPDDR2",_lpddr2_sb_data,IF(_sdram_type="DDR2",_ddr2_sb_data,_ddr3_sb_data))</definedName>
    <definedName function="false" hidden="false" name="_lpddr2_sb_data" vbProcedure="false">{333;400;533;667;800;933;1066}</definedName>
    <definedName function="false" hidden="false" name="_dyn_user_sdram_density" vbProcedure="false">['file:///ti/avataremiftools/docs/avatar_emif_registerconfig.xlsm.bkup.xlsm']dynamicuseroptions!$m$6:INDEX(['file:///ti/avataremiftools/docs/avatar_emif_registerconfig.xlsm.bkup.xlsm']dynamicuseroptions!$m$6:$m$19,COUNTIF(['file:///ti/avataremiftools/docs/avatar_emif_registerconfig.xlsm.bkup.xlsm']dynamicuseroptions!$m$6:$m$19,"&lt;&gt;"&amp;"*"))</definedName>
    <definedName function="false" hidden="false" name="_dyn_user_sdram_density_list" vbProcedure="false">IF(_sdram_type="LPDDR2",_lpddr2_densities,IF(_sdram_type="DDR2",_ddr2_densities,_ddr3_densities))</definedName>
    <definedName function="false" hidden="false" name="_lpddr2_densities" vbProcedure="false">{0.25;0.5;1;2;4;8}</definedName>
    <definedName function="false" hidden="false" name="_dyn_user_sdram_drivimp" vbProcedure="false">['file:///ti/avataremiftools/docs/avatar_emif_registerconfig.xlsm.bkup.xlsm']dynamicuseroptions!$p$6:INDEX(['file:///ti/avataremiftools/docs/avatar_emif_registerconfig.xlsm.bkup.xlsm']dynamicuseroptions!$p$6:$p$19,COUNTIF(['file:///ti/avataremiftools/docs/avatar_emif_registerconfig.xlsm.bkup.xlsm']dynamicuseroptions!$p$6:$p$19,"?*")+COUNTIF(['file:///ti/avataremiftools/docs/avatar_emif_registerconfig.xlsm.bkup.xlsm']dynamicuseroptions!$p$6:$p$19,"&lt;&gt;"&amp;"*"))</definedName>
    <definedName function="false" hidden="false" name="_dyn_user_sdram_drivimp_list" vbProcedure="false">IF(_sdram_type="LPDDR2",_lpddr2_drive_imp,IF(_sdram_type="DDR2",_ddr2_drive_imp,_ddr3_drive_imp))</definedName>
    <definedName function="false" hidden="false" name="_lpddr2_drive_imp" vbProcedure="false">{34.3;40;48;60;68.6;80;120}</definedName>
    <definedName function="false" hidden="false" name="_dyn_user_sdram_lvl" vbProcedure="false">['file:///ti/avataremiftools/docs/avatar_emif_registerconfig.xlsm.bkup.xlsm']dynamicuseroptions!$f$6:INDEX(['file:///ti/avataremiftools/docs/avatar_emif_registerconfig.xlsm.bkup.xlsm']dynamicuseroptions!$f$6:$f$19,COUNTIF(['file:///ti/avataremiftools/docs/avatar_emif_registerconfig.xlsm.bkup.xlsm']dynamicuseroptions!$f$6:$f$19,"?*"))</definedName>
    <definedName function="false" hidden="false" name="_dyn_user_sdram_lvl_list" vbProcedure="false">IF(OR(_sdram_type="DDR2",_sdram_type="LPDDR2"),_ddr2_lvl,_ddr3_lvl)</definedName>
    <definedName function="false" hidden="false" name="_dyn_user_sdram_rtt" vbProcedure="false">['file:///ti/avataremiftools/docs/avatar_emif_registerconfig.xlsm.bkup.xlsm']dynamicuseroptions!$n$6:INDEX(['file:///ti/avataremiftools/docs/avatar_emif_registerconfig.xlsm.bkup.xlsm']dynamicuseroptions!$n$6:$n$19,COUNTIF(['file:///ti/avataremiftools/docs/avatar_emif_registerconfig.xlsm.bkup.xlsm']dynamicuseroptions!$n$6:$n$19,"?*"))</definedName>
    <definedName function="false" hidden="false" name="_dyn_user_sdram_rttwr" vbProcedure="false">['file:///ti/avataremiftools/docs/avatar_emif_registerconfig.xlsm.bkup.xlsm']dynamicuseroptions!$o$6:INDEX(['file:///ti/avataremiftools/docs/avatar_emif_registerconfig.xlsm.bkup.xlsm']dynamicuseroptions!$o$6:$o$19,COUNTIF(['file:///ti/avataremiftools/docs/avatar_emif_registerconfig.xlsm.bkup.xlsm']dynamicuseroptions!$o$6:$o$19,"?*"))</definedName>
    <definedName function="false" hidden="false" name="_dyn_user_sdram_rttwr_list" vbProcedure="false">IF(_sdram_type="LPDDR2",_lpddr2_rttwr,IF(_sdram_type="DDR2",_ddr2_rttwr,_ddr3_rttwr))</definedName>
    <definedName function="false" hidden="false" name="_lpddr2_rttwr" vbProcedure="false">{"NA"}</definedName>
    <definedName function="false" hidden="false" name="_dyn_user_sdram_rtt_list" vbProcedure="false">IF(_sdram_type="LPDDR2",_lpddr2_rtt,IF(_sdram_type="DDR2",_ddr2_rtt,_ddr3_rtt))</definedName>
    <definedName function="false" hidden="false" name="_lpddr2_rtt" vbProcedure="false">{"NA"}</definedName>
    <definedName function="false" hidden="false" name="_dyn_user_sdram_width" vbProcedure="false">['file:///ti/avataremiftools/docs/avatar_emif_registerconfig.xlsm.bkup.xlsm']dynamicuseroptions!$k$6:INDEX(['file:///ti/avataremiftools/docs/avatar_emif_registerconfig.xlsm.bkup.xlsm']dynamicuseroptions!$k$6:$k$19,COUNTIF(['file:///ti/avataremiftools/docs/avatar_emif_registerconfig.xlsm.bkup.xlsm']dynamicuseroptions!$k$6:$k$19,"&lt;&gt;"&amp;"*"))</definedName>
    <definedName function="false" hidden="false" name="_dyn_user_sdram_width_list" vbProcedure="false">IF(_sdram_type="LPDDR2",32,IF(AND('title-readme'!_soc_name="adaslow",_sdram_type="DDR2",_sdram_density=0.5),_ddr2_width,_ddr3_width))</definedName>
    <definedName function="false" hidden="false" name="_dyn_user_soc_list" vbProcedure="false">['file:///ti/avataremiftools/docs/avatar_emif_registerconfig.xlsm.bkup.xlsm']dynamicuseroptions!$b$6:INDEX(['file:///ti/avataremiftools/docs/avatar_emif_registerconfig.xlsm.bkup.xlsm']dynamicuseroptions!$b$6:$b$19,COUNTIF(['file:///ti/avataremiftools/docs/avatar_emif_registerconfig.xlsm.bkup.xlsm']dynamicuseroptions!$b$6:$b$19,"?*"))</definedName>
    <definedName function="false" hidden="false" name="_emif1_ext_phy_ctrl_10_val_omap5" vbProcedure="false">DEC2HEX(TRUNC(SUM(_wrdata_ratio3_ch1_cs1*2^10,_wrdata_ratio3_ch1_cs0)/2^4)-(TRUNC(SUM(_wrdata_ratio3_ch1_cs1*2^10,_wrdata_ratio3_ch1_cs0)/2^36)*2^32),8)</definedName>
    <definedName function="false" hidden="false" name="_wrdata_ratio3_ch1_cs1" vbProcedure="false">_wrdqs_ratio3_ch1_cs1 + ROUND((250000 / _ddr_pll_freq / _dll_res),0)</definedName>
    <definedName function="false" hidden="false" name="_wrdqs_ratio3_ch1_cs1" vbProcedure="false">ROUND(((_t_dqss_brdskew_p3_ch1_cs1 + (_phy_invert_clk * 500000 / _ddr_pll_freq)) / _dll_res),0)</definedName>
    <definedName function="false" hidden="false" name="_t_dqss_brdskew_p3_ch1_cs1" vbProcedure="false">((_tl_clk_p3_mi_ch1_cs1*_prop_vel_microstrip) + (_tl_clk_p3_st_ch1_cs1*_prop_vel_stripline) - (_tl_dqs3_mi_ch1_cs1*_prop_vel_microstrip) - (_tl_dqs3_st_ch1_cs1*_prop_vel_stripline))/1000</definedName>
    <definedName function="false" hidden="false" name="_tl_clk_p3_mi_ch1_cs1" vbProcedure="false">['file:///ti/avataremiftools/docs/avatar_emif_registerconfig.xlsm.bkup.xlsm']'step2-boarddetails'!$k$38</definedName>
    <definedName function="false" hidden="false" name="_prop_vel_microstrip" vbProcedure="false">136</definedName>
    <definedName function="false" hidden="false" name="_tl_clk_p3_st_ch1_cs1" vbProcedure="false">['file:///ti/avataremiftools/docs/avatar_emif_registerconfig.xlsm.bkup.xlsm']'step2-boarddetails'!$l$38</definedName>
    <definedName function="false" hidden="false" name="_prop_vel_stripline" vbProcedure="false">170</definedName>
    <definedName function="false" hidden="false" name="_tl_dqs3_mi_ch1_cs1" vbProcedure="false">['file:///ti/avataremiftools/docs/avatar_emif_registerconfig.xlsm.bkup.xlsm']'step2-boarddetails'!$k$39</definedName>
    <definedName function="false" hidden="false" name="_tl_dqs3_st_ch1_cs1" vbProcedure="false">['file:///ti/avataremiftools/docs/avatar_emif_registerconfig.xlsm.bkup.xlsm']'step2-boarddetails'!$l$39</definedName>
    <definedName function="false" hidden="false" name="_wrdata_ratio3_ch1_cs0" vbProcedure="false">_wrdqs_ratio3_ch1_cs0 + ROUND((250000 / _ddr_pll_freq / _dll_res),0)</definedName>
    <definedName function="false" hidden="false" name="_wrdqs_ratio3_ch1_cs0" vbProcedure="false">ROUND(((_t_dqss_brdskew_p3_ch1_cs0 + (_phy_invert_clk * 500000 / _ddr_pll_freq)) / _dll_res),0)</definedName>
    <definedName function="false" hidden="false" name="_t_dqss_brdskew_p3_ch1_cs0" vbProcedure="false">((_tl_clk_p3_mi_ch1_cs0*_prop_vel_microstrip) + (_tl_clk_p3_st_ch1_cs0*_prop_vel_stripline) - (_tl_dqs3_mi_ch1_cs0*_prop_vel_microstrip) - (_tl_dqs3_st_ch1_cs0*_prop_vel_stripline))/1000</definedName>
    <definedName function="false" hidden="false" name="_tl_clk_p3_mi_ch1_cs0" vbProcedure="false">['file:///ti/avataremiftools/docs/avatar_emif_registerconfig.xlsm.bkup.xlsm']'step2-boarddetails'!$k$28</definedName>
    <definedName function="false" hidden="false" name="_tl_clk_p3_st_ch1_cs0" vbProcedure="false">['file:///ti/avataremiftools/docs/avatar_emif_registerconfig.xlsm.bkup.xlsm']'step2-boarddetails'!$l$28</definedName>
    <definedName function="false" hidden="false" name="_tl_dqs3_mi_ch1_cs0" vbProcedure="false">['file:///ti/avataremiftools/docs/avatar_emif_registerconfig.xlsm.bkup.xlsm']'step2-boarddetails'!$k$29</definedName>
    <definedName function="false" hidden="false" name="_tl_dqs3_st_ch1_cs0" vbProcedure="false">['file:///ti/avataremiftools/docs/avatar_emif_registerconfig.xlsm.bkup.xlsm']'step2-boarddetails'!$l$29</definedName>
    <definedName function="false" hidden="false" name="_emif1_ext_phy_ctrl_10_val_vayu" vbProcedure="false">DEC2HEX(SUM(_rddqs_ratio3*2^16,_rddqs_ratio3),8)</definedName>
    <definedName function="false" hidden="false" name="_rddqs_ratio3" vbProcedure="false">_rddqs_ratio0</definedName>
    <definedName function="false" hidden="false" name="_rddqs_ratio0" vbProcedure="false">CHOOSE(MATCH('title-readme'!_soc_name,'title-readme'!_soc_names,0),56,50,47,52)</definedName>
    <definedName function="false" hidden="false" name="_emif1_ext_phy_ctrl_11_val_omap5" vbProcedure="false">DEC2HEX(SUM(_wrdqs_ratio1_ch1_cs1*2^30,_wrdqs_ratio1_ch1_cs0*2^20,_wrdqs_ratio0_ch1_cs1*2^10,_wrdqs_ratio0_ch1_cs0)-(TRUNC(SUM(_wrdqs_ratio1_ch1_cs1*2^30,_wrdqs_ratio1_ch1_cs0*2^20,_wrdqs_ratio0_ch1_cs1*2^10,_wrdqs_ratio0_ch1_cs0)/2^32)*2^32),8)</definedName>
    <definedName function="false" hidden="false" name="_wrdqs_ratio1_ch1_cs1" vbProcedure="false">ROUND(((_t_dqss_brdskew_p1_ch1_cs1 + (_phy_invert_clk * 500000 / _ddr_pll_freq)) / _dll_res),0)</definedName>
    <definedName function="false" hidden="false" name="_t_dqss_brdskew_p1_ch1_cs1" vbProcedure="false">((_tl_clk_p1_mi_ch1_cs1*_prop_vel_microstrip) + (_tl_clk_p1_st_ch1_cs1*_prop_vel_stripline) - (_tl_dqs1_mi_ch1_cs1*_prop_vel_microstrip) - (_tl_dqs1_st_ch1_cs1*_prop_vel_stripline))/1000</definedName>
    <definedName function="false" hidden="false" name="_tl_clk_p1_mi_ch1_cs1" vbProcedure="false">['file:///ti/avataremiftools/docs/avatar_emif_registerconfig.xlsm.bkup.xlsm']'step2-boarddetails'!$g$38</definedName>
    <definedName function="false" hidden="false" name="_tl_clk_p1_st_ch1_cs1" vbProcedure="false">['file:///ti/avataremiftools/docs/avatar_emif_registerconfig.xlsm.bkup.xlsm']'step2-boarddetails'!$h$38</definedName>
    <definedName function="false" hidden="false" name="_tl_dqs1_mi_ch1_cs1" vbProcedure="false">['file:///ti/avataremiftools/docs/avatar_emif_registerconfig.xlsm.bkup.xlsm']'step2-boarddetails'!$g$39</definedName>
    <definedName function="false" hidden="false" name="_tl_dqs1_st_ch1_cs1" vbProcedure="false">['file:///ti/avataremiftools/docs/avatar_emif_registerconfig.xlsm.bkup.xlsm']'step2-boarddetails'!$h$39</definedName>
    <definedName function="false" hidden="false" name="_wrdqs_ratio1_ch1_cs0" vbProcedure="false">ROUND(((_t_dqss_brdskew_p1_ch1_cs0 + (_phy_invert_clk * 500000 / _ddr_pll_freq)) / _dll_res),0)</definedName>
    <definedName function="false" hidden="false" name="_t_dqss_brdskew_p1_ch1_cs0" vbProcedure="false">((_tl_clk_p1_mi_ch1_cs0*_prop_vel_microstrip) + (_tl_clk_p1_st_ch1_cs0*_prop_vel_stripline) - (_tl_dqs1_mi_ch1_cs0*_prop_vel_microstrip) - (_tl_dqs1_st_ch1_cs0*_prop_vel_stripline))/1000</definedName>
    <definedName function="false" hidden="false" name="_tl_clk_p1_mi_ch1_cs0" vbProcedure="false">['file:///ti/avataremiftools/docs/avatar_emif_registerconfig.xlsm.bkup.xlsm']'step2-boarddetails'!$g$28</definedName>
    <definedName function="false" hidden="false" name="_tl_clk_p1_st_ch1_cs0" vbProcedure="false">['file:///ti/avataremiftools/docs/avatar_emif_registerconfig.xlsm.bkup.xlsm']'step2-boarddetails'!$h$28</definedName>
    <definedName function="false" hidden="false" name="_tl_dqs1_mi_ch1_cs0" vbProcedure="false">['file:///ti/avataremiftools/docs/avatar_emif_registerconfig.xlsm.bkup.xlsm']'step2-boarddetails'!$g$29</definedName>
    <definedName function="false" hidden="false" name="_tl_dqs1_st_ch1_cs0" vbProcedure="false">['file:///ti/avataremiftools/docs/avatar_emif_registerconfig.xlsm.bkup.xlsm']'step2-boarddetails'!$h$29</definedName>
    <definedName function="false" hidden="false" name="_wrdqs_ratio0_ch1_cs1" vbProcedure="false">ROUND(((_t_dqss_brdskew_p0_ch1_cs1 + (_phy_invert_clk * 500000 / _ddr_pll_freq)) / _dll_res),0)</definedName>
    <definedName function="false" hidden="false" name="_t_dqss_brdskew_p0_ch1_cs1" vbProcedure="false">((_tl_clk_p0_mi_ch1_cs1*_prop_vel_microstrip) + (_tl_clk_p0_st_ch1_cs1*_prop_vel_stripline) - (_tl_dqs0_mi_ch1_cs1*_prop_vel_microstrip) - (_tl_dqs0_st_ch1_cs1*_prop_vel_stripline))/1000</definedName>
    <definedName function="false" hidden="false" name="_tl_clk_p0_mi_ch1_cs1" vbProcedure="false">['file:///ti/avataremiftools/docs/avatar_emif_registerconfig.xlsm.bkup.xlsm']'step2-boarddetails'!$e$38</definedName>
    <definedName function="false" hidden="false" name="_tl_clk_p0_st_ch1_cs1" vbProcedure="false">['file:///ti/avataremiftools/docs/avatar_emif_registerconfig.xlsm.bkup.xlsm']'step2-boarddetails'!$f$38</definedName>
    <definedName function="false" hidden="false" name="_tl_dqs0_mi_ch1_cs1" vbProcedure="false">['file:///ti/avataremiftools/docs/avatar_emif_registerconfig.xlsm.bkup.xlsm']'step2-boarddetails'!$e$39</definedName>
    <definedName function="false" hidden="false" name="_tl_dqs0_st_ch1_cs1" vbProcedure="false">['file:///ti/avataremiftools/docs/avatar_emif_registerconfig.xlsm.bkup.xlsm']'step2-boarddetails'!$f$39</definedName>
    <definedName function="false" hidden="false" name="_wrdqs_ratio0_ch1_cs0" vbProcedure="false">ROUND(((_t_dqss_brdskew_p0_ch1_cs0 + (_phy_invert_clk * 500000 / _ddr_pll_freq)) / _dll_res),0)</definedName>
    <definedName function="false" hidden="false" name="_t_dqss_brdskew_p0_ch1_cs0" vbProcedure="false">((_tl_clk_p0_mi_ch1_cs0*_prop_vel_microstrip) + (_tl_clk_p0_st_ch1_cs0*_prop_vel_stripline) - (_tl_dqs0_mi_ch1_cs0*_prop_vel_microstrip) - (_tl_dqs0_st_ch1_cs0*_prop_vel_stripline))/1000</definedName>
    <definedName function="false" hidden="false" name="_tl_clk_p0_mi_ch1_cs0" vbProcedure="false">['file:///ti/avataremiftools/docs/avatar_emif_registerconfig.xlsm.bkup.xlsm']'step2-boarddetails'!$e$28</definedName>
    <definedName function="false" hidden="false" name="_tl_clk_p0_st_ch1_cs0" vbProcedure="false">['file:///ti/avataremiftools/docs/avatar_emif_registerconfig.xlsm.bkup.xlsm']'step2-boarddetails'!$f$28</definedName>
    <definedName function="false" hidden="false" name="_tl_dqs0_mi_ch1_cs0" vbProcedure="false">['file:///ti/avataremiftools/docs/avatar_emif_registerconfig.xlsm.bkup.xlsm']'step2-boarddetails'!$e$29</definedName>
    <definedName function="false" hidden="false" name="_tl_dqs0_st_ch1_cs0" vbProcedure="false">['file:///ti/avataremiftools/docs/avatar_emif_registerconfig.xlsm.bkup.xlsm']'step2-boarddetails'!$f$29</definedName>
    <definedName function="false" hidden="false" name="_emif1_ext_phy_ctrl_11_val_vayu" vbProcedure="false">DEC2HEX(SUM(_rddqs_ratio4*2^16,_rddqs_ratio4),8)</definedName>
    <definedName function="false" hidden="false" name="_rddqs_ratio4" vbProcedure="false">_rddqs_ratio0</definedName>
    <definedName function="false" hidden="false" name="_emif1_ext_phy_ctrl_12_val_omap5" vbProcedure="false">DEC2HEX(TRUNC(SUM(_wrdqs_ratio3_ch1_cs0*2^30,_wrdqs_ratio2_ch1_cs1*2^20,_wrdqs_ratio2_ch1_cs0*2^10,_wrdqs_ratio1_ch1_cs1)/2^2)-(TRUNC(SUM(_wrdqs_ratio3_ch1_cs0*2^30,_wrdqs_ratio2_ch1_cs1*2^20,_wrdqs_ratio2_ch1_cs0*2^10,_wrdqs_ratio1_ch1_cs1)/2^34)*2^32),8)</definedName>
    <definedName function="false" hidden="false" name="_wrdqs_ratio2_ch1_cs1" vbProcedure="false">ROUND(((_t_dqss_brdskew_p2_ch1_cs1 + (_phy_invert_clk * 500000 / _ddr_pll_freq)) / _dll_res),0)</definedName>
    <definedName function="false" hidden="false" name="_t_dqss_brdskew_p2_ch1_cs1" vbProcedure="false">((_tl_clk_p2_mi_ch1_cs1*_prop_vel_microstrip) + (_tl_clk_p2_st_ch1_cs1*_prop_vel_stripline) - (_tl_dqs2_mi_ch1_cs1*_prop_vel_microstrip) - (_tl_dqs2_st_ch1_cs1*_prop_vel_stripline))/1000</definedName>
    <definedName function="false" hidden="false" name="_tl_clk_p2_mi_ch1_cs1" vbProcedure="false">['file:///ti/avataremiftools/docs/avatar_emif_registerconfig.xlsm.bkup.xlsm']'step2-boarddetails'!$i$38</definedName>
    <definedName function="false" hidden="false" name="_tl_clk_p2_st_ch1_cs1" vbProcedure="false">['file:///ti/avataremiftools/docs/avatar_emif_registerconfig.xlsm.bkup.xlsm']'step2-boarddetails'!$j$38</definedName>
    <definedName function="false" hidden="false" name="_tl_dqs2_mi_ch1_cs1" vbProcedure="false">['file:///ti/avataremiftools/docs/avatar_emif_registerconfig.xlsm.bkup.xlsm']'step2-boarddetails'!$i$39</definedName>
    <definedName function="false" hidden="false" name="_tl_dqs2_st_ch1_cs1" vbProcedure="false">['file:///ti/avataremiftools/docs/avatar_emif_registerconfig.xlsm.bkup.xlsm']'step2-boarddetails'!$j$39</definedName>
    <definedName function="false" hidden="false" name="_wrdqs_ratio2_ch1_cs0" vbProcedure="false">ROUND(((_t_dqss_brdskew_p2_ch1_cs0 + (_phy_invert_clk * 500000 / _ddr_pll_freq)) / _dll_res),0)</definedName>
    <definedName function="false" hidden="false" name="_t_dqss_brdskew_p2_ch1_cs0" vbProcedure="false">((_tl_clk_p2_mi_ch1_cs0*_prop_vel_microstrip) + (_tl_clk_p2_st_ch1_cs0*_prop_vel_stripline) - (_tl_dqs2_mi_ch1_cs0*_prop_vel_microstrip) - (_tl_dqs2_st_ch1_cs0*_prop_vel_stripline))/1000</definedName>
    <definedName function="false" hidden="false" name="_tl_clk_p2_mi_ch1_cs0" vbProcedure="false">['file:///ti/avataremiftools/docs/avatar_emif_registerconfig.xlsm.bkup.xlsm']'step2-boarddetails'!$i$28</definedName>
    <definedName function="false" hidden="false" name="_tl_clk_p2_st_ch1_cs0" vbProcedure="false">['file:///ti/avataremiftools/docs/avatar_emif_registerconfig.xlsm.bkup.xlsm']'step2-boarddetails'!$j$28</definedName>
    <definedName function="false" hidden="false" name="_tl_dqs2_mi_ch1_cs0" vbProcedure="false">['file:///ti/avataremiftools/docs/avatar_emif_registerconfig.xlsm.bkup.xlsm']'step2-boarddetails'!$i$29</definedName>
    <definedName function="false" hidden="false" name="_tl_dqs2_st_ch1_cs0" vbProcedure="false">['file:///ti/avataremiftools/docs/avatar_emif_registerconfig.xlsm.bkup.xlsm']'step2-boarddetails'!$j$29</definedName>
    <definedName function="false" hidden="false" name="_emif1_ext_phy_ctrl_12_val_vayu" vbProcedure="false">DEC2HEX(SUM(_wrdata_ratio0_ch1_cs1*2^16,_wrdata_ratio0_ch1_cs0),8)</definedName>
    <definedName function="false" hidden="false" name="_wrdata_ratio0_ch1_cs1" vbProcedure="false">_wrdqs_ratio0_ch1_cs1 + ROUND((250000 / _ddr_pll_freq / _dll_res),0)</definedName>
    <definedName function="false" hidden="false" name="_wrdata_ratio0_ch1_cs0" vbProcedure="false">_wrdqs_ratio0_ch1_cs0 + ROUND((250000 / _ddr_pll_freq / _dll_res),0)</definedName>
    <definedName function="false" hidden="false" name="_emif1_ext_phy_ctrl_13_val_omap5" vbProcedure="false">DEC2HEX(TRUNC(SUM(_wrdqs_ratio3_ch1_cs1*2^10,_wrdqs_ratio3_ch1_cs0)/2^4)-(TRUNC(SUM(_wrdqs_ratio3_ch1_cs1*2^10,_wrdqs_ratio3_ch1_cs0)/2^36)*2^32),8)</definedName>
    <definedName function="false" hidden="false" name="_emif1_ext_phy_ctrl_13_val_vayu" vbProcedure="false">DEC2HEX(SUM(_wrdata_ratio1_ch1_cs1*2^16,_wrdata_ratio1_ch1_cs0),8)</definedName>
    <definedName function="false" hidden="false" name="_wrdata_ratio1_ch1_cs1" vbProcedure="false">_wrdqs_ratio1_ch1_cs1 + ROUND((250000 / _ddr_pll_freq / _dll_res),0)</definedName>
    <definedName function="false" hidden="false" name="_wrdata_ratio1_ch1_cs0" vbProcedure="false">_wrdqs_ratio1_ch1_cs0 + ROUND((250000 / _ddr_pll_freq / _dll_res),0)</definedName>
    <definedName function="false" hidden="false" name="_emif1_ext_phy_ctrl_14_val_omap5" vbProcedure="false">DEC2HEX(SUM(_phy_rddqs_delay*2^24,_phy_fifowe_delay*2^12,_phy_ctrl_delay)-(TRUNC(SUM(_phy_rddqs_delay*2^24,_phy_fifowe_delay*2^12,_phy_ctrl_delay)/2^32)*2^32),8)</definedName>
    <definedName function="false" hidden="false" name="_phy_rddqs_delay" vbProcedure="false">128</definedName>
    <definedName function="false" hidden="false" name="_phy_fifowe_delay" vbProcedure="false">128</definedName>
    <definedName function="false" hidden="false" name="_phy_ctrl_delay" vbProcedure="false">128</definedName>
    <definedName function="false" hidden="false" name="_emif1_ext_phy_ctrl_14_val_vayu" vbProcedure="false">DEC2HEX(SUM(_wrdata_ratio2_ch1_cs1*2^16,_wrdata_ratio2_ch1_cs0),8)</definedName>
    <definedName function="false" hidden="false" name="_wrdata_ratio2_ch1_cs1" vbProcedure="false">_wrdqs_ratio2_ch1_cs1 + ROUND((250000 / _ddr_pll_freq / _dll_res),0)</definedName>
    <definedName function="false" hidden="false" name="_wrdata_ratio2_ch1_cs0" vbProcedure="false">_wrdqs_ratio2_ch1_cs0 + ROUND((250000 / _ddr_pll_freq / _dll_res),0)</definedName>
    <definedName function="false" hidden="false" name="_emif1_ext_phy_ctrl_15_val_omap5" vbProcedure="false">DEC2HEX(TRUNC(SUM(_phy_wrdata_delay*2^24,_phy_wrdqs_delay*2^12,_phy_rddqs_delay)/2^8),8)</definedName>
    <definedName function="false" hidden="false" name="_phy_wrdata_delay" vbProcedure="false">128</definedName>
    <definedName function="false" hidden="false" name="_phy_wrdqs_delay" vbProcedure="false">128</definedName>
    <definedName function="false" hidden="false" name="_emif1_ext_phy_ctrl_15_val_vayu" vbProcedure="false">DEC2HEX(SUM(_wrdata_ratio3_ch1_cs1*2^16,_wrdata_ratio3_ch1_cs0),8)</definedName>
    <definedName function="false" hidden="false" name="_emif1_ext_phy_ctrl_16_val_omap5" vbProcedure="false">DEC2HEX(SUM(_phy_dq_offset3*2^21,_phy_dq_offset2*2^14,_phy_dq_offset1*2^7,_phy_dq_offset0),8)</definedName>
    <definedName function="false" hidden="false" name="_phy_dq_offset3" vbProcedure="false">64</definedName>
    <definedName function="false" hidden="false" name="_phy_dq_offset2" vbProcedure="false">64</definedName>
    <definedName function="false" hidden="false" name="_phy_dq_offset1" vbProcedure="false">64</definedName>
    <definedName function="false" hidden="false" name="_phy_dq_offset0" vbProcedure="false">64</definedName>
    <definedName function="false" hidden="false" name="_emif1_ext_phy_ctrl_16_val_vayu" vbProcedure="false">DEC2HEX(SUM(_wrdata_ratio4_ch1_cs1*2^16,_wrdata_ratio4_ch1_cs0),8)</definedName>
    <definedName function="false" hidden="false" name="_wrdata_ratio4_ch1_cs1" vbProcedure="false">_wrdqs_ratio4_ch1_cs1 + ROUND((250000 / _ddr_pll_freq / _dll_res),0)</definedName>
    <definedName function="false" hidden="false" name="_wrdqs_ratio4_ch1_cs1" vbProcedure="false">ROUND(((_t_dqss_brdskew_p4_ch1_cs1 + (_phy_invert_clk * 500000 / _ddr_pll_freq)) / _dll_res),0)</definedName>
    <definedName function="false" hidden="false" name="_t_dqss_brdskew_p4_ch1_cs1" vbProcedure="false">((_tl_clk_p4_mi_ch1_cs1*_prop_vel_microstrip) + (_tl_clk_p4_st_ch1_cs1*_prop_vel_stripline) - (_tl_dqs4_mi_ch1_cs1*_prop_vel_microstrip) - (_tl_dqs4_st_ch1_cs1*_prop_vel_stripline))/1000</definedName>
    <definedName function="false" hidden="false" name="_tl_clk_p4_mi_ch1_cs1" vbProcedure="false">['file:///ti/avataremiftools/docs/avatar_emif_registerconfig.xlsm.bkup.xlsm']'step2-boarddetails'!$m$38</definedName>
    <definedName function="false" hidden="false" name="_tl_clk_p4_st_ch1_cs1" vbProcedure="false">['file:///ti/avataremiftools/docs/avatar_emif_registerconfig.xlsm.bkup.xlsm']'step2-boarddetails'!$n$38</definedName>
    <definedName function="false" hidden="false" name="_tl_dqs4_mi_ch1_cs1" vbProcedure="false">['file:///ti/avataremiftools/docs/avatar_emif_registerconfig.xlsm.bkup.xlsm']'step2-boarddetails'!$m$39</definedName>
    <definedName function="false" hidden="false" name="_tl_dqs4_st_ch1_cs1" vbProcedure="false">['file:///ti/avataremiftools/docs/avatar_emif_registerconfig.xlsm.bkup.xlsm']'step2-boarddetails'!$n$39</definedName>
    <definedName function="false" hidden="false" name="_wrdata_ratio4_ch1_cs0" vbProcedure="false">_wrdqs_ratio4_ch1_cs0 + ROUND((250000 / _ddr_pll_freq / _dll_res),0)</definedName>
    <definedName function="false" hidden="false" name="_wrdqs_ratio4_ch1_cs0" vbProcedure="false">ROUND(((_t_dqss_brdskew_p4_ch1_cs0 + (_phy_invert_clk * 500000 / _ddr_pll_freq)) / _dll_res),0)</definedName>
    <definedName function="false" hidden="false" name="_t_dqss_brdskew_p4_ch1_cs0" vbProcedure="false">((_tl_clk_p4_mi_ch1_cs0*_prop_vel_microstrip) + (_tl_clk_p4_st_ch1_cs0*_prop_vel_stripline) - (_tl_dqs4_mi_ch1_cs0*_prop_vel_microstrip) - (_tl_dqs4_st_ch1_cs0*_prop_vel_stripline))/1000</definedName>
    <definedName function="false" hidden="false" name="_tl_clk_p4_mi_ch1_cs0" vbProcedure="false">['file:///ti/avataremiftools/docs/avatar_emif_registerconfig.xlsm.bkup.xlsm']'step2-boarddetails'!$m$28</definedName>
    <definedName function="false" hidden="false" name="_tl_clk_p4_st_ch1_cs0" vbProcedure="false">['file:///ti/avataremiftools/docs/avatar_emif_registerconfig.xlsm.bkup.xlsm']'step2-boarddetails'!$n$28</definedName>
    <definedName function="false" hidden="false" name="_tl_dqs4_mi_ch1_cs0" vbProcedure="false">['file:///ti/avataremiftools/docs/avatar_emif_registerconfig.xlsm.bkup.xlsm']'step2-boarddetails'!$m$29</definedName>
    <definedName function="false" hidden="false" name="_tl_dqs4_st_ch1_cs0" vbProcedure="false">['file:///ti/avataremiftools/docs/avatar_emif_registerconfig.xlsm.bkup.xlsm']'step2-boarddetails'!$n$29</definedName>
    <definedName function="false" hidden="false" name="_emif1_ext_phy_ctrl_17_val_omap5" vbProcedure="false">DEC2HEX(SUM(_phy_gatelvl_init_mode*2^1,_phy_use_rank0_delays),8)</definedName>
    <definedName function="false" hidden="false" name="_phy_gatelvl_init_mode" vbProcedure="false">1</definedName>
    <definedName function="false" hidden="false" name="_phy_use_rank0_delays" vbProcedure="false">0</definedName>
    <definedName function="false" hidden="false" name="_emif1_ext_phy_ctrl_17_val_vayu" vbProcedure="false">DEC2HEX(SUM(_wrdqs_ratio0_ch1_cs1*2^16,_wrdqs_ratio0_ch1_cs0),8)</definedName>
    <definedName function="false" hidden="false" name="_emif1_ext_phy_ctrl_18_val_omap5" vbProcedure="false">DEC2HEX(SUM(_fifowe_init1_ch1_cs0*2^22,_fifowe_init0_ch1_cs1*2^11,_fifowe_init0_ch1_cs0)-(TRUNC(SUM(_fifowe_init1_ch1_cs0*2^22,_fifowe_init0_ch1_cs1*2^11,_fifowe_init0_ch1_cs0)/2^32)*2^32),8)</definedName>
    <definedName function="false" hidden="false" name="_fifowe_init1_ch1_cs0" vbProcedure="false">_fifowe_ratio1_ch1_cs0 - ROUND((125000 / _ddr_pll_freq / _dll_res),0)</definedName>
    <definedName function="false" hidden="false" name="_fifowe_ratio1_ch1_cs0" vbProcedure="false">ROUND(IF(_sdram_type="LPDDR2",4000/_dll_res,((_t_rdtrip_brddly_p1_ch1_cs0 + (333333 / _ddr_pll_freq) + (_phy_invert_clk * 500000 / _ddr_pll_freq)) / _dll_res)),0)</definedName>
    <definedName function="false" hidden="false" name="_t_rdtrip_brddly_p1_ch1_cs0" vbProcedure="false">((_tl_clk_p1_mi_ch1_cs0*_prop_vel_microstrip) + (_tl_clk_p1_st_ch1_cs0*_prop_vel_stripline) + (_tl_dqs1_mi_ch1_cs0*_prop_vel_microstrip) + (_tl_dqs1_st_ch1_cs0*_prop_vel_stripline))/1000</definedName>
    <definedName function="false" hidden="false" name="_fifowe_init0_ch1_cs1" vbProcedure="false">_fifowe_ratio0_ch1_cs1 - ROUND((125000 / _ddr_pll_freq / _dll_res),0)</definedName>
    <definedName function="false" hidden="false" name="_fifowe_ratio0_ch1_cs1" vbProcedure="false">ROUND(IF(_sdram_type="LPDDR2",4000/_dll_res,((_t_rdtrip_brddly_p0_ch1_cs1 + (333333 / _ddr_pll_freq) + (_phy_invert_clk * 500000 / _ddr_pll_freq)) / _dll_res)),0)</definedName>
    <definedName function="false" hidden="false" name="_t_rdtrip_brddly_p0_ch1_cs1" vbProcedure="false">((_tl_clk_p0_mi_ch1_cs1*_prop_vel_microstrip) + (_tl_clk_p0_st_ch1_cs1*_prop_vel_stripline) + (_tl_dqs0_mi_ch1_cs1*_prop_vel_microstrip) + (_tl_dqs0_st_ch1_cs1*_prop_vel_stripline))/1000</definedName>
    <definedName function="false" hidden="false" name="_fifowe_init0_ch1_cs0" vbProcedure="false">_fifowe_ratio0_ch1_cs0 - ROUND((125000 / _ddr_pll_freq / _dll_res),0)</definedName>
    <definedName function="false" hidden="false" name="_fifowe_ratio0_ch1_cs0" vbProcedure="false">ROUND(IF(_sdram_type="LPDDR2",4000/_dll_res,((_t_rdtrip_brddly_p0_ch1_cs0 + (333333 / _ddr_pll_freq) + (_phy_invert_clk * 500000 / _ddr_pll_freq)) / _dll_res)),0)</definedName>
    <definedName function="false" hidden="false" name="_t_rdtrip_brddly_p0_ch1_cs0" vbProcedure="false">((_tl_clk_p0_mi_ch1_cs0*_prop_vel_microstrip) + (_tl_clk_p0_st_ch1_cs0*_prop_vel_stripline) + (_tl_dqs0_mi_ch1_cs0*_prop_vel_microstrip) + (_tl_dqs0_st_ch1_cs0*_prop_vel_stripline))/1000</definedName>
    <definedName function="false" hidden="false" name="_emif1_ext_phy_ctrl_18_val_vayu" vbProcedure="false">DEC2HEX(SUM(_wrdqs_ratio1_ch1_cs1*2^16,_wrdqs_ratio1_ch1_cs0),8)</definedName>
    <definedName function="false" hidden="false" name="_emif1_ext_phy_ctrl_19_val_omap5" vbProcedure="false">DEC2HEX(TRUNC(SUM(_fifowe_init2_ch1_cs1*2^33,_fifowe_init2_ch1_cs0*2^22,_fifowe_init1_ch1_cs1*2^11,_fifowe_init1_ch1_cs0)/2^10)-(TRUNC(SUM(_fifowe_init2_ch1_cs1*2^33,_fifowe_init2_ch1_cs0*2^22,_fifowe_init1_ch1_cs1*2^11,_fifowe_init1_ch1_cs0)/2^42)*2^32),8)</definedName>
    <definedName function="false" hidden="false" name="_fifowe_init2_ch1_cs1" vbProcedure="false">_fifowe_ratio2_ch1_cs1 - ROUND((125000 / _ddr_pll_freq / _dll_res),0)</definedName>
    <definedName function="false" hidden="false" name="_fifowe_ratio2_ch1_cs1" vbProcedure="false">ROUND(IF(_sdram_type="LPDDR2",4000/_dll_res,((_t_rdtrip_brddly_p2_ch1_cs1 + (333333 / _ddr_pll_freq) + (_phy_invert_clk * 500000 / _ddr_pll_freq)) / _dll_res)),0)</definedName>
    <definedName function="false" hidden="false" name="_t_rdtrip_brddly_p2_ch1_cs1" vbProcedure="false">((_tl_clk_p2_mi_ch1_cs1*_prop_vel_microstrip) + (_tl_clk_p2_st_ch1_cs1*_prop_vel_stripline) + (_tl_dqs2_mi_ch1_cs1*_prop_vel_microstrip) + (_tl_dqs2_st_ch1_cs1*_prop_vel_stripline))/1000</definedName>
    <definedName function="false" hidden="false" name="_fifowe_init2_ch1_cs0" vbProcedure="false">_fifowe_ratio2_ch1_cs0 - ROUND((125000 / _ddr_pll_freq / _dll_res),0)</definedName>
    <definedName function="false" hidden="false" name="_fifowe_ratio2_ch1_cs0" vbProcedure="false">ROUND(IF(_sdram_type="LPDDR2",4000/_dll_res,((_t_rdtrip_brddly_p2_ch1_cs0 + (333333 / _ddr_pll_freq) + (_phy_invert_clk * 500000 / _ddr_pll_freq)) / _dll_res)),0)</definedName>
    <definedName function="false" hidden="false" name="_t_rdtrip_brddly_p2_ch1_cs0" vbProcedure="false">((_tl_clk_p2_mi_ch1_cs0*_prop_vel_microstrip) + (_tl_clk_p2_st_ch1_cs0*_prop_vel_stripline) + (_tl_dqs2_mi_ch1_cs0*_prop_vel_microstrip) + (_tl_dqs2_st_ch1_cs0*_prop_vel_stripline))/1000</definedName>
    <definedName function="false" hidden="false" name="_fifowe_init1_ch1_cs1" vbProcedure="false">_fifowe_ratio1_ch1_cs1 - ROUND((125000 / _ddr_pll_freq / _dll_res),0)</definedName>
    <definedName function="false" hidden="false" name="_fifowe_ratio1_ch1_cs1" vbProcedure="false">ROUND(IF(_sdram_type="LPDDR2",4000/_dll_res,((_t_rdtrip_brddly_p1_ch1_cs1 + (333333 / _ddr_pll_freq) + (_phy_invert_clk * 500000 / _ddr_pll_freq)) / _dll_res)),0)</definedName>
    <definedName function="false" hidden="false" name="_t_rdtrip_brddly_p1_ch1_cs1" vbProcedure="false">((_tl_clk_p1_mi_ch1_cs1*_prop_vel_microstrip) + (_tl_clk_p1_st_ch1_cs1*_prop_vel_stripline) + (_tl_dqs1_mi_ch1_cs1*_prop_vel_microstrip) + (_tl_dqs1_st_ch1_cs1*_prop_vel_stripline))/1000</definedName>
    <definedName function="false" hidden="false" name="_emif1_ext_phy_ctrl_19_val_vayu" vbProcedure="false">DEC2HEX(SUM(_wrdqs_ratio2_ch1_cs1*2^16,_wrdqs_ratio2_ch1_cs0),8)</definedName>
    <definedName function="false" hidden="false" name="_emif1_ext_phy_ctrl_1_val_omap5" vbProcedure="false">DEC2HEX(SUM(_ctrl_ratio2*2^20,_ctrl_ratio1*2^10,_ctrl_ratio0),8)</definedName>
    <definedName function="false" hidden="false" name="_emif1_ext_phy_ctrl_1_val_vayu" vbProcedure="false">DEC2HEX(SUM(_ctrl_ratio2*2^20,_ctrl_ratio1*2^10,_ctrl_ratio0),8)</definedName>
    <definedName function="false" hidden="false" name="_emif1_ext_phy_ctrl_20_val_omap5" vbProcedure="false">DEC2HEX(TRUNC(SUM(_fifowe_init3_ch1_cs1*2^22,_fifowe_init3_ch1_cs0*2^11,_fifowe_init2_ch1_cs1)/2^9)-(TRUNC(SUM(_fifowe_init3_ch1_cs1*2^22,_fifowe_init3_ch1_cs0*2^11,_fifowe_init2_ch1_cs1)/2^41)*2^32),8)</definedName>
    <definedName function="false" hidden="false" name="_fifowe_init3_ch1_cs1" vbProcedure="false">_fifowe_ratio3_ch1_cs1 - ROUND((125000 / _ddr_pll_freq / _dll_res),0)</definedName>
    <definedName function="false" hidden="false" name="_fifowe_ratio3_ch1_cs1" vbProcedure="false">ROUND(IF(_sdram_type="LPDDR2",4000/_dll_res,((_t_rdtrip_brddly_p3_ch1_cs1 + (333333 / _ddr_pll_freq) + (_phy_invert_clk * 500000 / _ddr_pll_freq)) / _dll_res)),0)</definedName>
    <definedName function="false" hidden="false" name="_t_rdtrip_brddly_p3_ch1_cs1" vbProcedure="false">((_tl_clk_p3_mi_ch1_cs1*_prop_vel_microstrip) + (_tl_clk_p3_st_ch1_cs1*_prop_vel_stripline) + (_tl_dqs3_mi_ch1_cs1*_prop_vel_microstrip) + (_tl_dqs3_st_ch1_cs1*_prop_vel_stripline))/1000</definedName>
    <definedName function="false" hidden="false" name="_fifowe_init3_ch1_cs0" vbProcedure="false">_fifowe_ratio3_ch1_cs0 - ROUND((125000 / _ddr_pll_freq / _dll_res),0)</definedName>
    <definedName function="false" hidden="false" name="_fifowe_ratio3_ch1_cs0" vbProcedure="false">ROUND(IF(_sdram_type="LPDDR2",4000/_dll_res,((_t_rdtrip_brddly_p3_ch1_cs0 + (333333 / _ddr_pll_freq) + (_phy_invert_clk * 500000 / _ddr_pll_freq)) / _dll_res)),0)</definedName>
    <definedName function="false" hidden="false" name="_t_rdtrip_brddly_p3_ch1_cs0" vbProcedure="false">((_tl_clk_p3_mi_ch1_cs0*_prop_vel_microstrip) + (_tl_clk_p3_st_ch1_cs0*_prop_vel_stripline) + (_tl_dqs3_mi_ch1_cs0*_prop_vel_microstrip) + (_tl_dqs3_st_ch1_cs0*_prop_vel_stripline))/1000</definedName>
    <definedName function="false" hidden="false" name="_emif1_ext_phy_ctrl_20_val_vayu" vbProcedure="false">DEC2HEX(SUM(_wrdqs_ratio3_ch1_cs1*2^16,_wrdqs_ratio3_ch1_cs0),8)</definedName>
    <definedName function="false" hidden="false" name="_emif1_ext_phy_ctrl_21_val_omap5" vbProcedure="false">DEC2HEX(SUM(_wrdqs_init1_ch1_cs1*2^30,_wrdqs_init1_ch1_cs0*2^20,_wrdqs_init0_ch1_cs1*2^10,_wrdqs_init0_ch1_cs0)-(TRUNC(SUM(_wrdqs_init1_ch1_cs1*2^30,_wrdqs_init1_ch1_cs0*2^20,_wrdqs_init0_ch1_cs1*2^10,_wrdqs_init0_ch1_cs0)/2^32)*2^32),8)</definedName>
    <definedName function="false" hidden="false" name="_wrdqs_init1_ch1_cs1" vbProcedure="false">MAX(_wrdqs_ratio1_ch1_cs1 - ROUND((125000 / _ddr_pll_freq / _dll_res),0),0)</definedName>
    <definedName function="false" hidden="false" name="_wrdqs_init1_ch1_cs0" vbProcedure="false">MAX(_wrdqs_ratio1_ch1_cs0 - ROUND((125000 / _ddr_pll_freq / _dll_res),0),0)</definedName>
    <definedName function="false" hidden="false" name="_wrdqs_init0_ch1_cs1" vbProcedure="false">MAX(_wrdqs_ratio0_ch1_cs1 - ROUND((125000 / _ddr_pll_freq / _dll_res),0),0)</definedName>
    <definedName function="false" hidden="false" name="_wrdqs_init0_ch1_cs0" vbProcedure="false">MAX(_wrdqs_ratio0_ch1_cs0 - ROUND((125000 / _ddr_pll_freq / _dll_res),0),0)</definedName>
    <definedName function="false" hidden="false" name="_emif1_ext_phy_ctrl_21_val_vayu" vbProcedure="false">DEC2HEX(SUM(_wrdqs_ratio4_ch1_cs1*2^16,_wrdqs_ratio4_ch1_cs0),8)</definedName>
    <definedName function="false" hidden="false" name="_emif1_ext_phy_ctrl_22_val_omap5" vbProcedure="false">DEC2HEX(TRUNC(SUM(_wrdqs_init3_ch1_cs0*2^30,_wrdqs_init2_ch1_cs1*2^20,_wrdqs_init2_ch1_cs0*2^10,_wrdqs_init1_ch1_cs1)/2^2)-(TRUNC(SUM(_wrdqs_init3_ch1_cs0*2^30,_wrdqs_init2_ch1_cs1*2^20,_wrdqs_init2_ch1_cs0*2^10,_wrdqs_init1_ch1_cs1)/2^34)*2^32),8)</definedName>
    <definedName function="false" hidden="false" name="_wrdqs_init3_ch1_cs0" vbProcedure="false">MAX(_wrdqs_ratio3_ch1_cs0 - ROUND((125000 / _ddr_pll_freq / _dll_res),0),0)</definedName>
    <definedName function="false" hidden="false" name="_wrdqs_init2_ch1_cs1" vbProcedure="false">MAX(_wrdqs_ratio2_ch1_cs1 - ROUND((125000 / _ddr_pll_freq / _dll_res),0),0)</definedName>
    <definedName function="false" hidden="false" name="_wrdqs_init2_ch1_cs0" vbProcedure="false">MAX(_wrdqs_ratio2_ch1_cs0 - ROUND((125000 / _ddr_pll_freq / _dll_res),0),0)</definedName>
    <definedName function="false" hidden="false" name="_emif1_ext_phy_ctrl_22_val_vayu" vbProcedure="false">DEC2HEX(SUM(_phy_fifowe_delay*2^16,_phy_ctrl_delay),8)</definedName>
    <definedName function="false" hidden="false" name="_emif1_ext_phy_ctrl_23_val_omap5" vbProcedure="false">DEC2HEX(TRUNC(SUM(_wrdqs_init3_ch1_cs1*2^10,_wrdqs_init3_ch1_cs0)/2^4)-(TRUNC(SUM(_wrdqs_init3_ch1_cs1*2^10,_wrdqs_init3_ch1_cs0)/2^36)*2^32),8)</definedName>
    <definedName function="false" hidden="false" name="_wrdqs_init3_ch1_cs1" vbProcedure="false">MAX(_wrdqs_ratio3_ch1_cs1 - ROUND((125000 / _ddr_pll_freq / _dll_res),0),0)</definedName>
    <definedName function="false" hidden="false" name="_emif1_ext_phy_ctrl_23_val_vayu" vbProcedure="false">DEC2HEX(SUM(_phy_wrdqs_delay*2^16,_phy_rddqs_delay),8)</definedName>
    <definedName function="false" hidden="false" name="_emif1_ext_phy_ctrl_24_val_omap5" vbProcedure="false">DEC2HEX(SUM(_phy_wrlvl_num_dq0*2^4,_phy_gatelvl_num_dq0),8)</definedName>
    <definedName function="false" hidden="false" name="_phy_wrlvl_num_dq0" vbProcedure="false">7</definedName>
    <definedName function="false" hidden="false" name="_phy_gatelvl_num_dq0" vbProcedure="false">7</definedName>
    <definedName function="false" hidden="false" name="_emif1_ext_phy_ctrl_24_val_vayu" vbProcedure="false">DEC2HEX(SUM(_phy_dq_offset4*2^24,_phy_gatelvl_init_mode*2^16,_phy_use_rank0_delays*2^12,_phy_wrdata_delay),8)</definedName>
    <definedName function="false" hidden="false" name="_phy_dq_offset4" vbProcedure="false">64</definedName>
    <definedName function="false" hidden="false" name="_emif1_ext_phy_ctrl_2_val_omap5" vbProcedure="false">DEC2HEX(SUM(_fifowe_ratio1_ch1_cs0*2^22,_fifowe_ratio0_ch1_cs1*2^11,_fifowe_ratio0_ch1_cs0)-(TRUNC(SUM(_fifowe_ratio1_ch1_cs0*2^22,_fifowe_ratio0_ch1_cs1*2^11,_fifowe_ratio0_ch1_cs0)/2^32)*2^32),8)</definedName>
    <definedName function="false" hidden="false" name="_emif1_ext_phy_ctrl_2_val_vayu" vbProcedure="false">DEC2HEX(SUM(_fifowe_ratio0_ch1_cs1*2^16,_fifowe_ratio0_ch1_cs0),8)</definedName>
    <definedName function="false" hidden="false" name="_emif1_ext_phy_ctrl_3_val_omap5" vbProcedure="false">DEC2HEX(TRUNC(SUM(_fifowe_ratio2_ch1_cs1*2^33,_fifowe_ratio2_ch1_cs0*2^22,_fifowe_ratio1_ch1_cs1*2^11,_fifowe_ratio1_ch1_cs0)/2^10)-(TRUNC(SUM(_fifowe_ratio2_ch1_cs1*2^33,_fifowe_ratio2_ch1_cs0*2^22,_fifowe_ratio1_ch1_cs1*2^11,_fifowe_ratio1_ch1_cs0)/2^42)*2^32),8)</definedName>
    <definedName function="false" hidden="false" name="_emif1_ext_phy_ctrl_3_val_vayu" vbProcedure="false">DEC2HEX(SUM(_fifowe_ratio1_ch1_cs1*2^16,_fifowe_ratio1_ch1_cs0),8)</definedName>
    <definedName function="false" hidden="false" name="_emif1_ext_phy_ctrl_4_val_omap5" vbProcedure="false">DEC2HEX(TRUNC(SUM(_fifowe_ratio3_ch1_cs1*2^22,_fifowe_ratio3_ch1_cs0*2^11,_fifowe_ratio2_ch1_cs1)/2^9)-(TRUNC(SUM(_fifowe_ratio3_ch1_cs1*2^22,_fifowe_ratio3_ch1_cs0*2^11,_fifowe_ratio2_ch1_cs1)/2^41)*2^32),8)</definedName>
    <definedName function="false" hidden="false" name="_emif1_ext_phy_ctrl_4_val_vayu" vbProcedure="false">DEC2HEX(SUM(_fifowe_ratio2_ch1_cs1*2^16,_fifowe_ratio2_ch1_cs0),8)</definedName>
    <definedName function="false" hidden="false" name="_emif1_ext_phy_ctrl_5_val_omap5" vbProcedure="false">DEC2HEX(SUM(_rddqs_ratio1*2^30,_rddqs_ratio1*2^20,_rddqs_ratio0*2^10,_rddqs_ratio0)-(TRUNC(SUM(_rddqs_ratio1*2^30,_rddqs_ratio1*2^20,_rddqs_ratio0*2^10,_rddqs_ratio0)/2^32)*2^32),8)</definedName>
    <definedName function="false" hidden="false" name="_rddqs_ratio1" vbProcedure="false">_rddqs_ratio0</definedName>
    <definedName function="false" hidden="false" name="_emif1_ext_phy_ctrl_5_val_vayu" vbProcedure="false">DEC2HEX(SUM(_fifowe_ratio3_ch1_cs1*2^16,_fifowe_ratio3_ch1_cs0),8)</definedName>
    <definedName function="false" hidden="false" name="_emif1_ext_phy_ctrl_6_val_omap5" vbProcedure="false">DEC2HEX(TRUNC(SUM(_rddqs_ratio3*2^30,_rddqs_ratio2*2^20,_rddqs_ratio2*2^10,_rddqs_ratio1)/2^2)-(TRUNC(SUM(_rddqs_ratio3*2^30,_rddqs_ratio2*2^20,_rddqs_ratio2*2^10,_rddqs_ratio1)/2^34)*2^32),8)</definedName>
    <definedName function="false" hidden="false" name="_rddqs_ratio2" vbProcedure="false">_rddqs_ratio0</definedName>
    <definedName function="false" hidden="false" name="_emif1_ext_phy_ctrl_6_val_vayu" vbProcedure="false">DEC2HEX(SUM(_fifowe_ratio4_ch1_cs1*2^16,_fifowe_ratio4_ch1_cs0),8)</definedName>
    <definedName function="false" hidden="false" name="_fifowe_ratio4_ch1_cs1" vbProcedure="false">ROUND(IF(_sdram_type="LPDDR2",4000/_dll_res,((_t_rdtrip_brddly_p4_ch1_cs1 + (333333 / _ddr_pll_freq) + (_phy_invert_clk * 500000 / _ddr_pll_freq)) / _dll_res)),0)</definedName>
    <definedName function="false" hidden="false" name="_t_rdtrip_brddly_p4_ch1_cs1" vbProcedure="false">((_tl_clk_p4_mi_ch1_cs1*_prop_vel_microstrip) + (_tl_clk_p4_st_ch1_cs1*_prop_vel_stripline) + (_tl_dqs4_mi_ch1_cs1*_prop_vel_microstrip) + (_tl_dqs4_st_ch1_cs1*_prop_vel_stripline))/1000</definedName>
    <definedName function="false" hidden="false" name="_fifowe_ratio4_ch1_cs0" vbProcedure="false">ROUND(IF(_sdram_type="LPDDR2",4000/_dll_res,((_t_rdtrip_brddly_p4_ch1_cs0 + (333333 / _ddr_pll_freq) + (_phy_invert_clk * 500000 / _ddr_pll_freq)) / _dll_res)),0)</definedName>
    <definedName function="false" hidden="false" name="_t_rdtrip_brddly_p4_ch1_cs0" vbProcedure="false">((_tl_clk_p4_mi_ch1_cs0*_prop_vel_microstrip) + (_tl_clk_p4_st_ch1_cs0*_prop_vel_stripline) + (_tl_dqs4_mi_ch1_cs0*_prop_vel_microstrip) + (_tl_dqs4_st_ch1_cs0*_prop_vel_stripline))/1000</definedName>
    <definedName function="false" hidden="false" name="_emif1_ext_phy_ctrl_7_val_omap5" vbProcedure="false">DEC2HEX(TRUNC(SUM(_rddqs_ratio3*2^10,_rddqs_ratio3)/2^4)-(TRUNC(SUM(_rddqs_ratio3*2^10,_rddqs_ratio3)/2^36)*2^32),8)</definedName>
    <definedName function="false" hidden="false" name="_emif1_ext_phy_ctrl_7_val_vayu" vbProcedure="false">DEC2HEX(SUM(_rddqs_ratio0*2^16,_rddqs_ratio0),8)</definedName>
    <definedName function="false" hidden="false" name="_emif1_ext_phy_ctrl_8_val_omap5" vbProcedure="false">DEC2HEX(SUM(_wrdata_ratio1_ch1_cs1*2^30,_wrdata_ratio1_ch1_cs0*2^20,_wrdata_ratio0_ch1_cs1*2^10,_wrdata_ratio0_ch1_cs0)-(TRUNC(SUM(_wrdata_ratio1_ch1_cs1*2^30,_wrdata_ratio1_ch1_cs0*2^20,_wrdata_ratio0_ch1_cs1*2^10,_wrdata_ratio0_ch1_cs0)/2^32)*2^32),8)</definedName>
    <definedName function="false" hidden="false" name="_emif1_ext_phy_ctrl_8_val_vayu" vbProcedure="false">DEC2HEX(SUM(_rddqs_ratio1*2^16,_rddqs_ratio1),8)</definedName>
    <definedName function="false" hidden="false" name="_emif1_ext_phy_ctrl_9_val_omap5" vbProcedure="false">DEC2HEX(TRUNC(SUM(_wrdata_ratio3_ch1_cs0*2^30,_wrdata_ratio2_ch1_cs1*2^20,_wrdata_ratio2_ch1_cs0*2^10,_wrdata_ratio1_ch1_cs1)/2^2)-(TRUNC(SUM(_wrdata_ratio3_ch1_cs0*2^30,_wrdata_ratio2_ch1_cs1*2^20,_wrdata_ratio2_ch1_cs0*2^10,_wrdata_ratio1_ch1_cs1)/2^34)*2^32),8)</definedName>
    <definedName function="false" hidden="false" name="_emif1_ext_phy_ctrl_9_val_vayu" vbProcedure="false">DEC2HEX(SUM(_rddqs_ratio2*2^16,_rddqs_ratio2),8)</definedName>
    <definedName function="false" hidden="false" name="_EMIF2_EXT_PHY_CTRL_10_VAL" vbProcedure="false">CHOOSE(MATCH('title-readme'!_soc_name,'title-readme'!_soc_names,0),_emif2_ext_phy_ctrl_10_val_omap5,_emif2_ext_phy_ctrl_10_val_vayu,_emif2_ext_phy_ctrl_10_val_vayu,_emif2_ext_phy_ctrl_10_val_vayu)</definedName>
    <definedName function="false" hidden="false" name="_emif2_ext_phy_ctrl_10_val_omap5" vbProcedure="false">DEC2HEX(TRUNC(SUM(_wrdata_ratio3_ch2_cs1*2^10,_wrdata_ratio3_ch2_cs0)/2^4)-(TRUNC(SUM(_wrdata_ratio3_ch2_cs1*2^10,_wrdata_ratio3_ch2_cs0)/2^36)*2^32),8)</definedName>
    <definedName function="false" hidden="false" name="_wrdata_ratio3_ch2_cs1" vbProcedure="false">_wrdqs_ratio3_ch2_cs1 + ROUND((250000 / _ddr_pll_freq / _dll_res),0)</definedName>
    <definedName function="false" hidden="false" name="_wrdqs_ratio3_ch2_cs1" vbProcedure="false">ROUND(((_t_dqss_brdskew_p3_ch2_cs1 + (_phy_invert_clk * 500000 / _ddr_pll_freq)) / _dll_res),0)</definedName>
    <definedName function="false" hidden="false" name="_t_dqss_brdskew_p3_ch2_cs1" vbProcedure="false">((_tl_clk_p3_mi_ch2_cs1*_prop_vel_microstrip) + (_tl_clk_p3_st_ch2_cs1*_prop_vel_stripline) - (_tl_dqs3_mi_ch2_cs1*_prop_vel_microstrip) - (_tl_dqs3_st_ch2_cs1*_prop_vel_stripline))/1000</definedName>
    <definedName function="false" hidden="false" name="_tl_clk_p3_mi_ch2_cs1" vbProcedure="false">['file:///ti/avataremiftools/docs/avatar_emif_registerconfig.xlsm.bkup.xlsm']'step2-boarddetails'!$k$58</definedName>
    <definedName function="false" hidden="false" name="_tl_clk_p3_st_ch2_cs1" vbProcedure="false">['file:///ti/avataremiftools/docs/avatar_emif_registerconfig.xlsm.bkup.xlsm']'step2-boarddetails'!$l$58</definedName>
    <definedName function="false" hidden="false" name="_tl_dqs3_mi_ch2_cs1" vbProcedure="false">['file:///ti/avataremiftools/docs/avatar_emif_registerconfig.xlsm.bkup.xlsm']'step2-boarddetails'!$k$59</definedName>
    <definedName function="false" hidden="false" name="_tl_dqs3_st_ch2_cs1" vbProcedure="false">['file:///ti/avataremiftools/docs/avatar_emif_registerconfig.xlsm.bkup.xlsm']'step2-boarddetails'!$l$59</definedName>
    <definedName function="false" hidden="false" name="_wrdata_ratio3_ch2_cs0" vbProcedure="false">_wrdqs_ratio3_ch2_cs0 + ROUND((250000 / _ddr_pll_freq / _dll_res),0)</definedName>
    <definedName function="false" hidden="false" name="_wrdqs_ratio3_ch2_cs0" vbProcedure="false">ROUND(((_t_dqss_brdskew_p3_ch2_cs0 + (_phy_invert_clk * 500000 / _ddr_pll_freq)) / _dll_res),0)</definedName>
    <definedName function="false" hidden="false" name="_t_dqss_brdskew_p3_ch2_cs0" vbProcedure="false">((_tl_clk_p3_mi_ch2_cs0*_prop_vel_microstrip) + (_tl_clk_p3_st_ch2_cs0*_prop_vel_stripline) - (_tl_dqs3_mi_ch2_cs0*_prop_vel_microstrip) - (_tl_dqs3_st_ch2_cs0*_prop_vel_stripline))/1000</definedName>
    <definedName function="false" hidden="false" name="_tl_clk_p3_mi_ch2_cs0" vbProcedure="false">['file:///ti/avataremiftools/docs/avatar_emif_registerconfig.xlsm.bkup.xlsm']'step2-boarddetails'!$k$48</definedName>
    <definedName function="false" hidden="false" name="_tl_clk_p3_st_ch2_cs0" vbProcedure="false">['file:///ti/avataremiftools/docs/avatar_emif_registerconfig.xlsm.bkup.xlsm']'step2-boarddetails'!$l$48</definedName>
    <definedName function="false" hidden="false" name="_tl_dqs3_mi_ch2_cs0" vbProcedure="false">['file:///ti/avataremiftools/docs/avatar_emif_registerconfig.xlsm.bkup.xlsm']'step2-boarddetails'!$k$49</definedName>
    <definedName function="false" hidden="false" name="_tl_dqs3_st_ch2_cs0" vbProcedure="false">['file:///ti/avataremiftools/docs/avatar_emif_registerconfig.xlsm.bkup.xlsm']'step2-boarddetails'!$l$49</definedName>
    <definedName function="false" hidden="false" name="_emif2_ext_phy_ctrl_10_val_vayu" vbProcedure="false">DEC2HEX(SUM(_rddqs_ratio3*2^16,_rddqs_ratio3),8)</definedName>
    <definedName function="false" hidden="false" name="_EMIF2_EXT_PHY_CTRL_11_VAL" vbProcedure="false">CHOOSE(MATCH('title-readme'!_soc_name,'title-readme'!_soc_names,0),_emif2_ext_phy_ctrl_11_val_omap5,_emif2_ext_phy_ctrl_11_val_vayu,_emif2_ext_phy_ctrl_11_val_vayu,_emif2_ext_phy_ctrl_11_val_vayu)</definedName>
    <definedName function="false" hidden="false" name="_emif2_ext_phy_ctrl_11_val_omap5" vbProcedure="false">DEC2HEX(SUM(_wrdqs_ratio1_ch2_cs1*2^30,_wrdqs_ratio1_ch2_cs0*2^20,_wrdqs_ratio0_ch2_cs1*2^10,_wrdqs_ratio0_ch2_cs0)-(TRUNC(SUM(_wrdqs_ratio1_ch2_cs1*2^30,_wrdqs_ratio1_ch2_cs0*2^20,_wrdqs_ratio0_ch2_cs1*2^10,_wrdqs_ratio0_ch2_cs0)/2^32)*2^32),8)</definedName>
    <definedName function="false" hidden="false" name="_wrdqs_ratio1_ch2_cs1" vbProcedure="false">ROUND(((_t_dqss_brdskew_p1_ch2_cs1 + (_phy_invert_clk * 500000 / _ddr_pll_freq)) / _dll_res),0)</definedName>
    <definedName function="false" hidden="false" name="_t_dqss_brdskew_p1_ch2_cs1" vbProcedure="false">((_tl_clk_p1_mi_ch2_cs1*_prop_vel_microstrip) + (_tl_clk_p1_st_ch2_cs1*_prop_vel_stripline) - (_tl_dqs1_mi_ch2_cs1*_prop_vel_microstrip) - (_tl_dqs1_st_ch2_cs1*_prop_vel_stripline))/1000</definedName>
    <definedName function="false" hidden="false" name="_tl_clk_p1_mi_ch2_cs1" vbProcedure="false">['file:///ti/avataremiftools/docs/avatar_emif_registerconfig.xlsm.bkup.xlsm']'step2-boarddetails'!$g$58</definedName>
    <definedName function="false" hidden="false" name="_tl_clk_p1_st_ch2_cs1" vbProcedure="false">['file:///ti/avataremiftools/docs/avatar_emif_registerconfig.xlsm.bkup.xlsm']'step2-boarddetails'!$h$58</definedName>
    <definedName function="false" hidden="false" name="_tl_dqs1_mi_ch2_cs1" vbProcedure="false">['file:///ti/avataremiftools/docs/avatar_emif_registerconfig.xlsm.bkup.xlsm']'step2-boarddetails'!$g$59</definedName>
    <definedName function="false" hidden="false" name="_tl_dqs1_st_ch2_cs1" vbProcedure="false">['file:///ti/avataremiftools/docs/avatar_emif_registerconfig.xlsm.bkup.xlsm']'step2-boarddetails'!$h$59</definedName>
    <definedName function="false" hidden="false" name="_wrdqs_ratio1_ch2_cs0" vbProcedure="false">ROUND(((_t_dqss_brdskew_p1_ch2_cs0 + (_phy_invert_clk * 500000 / _ddr_pll_freq)) / _dll_res),0)</definedName>
    <definedName function="false" hidden="false" name="_t_dqss_brdskew_p1_ch2_cs0" vbProcedure="false">((_tl_clk_p1_mi_ch2_cs0*_prop_vel_microstrip) + (_tl_clk_p1_st_ch2_cs0*_prop_vel_stripline) - (_tl_dqs1_mi_ch2_cs0*_prop_vel_microstrip) - (_tl_dqs1_st_ch2_cs0*_prop_vel_stripline))/1000</definedName>
    <definedName function="false" hidden="false" name="_tl_clk_p1_mi_ch2_cs0" vbProcedure="false">['file:///ti/avataremiftools/docs/avatar_emif_registerconfig.xlsm.bkup.xlsm']'step2-boarddetails'!$g$48</definedName>
    <definedName function="false" hidden="false" name="_tl_clk_p1_st_ch2_cs0" vbProcedure="false">['file:///ti/avataremiftools/docs/avatar_emif_registerconfig.xlsm.bkup.xlsm']'step2-boarddetails'!$h$48</definedName>
    <definedName function="false" hidden="false" name="_tl_dqs1_mi_ch2_cs0" vbProcedure="false">['file:///ti/avataremiftools/docs/avatar_emif_registerconfig.xlsm.bkup.xlsm']'step2-boarddetails'!$g$49</definedName>
    <definedName function="false" hidden="false" name="_tl_dqs1_st_ch2_cs0" vbProcedure="false">['file:///ti/avataremiftools/docs/avatar_emif_registerconfig.xlsm.bkup.xlsm']'step2-boarddetails'!$h$49</definedName>
    <definedName function="false" hidden="false" name="_wrdqs_ratio0_ch2_cs1" vbProcedure="false">ROUND(((_t_dqss_brdskew_p0_ch2_cs1 + (_phy_invert_clk * 500000 / _ddr_pll_freq)) / _dll_res),0)</definedName>
    <definedName function="false" hidden="false" name="_t_dqss_brdskew_p0_ch2_cs1" vbProcedure="false">((_tl_clk_p0_mi_ch2_cs1*_prop_vel_microstrip) + (_tl_clk_p0_st_ch2_cs1*_prop_vel_stripline) - (_tl_dqs0_mi_ch2_cs1*_prop_vel_microstrip) - (_tl_dqs0_st_ch2_cs1*_prop_vel_stripline))/1000</definedName>
    <definedName function="false" hidden="false" name="_tl_clk_p0_mi_ch2_cs1" vbProcedure="false">['file:///ti/avataremiftools/docs/avatar_emif_registerconfig.xlsm.bkup.xlsm']'step2-boarddetails'!$e$58</definedName>
    <definedName function="false" hidden="false" name="_tl_clk_p0_st_ch2_cs1" vbProcedure="false">['file:///ti/avataremiftools/docs/avatar_emif_registerconfig.xlsm.bkup.xlsm']'step2-boarddetails'!$f$58</definedName>
    <definedName function="false" hidden="false" name="_tl_dqs0_mi_ch2_cs1" vbProcedure="false">['file:///ti/avataremiftools/docs/avatar_emif_registerconfig.xlsm.bkup.xlsm']'step2-boarddetails'!$e$59</definedName>
    <definedName function="false" hidden="false" name="_tl_dqs0_st_ch2_cs1" vbProcedure="false">['file:///ti/avataremiftools/docs/avatar_emif_registerconfig.xlsm.bkup.xlsm']'step2-boarddetails'!$f$59</definedName>
    <definedName function="false" hidden="false" name="_wrdqs_ratio0_ch2_cs0" vbProcedure="false">ROUND(((_t_dqss_brdskew_p0_ch2_cs0 + (_phy_invert_clk * 500000 / _ddr_pll_freq)) / _dll_res),0)</definedName>
    <definedName function="false" hidden="false" name="_t_dqss_brdskew_p0_ch2_cs0" vbProcedure="false">((_tl_clk_p0_mi_ch2_cs0*_prop_vel_microstrip) + (_tl_clk_p0_st_ch2_cs0*_prop_vel_stripline) - (_tl_dqs0_mi_ch2_cs0*_prop_vel_microstrip) - (_tl_dqs0_st_ch2_cs0*_prop_vel_stripline))/1000</definedName>
    <definedName function="false" hidden="false" name="_tl_clk_p0_mi_ch2_cs0" vbProcedure="false">['file:///ti/avataremiftools/docs/avatar_emif_registerconfig.xlsm.bkup.xlsm']'step2-boarddetails'!$e$48</definedName>
    <definedName function="false" hidden="false" name="_tl_clk_p0_st_ch2_cs0" vbProcedure="false">['file:///ti/avataremiftools/docs/avatar_emif_registerconfig.xlsm.bkup.xlsm']'step2-boarddetails'!$f$48</definedName>
    <definedName function="false" hidden="false" name="_tl_dqs0_mi_ch2_cs0" vbProcedure="false">['file:///ti/avataremiftools/docs/avatar_emif_registerconfig.xlsm.bkup.xlsm']'step2-boarddetails'!$e$49</definedName>
    <definedName function="false" hidden="false" name="_tl_dqs0_st_ch2_cs0" vbProcedure="false">['file:///ti/avataremiftools/docs/avatar_emif_registerconfig.xlsm.bkup.xlsm']'step2-boarddetails'!$f$49</definedName>
    <definedName function="false" hidden="false" name="_emif2_ext_phy_ctrl_11_val_vayu" vbProcedure="false">DEC2HEX(SUM(_rddqs_ratio4*2^16,_rddqs_ratio4),8)</definedName>
    <definedName function="false" hidden="false" name="_EMIF2_EXT_PHY_CTRL_12_VAL" vbProcedure="false">CHOOSE(MATCH('title-readme'!_soc_name,'title-readme'!_soc_names,0),_emif2_ext_phy_ctrl_12_val_omap5,_emif2_ext_phy_ctrl_12_val_vayu,_emif2_ext_phy_ctrl_12_val_vayu,_emif2_ext_phy_ctrl_12_val_vayu)</definedName>
    <definedName function="false" hidden="false" name="_emif2_ext_phy_ctrl_12_val_omap5" vbProcedure="false">DEC2HEX(TRUNC(SUM(_wrdqs_ratio3_ch2_cs0*2^30,_wrdqs_ratio2_ch2_cs1*2^20,_wrdqs_ratio2_ch2_cs0*2^10,_wrdqs_ratio1_ch2_cs1)/2^2)-(TRUNC(SUM(_wrdqs_ratio3_ch2_cs0*2^30,_wrdqs_ratio2_ch2_cs1*2^20,_wrdqs_ratio2_ch2_cs0*2^10,_wrdqs_ratio1_ch2_cs1)/2^34)*2^32),8)</definedName>
    <definedName function="false" hidden="false" name="_wrdqs_ratio2_ch2_cs1" vbProcedure="false">ROUND(((_t_dqss_brdskew_p2_ch2_cs1 + (_phy_invert_clk * 500000 / _ddr_pll_freq)) / _dll_res),0)</definedName>
    <definedName function="false" hidden="false" name="_t_dqss_brdskew_p2_ch2_cs1" vbProcedure="false">((_tl_clk_p2_mi_ch2_cs1*_prop_vel_microstrip) + (_tl_clk_p2_st_ch2_cs1*_prop_vel_stripline) - (_tl_dqs2_mi_ch2_cs1*_prop_vel_microstrip) - (_tl_dqs2_st_ch2_cs1*_prop_vel_stripline))/1000</definedName>
    <definedName function="false" hidden="false" name="_tl_clk_p2_mi_ch2_cs1" vbProcedure="false">['file:///ti/avataremiftools/docs/avatar_emif_registerconfig.xlsm.bkup.xlsm']'step2-boarddetails'!$i$58</definedName>
    <definedName function="false" hidden="false" name="_tl_clk_p2_st_ch2_cs1" vbProcedure="false">['file:///ti/avataremiftools/docs/avatar_emif_registerconfig.xlsm.bkup.xlsm']'step2-boarddetails'!$j$58</definedName>
    <definedName function="false" hidden="false" name="_tl_dqs2_mi_ch2_cs1" vbProcedure="false">['file:///ti/avataremiftools/docs/avatar_emif_registerconfig.xlsm.bkup.xlsm']'step2-boarddetails'!$i$59</definedName>
    <definedName function="false" hidden="false" name="_tl_dqs2_st_ch2_cs1" vbProcedure="false">['file:///ti/avataremiftools/docs/avatar_emif_registerconfig.xlsm.bkup.xlsm']'step2-boarddetails'!$j$59</definedName>
    <definedName function="false" hidden="false" name="_wrdqs_ratio2_ch2_cs0" vbProcedure="false">ROUND(((_t_dqss_brdskew_p2_ch2_cs0 + (_phy_invert_clk * 500000 / _ddr_pll_freq)) / _dll_res),0)</definedName>
    <definedName function="false" hidden="false" name="_t_dqss_brdskew_p2_ch2_cs0" vbProcedure="false">((_tl_clk_p2_mi_ch2_cs0*_prop_vel_microstrip) + (_tl_clk_p2_st_ch2_cs0*_prop_vel_stripline) - (_tl_dqs2_mi_ch2_cs0*_prop_vel_microstrip) - (_tl_dqs2_st_ch2_cs0*_prop_vel_stripline))/1000</definedName>
    <definedName function="false" hidden="false" name="_tl_clk_p2_mi_ch2_cs0" vbProcedure="false">['file:///ti/avataremiftools/docs/avatar_emif_registerconfig.xlsm.bkup.xlsm']'step2-boarddetails'!$i$48</definedName>
    <definedName function="false" hidden="false" name="_tl_clk_p2_st_ch2_cs0" vbProcedure="false">['file:///ti/avataremiftools/docs/avatar_emif_registerconfig.xlsm.bkup.xlsm']'step2-boarddetails'!$j$48</definedName>
    <definedName function="false" hidden="false" name="_tl_dqs2_mi_ch2_cs0" vbProcedure="false">['file:///ti/avataremiftools/docs/avatar_emif_registerconfig.xlsm.bkup.xlsm']'step2-boarddetails'!$i$49</definedName>
    <definedName function="false" hidden="false" name="_tl_dqs2_st_ch2_cs0" vbProcedure="false">['file:///ti/avataremiftools/docs/avatar_emif_registerconfig.xlsm.bkup.xlsm']'step2-boarddetails'!$j$49</definedName>
    <definedName function="false" hidden="false" name="_emif2_ext_phy_ctrl_12_val_vayu" vbProcedure="false">DEC2HEX(SUM(_wrdata_ratio0_ch2_cs1*2^16,_wrdata_ratio0_ch2_cs0),8)</definedName>
    <definedName function="false" hidden="false" name="_wrdata_ratio0_ch2_cs1" vbProcedure="false">_wrdqs_ratio0_ch2_cs1 + ROUND((250000 / _ddr_pll_freq / _dll_res),0)</definedName>
    <definedName function="false" hidden="false" name="_wrdata_ratio0_ch2_cs0" vbProcedure="false">_wrdqs_ratio0_ch2_cs0 + ROUND((250000 / _ddr_pll_freq / _dll_res),0)</definedName>
    <definedName function="false" hidden="false" name="_EMIF2_EXT_PHY_CTRL_13_VAL" vbProcedure="false">CHOOSE(MATCH('title-readme'!_soc_name,'title-readme'!_soc_names,0),_emif2_ext_phy_ctrl_13_val_omap5,_emif2_ext_phy_ctrl_13_val_vayu,_emif2_ext_phy_ctrl_13_val_vayu,_emif2_ext_phy_ctrl_13_val_vayu)</definedName>
    <definedName function="false" hidden="false" name="_emif2_ext_phy_ctrl_13_val_omap5" vbProcedure="false">DEC2HEX(TRUNC(SUM(_wrdqs_ratio3_ch2_cs1*2^10,_wrdqs_ratio3_ch2_cs0)/2^4)-(TRUNC(SUM(_wrdqs_ratio3_ch2_cs1*2^10,_wrdqs_ratio3_ch2_cs0)/2^36)*2^32),8)</definedName>
    <definedName function="false" hidden="false" name="_emif2_ext_phy_ctrl_13_val_vayu" vbProcedure="false">DEC2HEX(SUM(_wrdata_ratio1_ch2_cs1*2^16,_wrdata_ratio1_ch2_cs0),8)</definedName>
    <definedName function="false" hidden="false" name="_wrdata_ratio1_ch2_cs1" vbProcedure="false">_wrdqs_ratio1_ch2_cs1 + ROUND((250000 / _ddr_pll_freq / _dll_res),0)</definedName>
    <definedName function="false" hidden="false" name="_wrdata_ratio1_ch2_cs0" vbProcedure="false">_wrdqs_ratio1_ch2_cs0 + ROUND((250000 / _ddr_pll_freq / _dll_res),0)</definedName>
    <definedName function="false" hidden="false" name="_EMIF2_EXT_PHY_CTRL_14_VAL" vbProcedure="false">CHOOSE(MATCH('title-readme'!_soc_name,'title-readme'!_soc_names,0),_emif2_ext_phy_ctrl_14_val_omap5,_emif2_ext_phy_ctrl_14_val_vayu,_emif2_ext_phy_ctrl_14_val_vayu,_emif2_ext_phy_ctrl_14_val_vayu)</definedName>
    <definedName function="false" hidden="false" name="_emif2_ext_phy_ctrl_14_val_omap5" vbProcedure="false">DEC2HEX(SUM(_phy_rddqs_delay*2^24,_phy_fifowe_delay*2^12,_phy_ctrl_delay)-(TRUNC(SUM(_phy_rddqs_delay*2^24,_phy_fifowe_delay*2^12,_phy_ctrl_delay)/2^32)*2^32),8)</definedName>
    <definedName function="false" hidden="false" name="_emif2_ext_phy_ctrl_14_val_vayu" vbProcedure="false">DEC2HEX(SUM(_wrdata_ratio2_ch2_cs1*2^16,_wrdata_ratio2_ch2_cs0),8)</definedName>
    <definedName function="false" hidden="false" name="_wrdata_ratio2_ch2_cs1" vbProcedure="false">_wrdqs_ratio2_ch2_cs1 + ROUND((250000 / _ddr_pll_freq / _dll_res),0)</definedName>
    <definedName function="false" hidden="false" name="_wrdata_ratio2_ch2_cs0" vbProcedure="false">_wrdqs_ratio2_ch2_cs0 + ROUND((250000 / _ddr_pll_freq / _dll_res),0)</definedName>
    <definedName function="false" hidden="false" name="_EMIF2_EXT_PHY_CTRL_15_VAL" vbProcedure="false">CHOOSE(MATCH('title-readme'!_soc_name,'title-readme'!_soc_names,0),_emif2_ext_phy_ctrl_15_val_omap5,_emif2_ext_phy_ctrl_15_val_vayu,_emif2_ext_phy_ctrl_15_val_vayu,_emif2_ext_phy_ctrl_15_val_vayu)</definedName>
    <definedName function="false" hidden="false" name="_emif2_ext_phy_ctrl_15_val_omap5" vbProcedure="false">DEC2HEX(TRUNC(SUM(_phy_wrdata_delay*2^24,_phy_wrdqs_delay*2^12,_phy_rddqs_delay)/2^8),8)</definedName>
    <definedName function="false" hidden="false" name="_emif2_ext_phy_ctrl_15_val_vayu" vbProcedure="false">DEC2HEX(SUM(_wrdata_ratio3_ch2_cs1*2^16,_wrdata_ratio3_ch2_cs0),8)</definedName>
    <definedName function="false" hidden="false" name="_EMIF2_EXT_PHY_CTRL_16_VAL" vbProcedure="false">CHOOSE(MATCH('title-readme'!_soc_name,'title-readme'!_soc_names,0),_emif2_ext_phy_ctrl_16_val_omap5,_emif2_ext_phy_ctrl_16_val_vayu,_emif2_ext_phy_ctrl_16_val_vayu,_emif2_ext_phy_ctrl_16_val_vayu)</definedName>
    <definedName function="false" hidden="false" name="_emif2_ext_phy_ctrl_16_val_omap5" vbProcedure="false">DEC2HEX(SUM(_phy_dq_offset3*2^21,_phy_dq_offset2*2^14,_phy_dq_offset1*2^7,_phy_dq_offset0),8)</definedName>
    <definedName function="false" hidden="false" name="_emif2_ext_phy_ctrl_16_val_vayu" vbProcedure="false">DEC2HEX(SUM(_wrdata_ratio4_ch2_cs1*2^16,_wrdata_ratio4_ch2_cs0),8)</definedName>
    <definedName function="false" hidden="false" name="_wrdata_ratio4_ch2_cs1" vbProcedure="false">_wrdqs_ratio4_ch2_cs1 + ROUND((250000 / _ddr_pll_freq / _dll_res),0)</definedName>
    <definedName function="false" hidden="false" name="_wrdqs_ratio4_ch2_cs1" vbProcedure="false">ROUND(((_t_dqss_brdskew_p4_ch2_cs1 + (_phy_invert_clk * 500000 / _ddr_pll_freq)) / _dll_res),0)</definedName>
    <definedName function="false" hidden="false" name="_t_dqss_brdskew_p4_ch2_cs1" vbProcedure="false">((_tl_clk_p4_mi_ch2_cs1*_prop_vel_microstrip) + (_tl_clk_p4_st_ch2_cs1*_prop_vel_stripline) - (_tl_dqs4_mi_ch2_cs1*_prop_vel_microstrip) - (_tl_dqs4_st_ch2_cs1*_prop_vel_stripline))/1000</definedName>
    <definedName function="false" hidden="false" name="_tl_clk_p4_mi_ch2_cs1" vbProcedure="false">['file:///ti/avataremiftools/docs/avatar_emif_registerconfig.xlsm.bkup.xlsm']'step2-boarddetails'!$m$58</definedName>
    <definedName function="false" hidden="false" name="_tl_clk_p4_st_ch2_cs1" vbProcedure="false">['file:///ti/avataremiftools/docs/avatar_emif_registerconfig.xlsm.bkup.xlsm']'step2-boarddetails'!$n$58</definedName>
    <definedName function="false" hidden="false" name="_tl_dqs4_mi_ch2_cs1" vbProcedure="false">['file:///ti/avataremiftools/docs/avatar_emif_registerconfig.xlsm.bkup.xlsm']'step2-boarddetails'!$m$59</definedName>
    <definedName function="false" hidden="false" name="_tl_dqs4_st_ch2_cs1" vbProcedure="false">['file:///ti/avataremiftools/docs/avatar_emif_registerconfig.xlsm.bkup.xlsm']'step2-boarddetails'!$n$59</definedName>
    <definedName function="false" hidden="false" name="_wrdata_ratio4_ch2_cs0" vbProcedure="false">_wrdqs_ratio4_ch2_cs0 + ROUND((250000 / _ddr_pll_freq / _dll_res),0)</definedName>
    <definedName function="false" hidden="false" name="_wrdqs_ratio4_ch2_cs0" vbProcedure="false">ROUND(((_t_dqss_brdskew_p4_ch2_cs0 + (_phy_invert_clk * 500000 / _ddr_pll_freq)) / _dll_res),0)</definedName>
    <definedName function="false" hidden="false" name="_t_dqss_brdskew_p4_ch2_cs0" vbProcedure="false">((_tl_clk_p4_mi_ch2_cs0*_prop_vel_microstrip) + (_tl_clk_p4_st_ch2_cs0*_prop_vel_stripline) - (_tl_dqs4_mi_ch2_cs0*_prop_vel_microstrip) - (_tl_dqs4_st_ch2_cs0*_prop_vel_stripline))/1000</definedName>
    <definedName function="false" hidden="false" name="_tl_clk_p4_mi_ch2_cs0" vbProcedure="false">['file:///ti/avataremiftools/docs/avatar_emif_registerconfig.xlsm.bkup.xlsm']'step2-boarddetails'!$m$48</definedName>
    <definedName function="false" hidden="false" name="_tl_clk_p4_st_ch2_cs0" vbProcedure="false">['file:///ti/avataremiftools/docs/avatar_emif_registerconfig.xlsm.bkup.xlsm']'step2-boarddetails'!$n$48</definedName>
    <definedName function="false" hidden="false" name="_tl_dqs4_mi_ch2_cs0" vbProcedure="false">['file:///ti/avataremiftools/docs/avatar_emif_registerconfig.xlsm.bkup.xlsm']'step2-boarddetails'!$m$49</definedName>
    <definedName function="false" hidden="false" name="_tl_dqs4_st_ch2_cs0" vbProcedure="false">['file:///ti/avataremiftools/docs/avatar_emif_registerconfig.xlsm.bkup.xlsm']'step2-boarddetails'!$n$49</definedName>
    <definedName function="false" hidden="false" name="_EMIF2_EXT_PHY_CTRL_17_VAL" vbProcedure="false">CHOOSE(MATCH('title-readme'!_soc_name,'title-readme'!_soc_names,0),_emif2_ext_phy_ctrl_17_val_omap5,_emif2_ext_phy_ctrl_17_val_vayu,_emif2_ext_phy_ctrl_17_val_vayu,_emif2_ext_phy_ctrl_17_val_vayu)</definedName>
    <definedName function="false" hidden="false" name="_emif2_ext_phy_ctrl_17_val_omap5" vbProcedure="false">DEC2HEX(SUM(_phy_gatelvl_init_mode*2^1,_phy_use_rank0_delays),8)</definedName>
    <definedName function="false" hidden="false" name="_emif2_ext_phy_ctrl_17_val_vayu" vbProcedure="false">DEC2HEX(SUM(_wrdqs_ratio0_ch2_cs1*2^16,_wrdqs_ratio0_ch2_cs0),8)</definedName>
    <definedName function="false" hidden="false" name="_EMIF2_EXT_PHY_CTRL_18_VAL" vbProcedure="false">CHOOSE(MATCH('title-readme'!_soc_name,'title-readme'!_soc_names,0),_emif2_ext_phy_ctrl_18_val_omap5,_emif2_ext_phy_ctrl_18_val_vayu,_emif2_ext_phy_ctrl_18_val_vayu,_emif2_ext_phy_ctrl_18_val_vayu)</definedName>
    <definedName function="false" hidden="false" name="_emif2_ext_phy_ctrl_18_val_omap5" vbProcedure="false">DEC2HEX(SUM(_fifowe_init1_ch2_cs0*2^22,_fifowe_init0_ch2_cs1*2^11,_fifowe_init0_ch2_cs0)-(TRUNC(SUM(_fifowe_init1_ch2_cs0*2^22,_fifowe_init0_ch2_cs1*2^11,_fifowe_init0_ch2_cs0)/2^32)*2^32),8)</definedName>
    <definedName function="false" hidden="false" name="_fifowe_init1_ch2_cs0" vbProcedure="false">_fifowe_ratio1_ch2_cs0 - ROUND((125000 / _ddr_pll_freq / _dll_res),0)</definedName>
    <definedName function="false" hidden="false" name="_fifowe_ratio1_ch2_cs0" vbProcedure="false">ROUND(IF(_sdram_type="LPDDR2",4000/_dll_res,((_t_rdtrip_brddly_p1_ch2_cs0 + (333333 / _ddr_pll_freq) + (_phy_invert_clk * 500000 / _ddr_pll_freq)) / _dll_res)),0)</definedName>
    <definedName function="false" hidden="false" name="_t_rdtrip_brddly_p1_ch2_cs0" vbProcedure="false">((_tl_clk_p1_mi_ch2_cs0*_prop_vel_microstrip) + (_tl_clk_p1_st_ch2_cs0*_prop_vel_stripline) + (_tl_dqs1_mi_ch2_cs0*_prop_vel_microstrip) + (_tl_dqs1_st_ch2_cs0*_prop_vel_stripline))/1000</definedName>
    <definedName function="false" hidden="false" name="_fifowe_init0_ch2_cs1" vbProcedure="false">_fifowe_ratio0_ch2_cs1 - ROUND((125000 / _ddr_pll_freq / _dll_res),0)</definedName>
    <definedName function="false" hidden="false" name="_fifowe_ratio0_ch2_cs1" vbProcedure="false">ROUND(IF(_sdram_type="LPDDR2",4000/_dll_res,((_t_rdtrip_brddly_p0_ch2_cs1 + (333333 / _ddr_pll_freq) + (_phy_invert_clk * 500000 / _ddr_pll_freq)) / _dll_res)),0)</definedName>
    <definedName function="false" hidden="false" name="_t_rdtrip_brddly_p0_ch2_cs1" vbProcedure="false">((_tl_clk_p0_mi_ch2_cs1*_prop_vel_microstrip) + (_tl_clk_p0_st_ch2_cs1*_prop_vel_stripline) + (_tl_dqs0_mi_ch2_cs1*_prop_vel_microstrip) + (_tl_dqs0_st_ch2_cs1*_prop_vel_stripline))/1000</definedName>
    <definedName function="false" hidden="false" name="_fifowe_init0_ch2_cs0" vbProcedure="false">_fifowe_ratio0_ch2_cs0 - ROUND((125000 / _ddr_pll_freq / _dll_res),0)</definedName>
    <definedName function="false" hidden="false" name="_fifowe_ratio0_ch2_cs0" vbProcedure="false">ROUND(IF(_sdram_type="LPDDR2",4000/_dll_res,((_t_rdtrip_brddly_p0_ch2_cs0 + (333333 / _ddr_pll_freq) + (_phy_invert_clk * 500000 / _ddr_pll_freq)) / _dll_res)),0)</definedName>
    <definedName function="false" hidden="false" name="_t_rdtrip_brddly_p0_ch2_cs0" vbProcedure="false">((_tl_clk_p0_mi_ch2_cs0*_prop_vel_microstrip) + (_tl_clk_p0_st_ch2_cs0*_prop_vel_stripline) + (_tl_dqs0_mi_ch2_cs0*_prop_vel_microstrip) + (_tl_dqs0_st_ch2_cs0*_prop_vel_stripline))/1000</definedName>
    <definedName function="false" hidden="false" name="_emif2_ext_phy_ctrl_18_val_vayu" vbProcedure="false">DEC2HEX(SUM(_wrdqs_ratio1_ch2_cs1*2^16,_wrdqs_ratio1_ch2_cs0),8)</definedName>
    <definedName function="false" hidden="false" name="_EMIF2_EXT_PHY_CTRL_19_VAL" vbProcedure="false">CHOOSE(MATCH('title-readme'!_soc_name,'title-readme'!_soc_names,0),_emif2_ext_phy_ctrl_19_val_omap5,_emif2_ext_phy_ctrl_19_val_vayu,_emif2_ext_phy_ctrl_19_val_vayu,_emif2_ext_phy_ctrl_19_val_vayu)</definedName>
    <definedName function="false" hidden="false" name="_emif2_ext_phy_ctrl_19_val_omap5" vbProcedure="false">DEC2HEX(TRUNC(SUM(_fifowe_init2_ch2_cs1*2^33,_fifowe_init2_ch2_cs0*2^22,_fifowe_init1_ch2_cs1*2^11,_fifowe_init1_ch2_cs0)/2^10)-(TRUNC(SUM(_fifowe_init2_ch2_cs1*2^33,_fifowe_init2_ch2_cs0*2^22,_fifowe_init1_ch2_cs1*2^11,_fifowe_init1_ch2_cs0)/2^42)*2^32),8)</definedName>
    <definedName function="false" hidden="false" name="_fifowe_init2_ch2_cs1" vbProcedure="false">_fifowe_ratio2_ch2_cs1 - ROUND((125000 / _ddr_pll_freq / _dll_res),0)</definedName>
    <definedName function="false" hidden="false" name="_fifowe_ratio2_ch2_cs1" vbProcedure="false">ROUND(IF(_sdram_type="LPDDR2",4000/_dll_res,((_t_rdtrip_brddly_p2_ch2_cs1 + (333333 / _ddr_pll_freq) + (_phy_invert_clk * 500000 / _ddr_pll_freq)) / _dll_res)),0)</definedName>
    <definedName function="false" hidden="false" name="_t_rdtrip_brddly_p2_ch2_cs1" vbProcedure="false">((_tl_clk_p2_mi_ch2_cs1*_prop_vel_microstrip) + (_tl_clk_p2_st_ch2_cs1*_prop_vel_stripline) + (_tl_dqs2_mi_ch2_cs1*_prop_vel_microstrip) + (_tl_dqs2_st_ch2_cs1*_prop_vel_stripline))/1000</definedName>
    <definedName function="false" hidden="false" name="_fifowe_init2_ch2_cs0" vbProcedure="false">_fifowe_ratio2_ch2_cs0 - ROUND((125000 / _ddr_pll_freq / _dll_res),0)</definedName>
    <definedName function="false" hidden="false" name="_fifowe_ratio2_ch2_cs0" vbProcedure="false">ROUND(IF(_sdram_type="LPDDR2",4000/_dll_res,((_t_rdtrip_brddly_p2_ch2_cs0 + (333333 / _ddr_pll_freq) + (_phy_invert_clk * 500000 / _ddr_pll_freq)) / _dll_res)),0)</definedName>
    <definedName function="false" hidden="false" name="_t_rdtrip_brddly_p2_ch2_cs0" vbProcedure="false">((_tl_clk_p2_mi_ch2_cs0*_prop_vel_microstrip) + (_tl_clk_p2_st_ch2_cs0*_prop_vel_stripline) + (_tl_dqs2_mi_ch2_cs0*_prop_vel_microstrip) + (_tl_dqs2_st_ch2_cs0*_prop_vel_stripline))/1000</definedName>
    <definedName function="false" hidden="false" name="_fifowe_init1_ch2_cs1" vbProcedure="false">_fifowe_ratio1_ch2_cs1 - ROUND((125000 / _ddr_pll_freq / _dll_res),0)</definedName>
    <definedName function="false" hidden="false" name="_fifowe_ratio1_ch2_cs1" vbProcedure="false">ROUND(IF(_sdram_type="LPDDR2",4000/_dll_res,((_t_rdtrip_brddly_p1_ch2_cs1 + (333333 / _ddr_pll_freq) + (_phy_invert_clk * 500000 / _ddr_pll_freq)) / _dll_res)),0)</definedName>
    <definedName function="false" hidden="false" name="_t_rdtrip_brddly_p1_ch2_cs1" vbProcedure="false">((_tl_clk_p1_mi_ch2_cs1*_prop_vel_microstrip) + (_tl_clk_p1_st_ch2_cs1*_prop_vel_stripline) + (_tl_dqs1_mi_ch2_cs1*_prop_vel_microstrip) + (_tl_dqs1_st_ch2_cs1*_prop_vel_stripline))/1000</definedName>
    <definedName function="false" hidden="false" name="_emif2_ext_phy_ctrl_19_val_vayu" vbProcedure="false">DEC2HEX(SUM(_wrdqs_ratio2_ch2_cs1*2^16,_wrdqs_ratio2_ch2_cs0),8)</definedName>
    <definedName function="false" hidden="false" name="_EMIF2_EXT_PHY_CTRL_1_VAL" vbProcedure="false">CHOOSE(MATCH('title-readme'!_soc_name,'title-readme'!_soc_names,0),_emif2_ext_phy_ctrl_1_val_omap5,_emif2_ext_phy_ctrl_1_val_vayu,_emif2_ext_phy_ctrl_1_val_vayu,_emif2_ext_phy_ctrl_1_val_vayu)</definedName>
    <definedName function="false" hidden="false" name="_emif2_ext_phy_ctrl_1_val_omap5" vbProcedure="false">DEC2HEX(SUM(_ctrl_ratio2*2^20,_ctrl_ratio1*2^10,_ctrl_ratio0),8)</definedName>
    <definedName function="false" hidden="false" name="_emif2_ext_phy_ctrl_1_val_vayu" vbProcedure="false">DEC2HEX(SUM(_ctrl_ratio2*2^20,_ctrl_ratio1*2^10,_ctrl_ratio0),8)</definedName>
    <definedName function="false" hidden="false" name="_EMIF2_EXT_PHY_CTRL_20_VAL" vbProcedure="false">CHOOSE(MATCH('title-readme'!_soc_name,'title-readme'!_soc_names,0),_emif2_ext_phy_ctrl_20_val_omap5,_emif2_ext_phy_ctrl_20_val_vayu,_emif2_ext_phy_ctrl_20_val_vayu,_emif2_ext_phy_ctrl_20_val_vayu)</definedName>
    <definedName function="false" hidden="false" name="_emif2_ext_phy_ctrl_20_val_omap5" vbProcedure="false">DEC2HEX(TRUNC(SUM(_fifowe_init3_ch2_cs1*2^22,_fifowe_init3_ch2_cs0*2^11,_fifowe_init2_ch2_cs1)/2^9)-(TRUNC(SUM(_fifowe_init3_ch2_cs1*2^22,_fifowe_init3_ch2_cs0*2^11,_fifowe_init2_ch2_cs1)/2^41)*2^32),8)</definedName>
    <definedName function="false" hidden="false" name="_fifowe_init3_ch2_cs1" vbProcedure="false">_fifowe_ratio3_ch2_cs1 - ROUND((125000 / _ddr_pll_freq / _dll_res),0)</definedName>
    <definedName function="false" hidden="false" name="_fifowe_ratio3_ch2_cs1" vbProcedure="false">ROUND(IF(_sdram_type="LPDDR2",4000/_dll_res,((_t_rdtrip_brddly_p3_ch2_cs1 + (333333 / _ddr_pll_freq) + (_phy_invert_clk * 500000 / _ddr_pll_freq)) / _dll_res)),0)</definedName>
    <definedName function="false" hidden="false" name="_t_rdtrip_brddly_p3_ch2_cs1" vbProcedure="false">((_tl_clk_p3_mi_ch2_cs1*_prop_vel_microstrip) + (_tl_clk_p3_st_ch2_cs1*_prop_vel_stripline) + (_tl_dqs3_mi_ch2_cs1*_prop_vel_microstrip) + (_tl_dqs3_st_ch2_cs1*_prop_vel_stripline))/1000</definedName>
    <definedName function="false" hidden="false" name="_fifowe_init3_ch2_cs0" vbProcedure="false">_fifowe_ratio3_ch2_cs0 - ROUND((125000 / _ddr_pll_freq / _dll_res),0)</definedName>
    <definedName function="false" hidden="false" name="_fifowe_ratio3_ch2_cs0" vbProcedure="false">ROUND(IF(_sdram_type="LPDDR2",4000/_dll_res,((_t_rdtrip_brddly_p3_ch2_cs0 + (333333 / _ddr_pll_freq) + (_phy_invert_clk * 500000 / _ddr_pll_freq)) / _dll_res)),0)</definedName>
    <definedName function="false" hidden="false" name="_t_rdtrip_brddly_p3_ch2_cs0" vbProcedure="false">((_tl_clk_p3_mi_ch2_cs0*_prop_vel_microstrip) + (_tl_clk_p3_st_ch2_cs0*_prop_vel_stripline) + (_tl_dqs3_mi_ch2_cs0*_prop_vel_microstrip) + (_tl_dqs3_st_ch2_cs0*_prop_vel_stripline))/1000</definedName>
    <definedName function="false" hidden="false" name="_emif2_ext_phy_ctrl_20_val_vayu" vbProcedure="false">DEC2HEX(SUM(_wrdqs_ratio3_ch2_cs1*2^16,_wrdqs_ratio3_ch2_cs0),8)</definedName>
    <definedName function="false" hidden="false" name="_EMIF2_EXT_PHY_CTRL_21_VAL" vbProcedure="false">CHOOSE(MATCH('title-readme'!_soc_name,'title-readme'!_soc_names,0),_emif2_ext_phy_ctrl_21_val_omap5,_emif2_ext_phy_ctrl_21_val_vayu,_emif2_ext_phy_ctrl_21_val_vayu,_emif2_ext_phy_ctrl_21_val_vayu)</definedName>
    <definedName function="false" hidden="false" name="_emif2_ext_phy_ctrl_21_val_omap5" vbProcedure="false">DEC2HEX(SUM(_wrdqs_init1_ch2_cs1*2^30,_wrdqs_init1_ch2_cs0*2^20,_wrdqs_init0_ch2_cs1*2^10,_wrdqs_init0_ch2_cs0)-(TRUNC(SUM(_wrdqs_init1_ch2_cs1*2^30,_wrdqs_init1_ch2_cs0*2^20,_wrdqs_init0_ch2_cs1*2^10,_wrdqs_init0_ch2_cs0)/2^32)*2^32),8)</definedName>
    <definedName function="false" hidden="false" name="_wrdqs_init1_ch2_cs1" vbProcedure="false">MAX(_wrdqs_ratio1_ch2_cs1 - ROUND((125000 / _ddr_pll_freq / _dll_res),0),0)</definedName>
    <definedName function="false" hidden="false" name="_wrdqs_init1_ch2_cs0" vbProcedure="false">MAX(_wrdqs_ratio1_ch2_cs0 - ROUND((125000 / _ddr_pll_freq / _dll_res),0),0)</definedName>
    <definedName function="false" hidden="false" name="_wrdqs_init0_ch2_cs1" vbProcedure="false">MAX(_wrdqs_ratio0_ch2_cs1 - ROUND((125000 / _ddr_pll_freq / _dll_res),0),0)</definedName>
    <definedName function="false" hidden="false" name="_wrdqs_init0_ch2_cs0" vbProcedure="false">MAX(_wrdqs_ratio0_ch2_cs0 - ROUND((125000 / _ddr_pll_freq / _dll_res),0),0)</definedName>
    <definedName function="false" hidden="false" name="_emif2_ext_phy_ctrl_21_val_vayu" vbProcedure="false">DEC2HEX(SUM(_wrdqs_ratio4_ch2_cs1*2^16,_wrdqs_ratio4_ch2_cs0),8)</definedName>
    <definedName function="false" hidden="false" name="_EMIF2_EXT_PHY_CTRL_22_VAL" vbProcedure="false">CHOOSE(MATCH('title-readme'!_soc_name,'title-readme'!_soc_names,0),_emif2_ext_phy_ctrl_22_val_omap5,_emif2_ext_phy_ctrl_22_val_vayu,_emif2_ext_phy_ctrl_22_val_vayu,_emif2_ext_phy_ctrl_22_val_vayu)</definedName>
    <definedName function="false" hidden="false" name="_emif2_ext_phy_ctrl_22_val_omap5" vbProcedure="false">DEC2HEX(TRUNC(SUM(_wrdqs_init3_ch2_cs0*2^30,_wrdqs_init2_ch2_cs1*2^20,_wrdqs_init2_ch2_cs0*2^10,_wrdqs_init1_ch2_cs1)/2^2)-(TRUNC(SUM(_wrdqs_init3_ch2_cs0*2^30,_wrdqs_init2_ch2_cs1*2^20,_wrdqs_init2_ch2_cs0*2^10,_wrdqs_init1_ch2_cs1)/2^34)*2^32),8)</definedName>
    <definedName function="false" hidden="false" name="_wrdqs_init3_ch2_cs0" vbProcedure="false">MAX(_wrdqs_ratio3_ch2_cs0 - ROUND((125000 / _ddr_pll_freq / _dll_res),0),0)</definedName>
    <definedName function="false" hidden="false" name="_wrdqs_init2_ch2_cs1" vbProcedure="false">MAX(_wrdqs_ratio2_ch2_cs1 - ROUND((125000 / _ddr_pll_freq / _dll_res),0),0)</definedName>
    <definedName function="false" hidden="false" name="_wrdqs_init2_ch2_cs0" vbProcedure="false">MAX(_wrdqs_ratio2_ch2_cs0 - ROUND((125000 / _ddr_pll_freq / _dll_res),0),0)</definedName>
    <definedName function="false" hidden="false" name="_emif2_ext_phy_ctrl_22_val_vayu" vbProcedure="false">DEC2HEX(SUM(_phy_fifowe_delay*2^16,_phy_ctrl_delay),8)</definedName>
    <definedName function="false" hidden="false" name="_EMIF2_EXT_PHY_CTRL_23_VAL" vbProcedure="false">CHOOSE(MATCH('title-readme'!_soc_name,'title-readme'!_soc_names,0),_emif2_ext_phy_ctrl_23_val_omap5,_emif2_ext_phy_ctrl_23_val_vayu,_emif2_ext_phy_ctrl_23_val_vayu,_emif2_ext_phy_ctrl_23_val_vayu)</definedName>
    <definedName function="false" hidden="false" name="_emif2_ext_phy_ctrl_23_val_omap5" vbProcedure="false">DEC2HEX(TRUNC(SUM(_wrdqs_init3_ch2_cs1*2^10,_wrdqs_init3_ch2_cs0)/2^4)-(TRUNC(SUM(_wrdqs_init3_ch2_cs1*2^10,_wrdqs_init3_ch2_cs0)/2^36)*2^32),8)</definedName>
    <definedName function="false" hidden="false" name="_wrdqs_init3_ch2_cs1" vbProcedure="false">MAX(_wrdqs_ratio3_ch2_cs1 - ROUND((125000 / _ddr_pll_freq / _dll_res),0),0)</definedName>
    <definedName function="false" hidden="false" name="_emif2_ext_phy_ctrl_23_val_vayu" vbProcedure="false">DEC2HEX(SUM(_phy_wrdqs_delay*2^16,_phy_rddqs_delay),8)</definedName>
    <definedName function="false" hidden="false" name="_EMIF2_EXT_PHY_CTRL_24_VAL" vbProcedure="false">CHOOSE(MATCH('title-readme'!_soc_name,'title-readme'!_soc_names,0),_emif2_ext_phy_ctrl_24_val_omap5,_emif2_ext_phy_ctrl_24_val_vayu,_emif2_ext_phy_ctrl_24_val_vayu,_emif2_ext_phy_ctrl_24_val_vayu)</definedName>
    <definedName function="false" hidden="false" name="_emif2_ext_phy_ctrl_24_val_omap5" vbProcedure="false">DEC2HEX(SUM(_phy_wrlvl_num_dq0*2^4,_phy_gatelvl_num_dq0),8)</definedName>
    <definedName function="false" hidden="false" name="_emif2_ext_phy_ctrl_24_val_vayu" vbProcedure="false">DEC2HEX(SUM(_phy_dq_offset4*2^24,_phy_gatelvl_init_mode*2^16,_phy_use_rank0_delays*2^12,_phy_wrdata_delay),8)</definedName>
    <definedName function="false" hidden="false" name="_EMIF2_EXT_PHY_CTRL_25_VAL" vbProcedure="false">DEC2HEX(SUM(_phy_dq_offset3*2^21,_phy_dq_offset2*2^14,_phy_dq_offset1*2^7,_phy_dq_offset0),8)</definedName>
    <definedName function="false" hidden="false" name="_EMIF2_EXT_PHY_CTRL_26_VAL" vbProcedure="false">DEC2HEX(SUM(_fifowe_init0_ch2_cs1*2^16,_fifowe_init0_ch2_cs0),8)</definedName>
    <definedName function="false" hidden="false" name="_EMIF2_EXT_PHY_CTRL_27_VAL" vbProcedure="false">DEC2HEX(SUM(_fifowe_init1_ch2_cs1*2^16,_fifowe_init1_ch2_cs0),8)</definedName>
    <definedName function="false" hidden="false" name="_EMIF2_EXT_PHY_CTRL_28_VAL" vbProcedure="false">DEC2HEX(SUM(_fifowe_init2_ch2_cs1*2^16,_fifowe_init2_ch2_cs0),8)</definedName>
    <definedName function="false" hidden="false" name="_EMIF2_EXT_PHY_CTRL_29_VAL" vbProcedure="false">DEC2HEX(SUM(_fifowe_init3_ch2_cs1*2^16,_fifowe_init3_ch2_cs0),8)</definedName>
    <definedName function="false" hidden="false" name="_EMIF2_EXT_PHY_CTRL_2_VAL" vbProcedure="false">CHOOSE(MATCH('title-readme'!_soc_name,'title-readme'!_soc_names,0),_emif2_ext_phy_ctrl_2_val_omap5,_emif2_ext_phy_ctrl_2_val_vayu,_emif2_ext_phy_ctrl_2_val_vayu,_emif2_ext_phy_ctrl_2_val_vayu)</definedName>
    <definedName function="false" hidden="false" name="_emif2_ext_phy_ctrl_2_val_omap5" vbProcedure="false">DEC2HEX(SUM(_fifowe_ratio1_ch2_cs0*2^22,_fifowe_ratio0_ch2_cs1*2^11,_fifowe_ratio0_ch2_cs0)-(TRUNC(SUM(_fifowe_ratio1_ch2_cs0*2^22,_fifowe_ratio0_ch2_cs1*2^11,_fifowe_ratio0_ch2_cs0)/2^32)*2^32),8)</definedName>
    <definedName function="false" hidden="false" name="_emif2_ext_phy_ctrl_2_val_vayu" vbProcedure="false">DEC2HEX(SUM(_fifowe_ratio0_ch2_cs1*2^16,_fifowe_ratio0_ch2_cs0),8)</definedName>
    <definedName function="false" hidden="false" name="_EMIF2_EXT_PHY_CTRL_30_VAL" vbProcedure="false">DEC2HEX(SUM(_fifowe_init4_ch2_cs1*2^16,_fifowe_init4_ch2_cs0),8)</definedName>
    <definedName function="false" hidden="false" name="_fifowe_init4_ch2_cs1" vbProcedure="false">_fifowe_ratio4_ch2_cs1 - ROUND((125000 / _ddr_pll_freq / _dll_res),0)</definedName>
    <definedName function="false" hidden="false" name="_fifowe_ratio4_ch2_cs1" vbProcedure="false">ROUND(IF(_sdram_type="LPDDR2",4000/_dll_res,((_t_rdtrip_brddly_p4_ch2_cs1 + (333333 / _ddr_pll_freq) + (_phy_invert_clk * 500000 / _ddr_pll_freq)) / _dll_res)),0)</definedName>
    <definedName function="false" hidden="false" name="_t_rdtrip_brddly_p4_ch2_cs1" vbProcedure="false">((_tl_clk_p4_mi_ch2_cs1*_prop_vel_microstrip) + (_tl_clk_p4_st_ch2_cs1*_prop_vel_stripline) + (_tl_dqs4_mi_ch2_cs1*_prop_vel_microstrip) + (_tl_dqs4_st_ch2_cs1*_prop_vel_stripline))/1000</definedName>
    <definedName function="false" hidden="false" name="_fifowe_init4_ch2_cs0" vbProcedure="false">_fifowe_ratio4_ch2_cs0 - ROUND((125000 / _ddr_pll_freq / _dll_res),0)</definedName>
    <definedName function="false" hidden="false" name="_fifowe_ratio4_ch2_cs0" vbProcedure="false">ROUND(IF(_sdram_type="LPDDR2",4000/_dll_res,((_t_rdtrip_brddly_p4_ch2_cs0 + (333333 / _ddr_pll_freq) + (_phy_invert_clk * 500000 / _ddr_pll_freq)) / _dll_res)),0)</definedName>
    <definedName function="false" hidden="false" name="_t_rdtrip_brddly_p4_ch2_cs0" vbProcedure="false">((_tl_clk_p4_mi_ch2_cs0*_prop_vel_microstrip) + (_tl_clk_p4_st_ch2_cs0*_prop_vel_stripline) + (_tl_dqs4_mi_ch2_cs0*_prop_vel_microstrip) + (_tl_dqs4_st_ch2_cs0*_prop_vel_stripline))/1000</definedName>
    <definedName function="false" hidden="false" name="_EMIF2_EXT_PHY_CTRL_31_VAL" vbProcedure="false">DEC2HEX(SUM(_wrdqs_init0_ch2_cs1*2^16,_wrdqs_init0_ch2_cs0),8)</definedName>
    <definedName function="false" hidden="false" name="_EMIF2_EXT_PHY_CTRL_32_VAL" vbProcedure="false">DEC2HEX(SUM(_wrdqs_init1_ch2_cs1*2^16,_wrdqs_init1_ch2_cs0),8)</definedName>
    <definedName function="false" hidden="false" name="_EMIF2_EXT_PHY_CTRL_33_VAL" vbProcedure="false">DEC2HEX(SUM(_wrdqs_init2_ch2_cs1*2^16,_wrdqs_init2_ch2_cs0),8)</definedName>
    <definedName function="false" hidden="false" name="_EMIF2_EXT_PHY_CTRL_34_VAL" vbProcedure="false">DEC2HEX(SUM(_wrdqs_init3_ch2_cs1*2^16,_wrdqs_init3_ch2_cs0),8)</definedName>
    <definedName function="false" hidden="false" name="_EMIF2_EXT_PHY_CTRL_35_VAL" vbProcedure="false">DEC2HEX(SUM(_wrdqs_init4_ch2_cs1*2^16,_wrdqs_init4_ch2_cs0),8)</definedName>
    <definedName function="false" hidden="false" name="_wrdqs_init4_ch2_cs1" vbProcedure="false">MAX(_wrdqs_ratio4_ch2_cs1 - ROUND((125000 / _ddr_pll_freq / _dll_res),0),0)</definedName>
    <definedName function="false" hidden="false" name="_wrdqs_init4_ch2_cs0" vbProcedure="false">MAX(_wrdqs_ratio4_ch2_cs0 - ROUND((125000 / _ddr_pll_freq / _dll_res),0),0)</definedName>
    <definedName function="false" hidden="false" name="_EMIF2_EXT_PHY_CTRL_36_VAL" vbProcedure="false">DEC2HEX(SUM(_phy_wrlvl_num_dq0*2^4,_phy_gatelvl_num_dq0),8)</definedName>
    <definedName function="false" hidden="false" name="_EMIF2_EXT_PHY_CTRL_3_VAL" vbProcedure="false">CHOOSE(MATCH('title-readme'!_soc_name,'title-readme'!_soc_names,0),_emif2_ext_phy_ctrl_3_val_omap5,_emif2_ext_phy_ctrl_3_val_vayu,_emif2_ext_phy_ctrl_3_val_vayu,_emif2_ext_phy_ctrl_3_val_vayu)</definedName>
    <definedName function="false" hidden="false" name="_emif2_ext_phy_ctrl_3_val_omap5" vbProcedure="false">DEC2HEX(TRUNC(SUM(_fifowe_ratio2_ch2_cs1*2^33,_fifowe_ratio2_ch2_cs0*2^22,_fifowe_ratio1_ch2_cs1*2^11,_fifowe_ratio1_ch2_cs0)/2^10)-(TRUNC(SUM(_fifowe_ratio2_ch2_cs1*2^33,_fifowe_ratio2_ch2_cs0*2^22,_fifowe_ratio1_ch2_cs1*2^11,_fifowe_ratio1_ch2_cs0)/2^42)*2^32),8)</definedName>
    <definedName function="false" hidden="false" name="_emif2_ext_phy_ctrl_3_val_vayu" vbProcedure="false">DEC2HEX(SUM(_fifowe_ratio1_ch2_cs1*2^16,_fifowe_ratio1_ch2_cs0),8)</definedName>
    <definedName function="false" hidden="false" name="_EMIF2_EXT_PHY_CTRL_4_VAL" vbProcedure="false">CHOOSE(MATCH('title-readme'!_soc_name,'title-readme'!_soc_names,0),_emif2_ext_phy_ctrl_4_val_omap5,_emif2_ext_phy_ctrl_4_val_vayu,_emif2_ext_phy_ctrl_4_val_vayu,_emif2_ext_phy_ctrl_4_val_vayu)</definedName>
    <definedName function="false" hidden="false" name="_emif2_ext_phy_ctrl_4_val_omap5" vbProcedure="false">DEC2HEX(TRUNC(SUM(_fifowe_ratio3_ch2_cs1*2^22,_fifowe_ratio3_ch2_cs0*2^11,_fifowe_ratio2_ch2_cs1)/2^9)-(TRUNC(SUM(_fifowe_ratio3_ch2_cs1*2^22,_fifowe_ratio3_ch2_cs0*2^11,_fifowe_ratio2_ch2_cs1)/2^41)*2^32),8)</definedName>
    <definedName function="false" hidden="false" name="_emif2_ext_phy_ctrl_4_val_vayu" vbProcedure="false">DEC2HEX(SUM(_fifowe_ratio2_ch2_cs1*2^16,_fifowe_ratio2_ch2_cs0),8)</definedName>
    <definedName function="false" hidden="false" name="_EMIF2_EXT_PHY_CTRL_5_VAL" vbProcedure="false">CHOOSE(MATCH('title-readme'!_soc_name,'title-readme'!_soc_names,0),_emif2_ext_phy_ctrl_5_val_omap5,_emif2_ext_phy_ctrl_5_val_vayu,_emif2_ext_phy_ctrl_5_val_vayu,_emif2_ext_phy_ctrl_5_val_vayu)</definedName>
    <definedName function="false" hidden="false" name="_emif2_ext_phy_ctrl_5_val_omap5" vbProcedure="false">DEC2HEX(SUM(_rddqs_ratio1*2^30,_rddqs_ratio1*2^20,_rddqs_ratio0*2^10,_rddqs_ratio0)-(TRUNC(SUM(_rddqs_ratio1*2^30,_rddqs_ratio1*2^20,_rddqs_ratio0*2^10,_rddqs_ratio0)/2^32)*2^32),8)</definedName>
    <definedName function="false" hidden="false" name="_emif2_ext_phy_ctrl_5_val_vayu" vbProcedure="false">DEC2HEX(SUM(_fifowe_ratio3_ch2_cs1*2^16,_fifowe_ratio3_ch2_cs0),8)</definedName>
    <definedName function="false" hidden="false" name="_EMIF2_EXT_PHY_CTRL_6_VAL" vbProcedure="false">CHOOSE(MATCH('title-readme'!_soc_name,'title-readme'!_soc_names,0),_emif2_ext_phy_ctrl_6_val_omap5,_emif2_ext_phy_ctrl_6_val_vayu,_emif2_ext_phy_ctrl_6_val_vayu,_emif2_ext_phy_ctrl_6_val_vayu)</definedName>
    <definedName function="false" hidden="false" name="_emif2_ext_phy_ctrl_6_val_omap5" vbProcedure="false">DEC2HEX(TRUNC(SUM(_rddqs_ratio3*2^30,_rddqs_ratio2*2^20,_rddqs_ratio2*2^10,_rddqs_ratio1)/2^2)-(TRUNC(SUM(_rddqs_ratio3*2^30,_rddqs_ratio2*2^20,_rddqs_ratio2*2^10,_rddqs_ratio1)/2^34)*2^32),8)</definedName>
    <definedName function="false" hidden="false" name="_emif2_ext_phy_ctrl_6_val_vayu" vbProcedure="false">DEC2HEX(SUM(_fifowe_ratio4_ch2_cs1*2^16,_fifowe_ratio4_ch2_cs0),8)</definedName>
    <definedName function="false" hidden="false" name="_EMIF2_EXT_PHY_CTRL_7_VAL" vbProcedure="false">CHOOSE(MATCH('title-readme'!_soc_name,'title-readme'!_soc_names,0),_emif2_ext_phy_ctrl_7_val_omap5,_emif2_ext_phy_ctrl_7_val_vayu,_emif2_ext_phy_ctrl_7_val_vayu,_emif2_ext_phy_ctrl_7_val_vayu)</definedName>
    <definedName function="false" hidden="false" name="_emif2_ext_phy_ctrl_7_val_omap5" vbProcedure="false">DEC2HEX(TRUNC(SUM(_rddqs_ratio3*2^10,_rddqs_ratio3)/2^4)-(TRUNC(SUM(_rddqs_ratio3*2^10,_rddqs_ratio3)/2^36)*2^32),8)</definedName>
    <definedName function="false" hidden="false" name="_emif2_ext_phy_ctrl_7_val_vayu" vbProcedure="false">DEC2HEX(SUM(_rddqs_ratio0*2^16,_rddqs_ratio0),8)</definedName>
    <definedName function="false" hidden="false" name="_EMIF2_EXT_PHY_CTRL_8_VAL" vbProcedure="false">CHOOSE(MATCH('title-readme'!_soc_name,'title-readme'!_soc_names,0),_emif2_ext_phy_ctrl_8_val_omap5,_emif2_ext_phy_ctrl_8_val_vayu,_emif2_ext_phy_ctrl_8_val_vayu,_emif2_ext_phy_ctrl_8_val_vayu)</definedName>
    <definedName function="false" hidden="false" name="_emif2_ext_phy_ctrl_8_val_omap5" vbProcedure="false">DEC2HEX(SUM(_wrdata_ratio1_ch2_cs1*2^30,_wrdata_ratio1_ch2_cs0*2^20,_wrdata_ratio0_ch2_cs1*2^10,_wrdata_ratio0_ch2_cs0)-(TRUNC(SUM(_wrdata_ratio1_ch2_cs1*2^30,_wrdata_ratio1_ch2_cs0*2^20,_wrdata_ratio0_ch2_cs1*2^10,_wrdata_ratio0_ch2_cs0)/2^32)*2^32),8)</definedName>
    <definedName function="false" hidden="false" name="_emif2_ext_phy_ctrl_8_val_vayu" vbProcedure="false">DEC2HEX(SUM(_rddqs_ratio1*2^16,_rddqs_ratio1),8)</definedName>
    <definedName function="false" hidden="false" name="_EMIF2_EXT_PHY_CTRL_9_VAL" vbProcedure="false">CHOOSE(MATCH('title-readme'!_soc_name,'title-readme'!_soc_names,0),_emif2_ext_phy_ctrl_9_val_omap5,_emif2_ext_phy_ctrl_9_val_vayu,_emif2_ext_phy_ctrl_9_val_vayu,_emif2_ext_phy_ctrl_9_val_vayu)</definedName>
    <definedName function="false" hidden="false" name="_emif2_ext_phy_ctrl_9_val_omap5" vbProcedure="false">DEC2HEX(TRUNC(SUM(_wrdata_ratio3_ch2_cs0*2^30,_wrdata_ratio2_ch2_cs1*2^20,_wrdata_ratio2_ch2_cs0*2^10,_wrdata_ratio1_ch2_cs1)/2^2)-(TRUNC(SUM(_wrdata_ratio3_ch2_cs0*2^30,_wrdata_ratio2_ch2_cs1*2^20,_wrdata_ratio2_ch2_cs0*2^10,_wrdata_ratio1_ch2_cs1)/2^34)*2^32),8)</definedName>
    <definedName function="false" hidden="false" name="_emif2_ext_phy_ctrl_9_val_vayu" vbProcedure="false">DEC2HEX(SUM(_rddqs_ratio2*2^16,_rddqs_ratio2),8)</definedName>
    <definedName function="false" hidden="false" name="_EMIF_DDR_PHY_CTRL_1_VAL" vbProcedure="false">DEC2HEX(SUM(_phy_rdlvl_mask*2^27,_phy_rdlvlgate_mask*2^26,_phy_wrlvl_mask*2^25,_phy_half_delay*2^21,_phy_clk_stall_level*2^20,_phy_dis_calib_rst*2^19,_phy_invert_clk*2^18,_phy_dll_lock_diff*2^10,_phy_fast_dll_lock*2^9,_phy_rd_rl_delay),8)</definedName>
    <definedName function="false" hidden="false" name="_phy_rdlvl_mask" vbProcedure="false">IF('title-readme'!_soc_name="j6eco",1,IF(_user_lvl_tech="H/W",0,1))</definedName>
    <definedName function="false" hidden="false" name="_user_lvl_tech" vbProcedure="false">['file:///ti/avataremiftools/docs/avatar_emif_registerconfig.xlsm.bkup.xlsm']'step1-systemdetails'!$f$25</definedName>
    <definedName function="false" hidden="false" name="_phy_rdlvlgate_mask" vbProcedure="false">IF(_user_lvl_tech="H/W",0,1)</definedName>
    <definedName function="false" hidden="false" name="_phy_wrlvl_mask" vbProcedure="false">IF(_user_lvl_tech="H/W",0,1)</definedName>
    <definedName function="false" hidden="false" name="_phy_clk_stall_level" vbProcedure="false">0</definedName>
    <definedName function="false" hidden="false" name="_phy_dis_calib_rst" vbProcedure="false">0</definedName>
    <definedName function="false" hidden="false" name="_phy_dll_lock_diff" vbProcedure="false">16</definedName>
    <definedName function="false" hidden="false" name="_phy_fast_dll_lock" vbProcedure="false">0</definedName>
    <definedName function="false" hidden="false" name="_phy_rd_rl_delay" vbProcedure="false">MAX(MIN(IF(_ddr_pll_freq &gt; 533, _t_cl_user + 5, _t_cl_user + 4),2^5-1),0)</definedName>
    <definedName function="false" hidden="false" name="_t_cl_user" vbProcedure="false">MAX(MIN(_t_cl_ck_user,MAX('title-readme'!_sdram_sb_cl)),INDEX('title-readme'!_sdram_sb_cl,ROW(INDIRECT("1:1"))))</definedName>
    <definedName function="false" hidden="false" name="_t_cl_ck_user" vbProcedure="false">['file:///ti/avataremiftools/docs/avatar_emif_registerconfig.xlsm.bkup.xlsm']'step3-ddrtimings'!$f$25</definedName>
    <definedName function="false" hidden="false" name="_EMIF_DDR_PHY_CTRL_1_VAL_NOLVL" vbProcedure="false">DEC2HEX(SUM(1*2^27,1*2^26,1*2^25,_phy_half_delay*2^21,_phy_clk_stall_level*2^20,_phy_dis_calib_rst*2^19,_phy_invert_clk*2^18,_phy_dll_lock_diff*2^10,_phy_fast_dll_lock*2^9,_phy_rd_rl_delay),8)</definedName>
    <definedName function="false" hidden="false" name="_EMIF_DLL_CALIB_CTRL_VAL" vbProcedure="false">"00050000"</definedName>
    <definedName function="false" hidden="false" name="_emif_io_dr_acc_rec" vbProcedure="false">CHOOSE(MATCH('title-readme'!_soc_name,'title-readme'!_soc_names,0),_soc_emif_io_dr_acc_vayu,_soc_emif_io_dr_acc_vayu,_soc_emif_io_dr_acc_j6eco,_soc_emif_io_dr_acc_adaslow)</definedName>
    <definedName function="false" hidden="false" name="_soc_emif_io_dr_acc_vayu" vbProcedure="false">34</definedName>
    <definedName function="false" hidden="false" name="_soc_emif_io_dr_acc_j6eco" vbProcedure="false">40</definedName>
    <definedName function="false" hidden="false" name="_soc_emif_io_dr_acc_adaslow" vbProcedure="false">IF(_sdram_type="DDR3/L",40,48)</definedName>
    <definedName function="false" hidden="false" name="_emif_io_dr_ds_rec" vbProcedure="false">CHOOSE(MATCH('title-readme'!_soc_name,'title-readme'!_soc_names,0),_soc_emif_io_dr_ds_vayu,_soc_emif_io_dr_ds_vayu,_soc_emif_io_dr_ds_j6eco,_soc_emif_io_dr_ds_adaslow)</definedName>
    <definedName function="false" hidden="false" name="_soc_emif_io_dr_ds_vayu" vbProcedure="false">48</definedName>
    <definedName function="false" hidden="false" name="_soc_emif_io_dr_ds_j6eco" vbProcedure="false">48</definedName>
    <definedName function="false" hidden="false" name="_soc_emif_io_dr_ds_adaslow" vbProcedure="false">IF(_sdram_type="LPDDR2 - Discrete",60,48)</definedName>
    <definedName function="false" hidden="false" name="_emif_io_sr_acc_rec" vbProcedure="false">CHOOSE(MATCH('title-readme'!_soc_name,'title-readme'!_soc_names,0),_soc_emif_io_sr_vayu,_soc_emif_io_sr_vayu,_soc_emif_io_sr_j6eco,_soc_emif_io_sr_acc_adaslow)</definedName>
    <definedName function="false" hidden="false" name="_soc_emif_io_sr_vayu" vbProcedure="false">"Fastest: SR[2:0] = 0b000"</definedName>
    <definedName function="false" hidden="false" name="_soc_emif_io_sr_j6eco" vbProcedure="false">"Fastest: SR[2:0] = 0b000"</definedName>
    <definedName function="false" hidden="false" name="_soc_emif_io_sr_acc_adaslow" vbProcedure="false">IF(_sdram_type="DDR3/L","Fastest: SR[2:0] = 0b000","SR[2:0] = 0b010")</definedName>
    <definedName function="false" hidden="false" name="_emif_io_sr_ds_rec" vbProcedure="false">CHOOSE(MATCH('title-readme'!_soc_name,'title-readme'!_soc_names,0),_soc_emif_io_sr_vayu,_soc_emif_io_sr_vayu,_soc_emif_io_sr_j6eco,_soc_emif_io_sr_ds_adaslow)</definedName>
    <definedName function="false" hidden="false" name="_soc_emif_io_sr_ds_adaslow" vbProcedure="false">"SR[2:0] = 0b010"</definedName>
    <definedName function="false" hidden="false" name="_EMIF_RDWR_LVL_CTRL_VAL" vbProcedure="false">DEC2HEX(SUM(_phy_rdwrlvlfull_start*2^31),8)</definedName>
    <definedName function="false" hidden="false" name="_phy_rdwrlvlfull_start" vbProcedure="false">0</definedName>
    <definedName function="false" hidden="false" name="_EMIF_RDWR_LVL_RMP_CTRL_VAL" vbProcedure="false">DEC2HEX(SUM(_phy_rdwrlvl_en*2^31),8)</definedName>
    <definedName function="false" hidden="false" name="_phy_rdwrlvl_en" vbProcedure="false">IF(_user_lvl_tech="H/W",1,0)</definedName>
    <definedName function="false" hidden="false" name="_EMIF_RD_WR_EXEC_THRESH_VAL" vbProcedure="false">"00000305"</definedName>
    <definedName function="false" hidden="false" name="_EMIF_SDRAM_CONFIG_2_VAL" vbProcedure="false">DEC2HEX(SUM(_sdram_cs1nvmen*2^30,_sdram_ebank_pos*2^27,_sdram_rdbnum*2^4,_sdram_rdbsize),8)</definedName>
    <definedName function="false" hidden="false" name="_sdram_cs1nvmen" vbProcedure="false">0</definedName>
    <definedName function="false" hidden="false" name="_sdram_ebank_pos" vbProcedure="false">0</definedName>
    <definedName function="false" hidden="false" name="_sdram_rdbnum" vbProcedure="false">0</definedName>
    <definedName function="false" hidden="false" name="_sdram_rdbsize" vbProcedure="false">0</definedName>
    <definedName function="false" hidden="false" name="_EMIF_SDRAM_CONFIG_VAL" vbProcedure="false">DEC2HEX(SUM(_sdram_config_type*2^29,_sdram_config_ibank_pos*2^27,_sdram_config_rtt*2^24,_sdram_config_ddr2_dqs*2^23,_sdram_config_dyn_rtt*2^21,_sdram_config_dll_dis*2^20,_sdram_config_drive_imp*2^18,_sdram_cwl_val*2^16,_sdram_config_narrow_mode*2^14,_sdram_cl_val*2^10,_sdram_config_rowsize*2^7,_sdram_ibank_val*2^4,_sdram_config_ebank*2^3,_sdram_config_pagesize),8)</definedName>
    <definedName function="false" hidden="false" name="_sdram_config_type" vbProcedure="false">MAX(MIN(MATCH(_sdram_type,_sdram_types,0)-1,2^3-1),0)</definedName>
    <definedName function="false" hidden="false" name="_sdram_types" vbProcedure="false">{"DDR1";"LPDDR1";"DDR2";"DDR3/L";"LPDDR2"}</definedName>
    <definedName function="false" hidden="false" name="_sdram_config_ibank_pos" vbProcedure="false">0</definedName>
    <definedName function="false" hidden="false" name="_sdram_config_rtt" vbProcedure="false">MAX(MIN(IF(_sdram_type="DDR3/L",MATCH(_sdram_rtt,'title-readme'!_ddr3_rtt,0)-1,IF(_sdram_type="DDR2",MATCH(_sdram_rtt,'title-readme'!_ddr2_rtt,0)-1,0)),2^3-1),0)</definedName>
    <definedName function="false" hidden="false" name="_sdram_rtt" vbProcedure="false">['file:///ti/avataremiftools/docs/avatar_emif_registerconfig.xlsm.bkup.xlsm']'step1-systemdetails'!$f$39</definedName>
    <definedName function="false" hidden="false" name="_sdram_config_ddr2_dqs" vbProcedure="false">1</definedName>
    <definedName function="false" hidden="false" name="_sdram_config_dyn_rtt" vbProcedure="false">MAX(MIN(IF(_sdram_type="DDR3/L",MATCH(_sdram_rttwr,'title-readme'!_ddr3_rttwr,0)-1,0),2^2-1),0)</definedName>
    <definedName function="false" hidden="false" name="_sdram_rttwr" vbProcedure="false">['file:///ti/avataremiftools/docs/avatar_emif_registerconfig.xlsm.bkup.xlsm']'step1-systemdetails'!$f$40</definedName>
    <definedName function="false" hidden="false" name="_sdram_config_dll_dis" vbProcedure="false">0</definedName>
    <definedName function="false" hidden="false" name="_sdram_config_drive_imp" vbProcedure="false">MAX(MIN(IF(_sdram_type="DDR3/L",MATCH(_sdram_drive_imp,'title-readme'!_ddr3_drive_imp,0)-1,IF(_sdram_type="DDR2",MATCH(_sdram_drive_imp,'title-readme'!_ddr2_drive_imp,0)-1,0)),2^2-1),0)</definedName>
    <definedName function="false" hidden="false" name="_sdram_drive_imp" vbProcedure="false">['file:///ti/avataremiftools/docs/avatar_emif_registerconfig.xlsm.bkup.xlsm']'step1-systemdetails'!$f$41</definedName>
    <definedName function="false" hidden="false" name="_sdram_cwl_val" vbProcedure="false">MAX(MIN(_t_cwl_user - 5,2^2-1),0)</definedName>
    <definedName function="false" hidden="false" name="_t_cwl_user" vbProcedure="false">MAX(MIN(_t_cwl_ck_user,8),5)</definedName>
    <definedName function="false" hidden="false" name="_t_cwl_ck_user" vbProcedure="false">['file:///ti/avataremiftools/docs/avatar_emif_registerconfig.xlsm.bkup.xlsm']'step3-ddrtimings'!$f$26</definedName>
    <definedName function="false" hidden="false" name="_sdram_cl_val" vbProcedure="false">MAX(MIN(IF(_sdram_type="DDR3/L",2 * (_t_cl_user - 4),_t_cl_user),2^4-1),0)</definedName>
    <definedName function="false" hidden="false" name="_sdram_config_rowsize" vbProcedure="false">MAX(MIN(_sdram_row_bits - 9,2^3-1),0)</definedName>
    <definedName function="false" hidden="false" name="_sdram_row_bits" vbProcedure="false">LOG(2^_sdram_density_mult/_sdram_width/'title-readme'!_sdram_config_ibank/2^'title-readme'!_sdram_col_bits,2)</definedName>
    <definedName function="false" hidden="false" name="_sdram_density_mult" vbProcedure="false">IF(_sdram_type="DDR2",MATCH(_sdram_density,'title-readme'!_ddr2_densities,0)+27,IF(_sdram_type="DDR3/L",MATCH(_sdram_density,'title-readme'!_ddr3_densities,0)+28,MATCH(_sdram_density,'title-readme'!_lpddr2_densities,0)+27))</definedName>
    <definedName function="false" hidden="false" name="_sdram_ibank_val" vbProcedure="false">MAX(MIN(LOG('title-readme'!_sdram_config_ibank,2),2^3-1),0)</definedName>
    <definedName function="false" hidden="false" name="_sdram_config_ebank" vbProcedure="false">MAX(MIN(_sdram_ebank-1,1),0)</definedName>
    <definedName function="false" hidden="false" name="_sdram_ebank" vbProcedure="false">['file:///ti/avataremiftools/docs/avatar_emif_registerconfig.xlsm.bkup.xlsm']'step1-systemdetails'!$f$24</definedName>
    <definedName function="false" hidden="false" name="_sdram_config_pagesize" vbProcedure="false">MAX(MIN('title-readme'!_sdram_col_bits - 8,2^3-1),0)</definedName>
    <definedName function="false" hidden="false" name="_emif_sdram_config_val_avatar" vbProcedure="false">DEC2HEX(SUM(_sdram_config_type*2^29,_sdram_config_ibank_pos*2^27,_sdram_config_rtt*2^24,_sdram_config_ddr2_dqs*2^23,_sdram_config_dyn_rtt*2^21,_sdram_config_dll_dis*2^20,_sdram_config_drive_imp*2^18,_sdram_cwl_val*2^16,_sdram_config_narrow_mode*2^14,_sdram_cl_val*2^10,_sdram_config_rowsize*2^7,_sdram_ibank_val*2^4,_sdram_config_ebank*2^3,_sdram_config_pagesize),8)</definedName>
    <definedName function="false" hidden="false" name="_EMIF_SDRAM_REF_CTRL_INIT_VAL" vbProcedure="false">DEC2HEX(SUM(_sdram_initref_dis*2^31,_sdram_srt*2^29,_sdram_asr*2^28,_sdram_pasr*2^24,_t_refi_init),8)</definedName>
    <definedName function="false" hidden="false" name="_sdram_initref_dis" vbProcedure="false">0</definedName>
    <definedName function="false" hidden="false" name="_sdram_srt" vbProcedure="false">0</definedName>
    <definedName function="false" hidden="false" name="_sdram_asr" vbProcedure="false">0</definedName>
    <definedName function="false" hidden="false" name="_sdram_pasr" vbProcedure="false">0</definedName>
    <definedName function="false" hidden="false" name="_t_refi_init" vbProcedure="false">MAX(MIN(ROUNDUP( _t_refi_ns_init*_ddr_pll_freq/1000,0),2^16-1),6*_t_rfc_user)</definedName>
    <definedName function="false" hidden="false" name="_t_refi_ns_init" vbProcedure="false">IF(_sdram_type="DDR3/L",31250,12500)</definedName>
    <definedName function="false" hidden="false" name="_t_rfc_user" vbProcedure="false">MAX(MIN(ROUNDUP(MAX(_t_rfc_ck_user, _t_rfc_ns_user*_ddr_pll_freq/1000),0)-1,2^9-1),0)</definedName>
    <definedName function="false" hidden="false" name="_t_rfc_ck_user" vbProcedure="false">['file:///ti/avataremiftools/docs/avatar_emif_registerconfig.xlsm.bkup.xlsm']'step3-ddrtimings'!$f$41</definedName>
    <definedName function="false" hidden="false" name="_t_rfc_ns_user" vbProcedure="false">['file:///ti/avataremiftools/docs/avatar_emif_registerconfig.xlsm.bkup.xlsm']'step3-ddrtimings'!$g$41</definedName>
    <definedName function="false" hidden="false" name="_EMIF_SDRAM_REF_CTRL_VAL" vbProcedure="false">DEC2HEX(SUM(_sdram_initref_dis*2^31,_sdram_srt*2^29,_sdram_asr*2^28,_sdram_pasr*2^24,_t_refi),8)</definedName>
    <definedName function="false" hidden="false" name="_t_refi" vbProcedure="false">IF(_enable_jedec=1,'title-readme'!_t_refi_jedec,_t_refi_user)</definedName>
    <definedName function="false" hidden="false" name="_enable_jedec" vbProcedure="false">0</definedName>
    <definedName function="false" hidden="false" name="_t_refi_user" vbProcedure="false">MAX(MIN(ROUNDDOWN( _t_refi_ns_user*_ddr_pll_freq/1000,0),2^16-1),6*_t_rfc_user)</definedName>
    <definedName function="false" hidden="false" name="_t_refi_ns_user" vbProcedure="false">['file:///ti/avataremiftools/docs/avatar_emif_registerconfig.xlsm.bkup.xlsm']'step3-ddrtimings'!$g$43</definedName>
    <definedName function="false" hidden="false" name="_EMIF_SDRAM_TIM_1_VAL" vbProcedure="false">DEC2HEX(SUM(_t_rtw_gel*2^29,_t_rp*2^25,_t_rcd*2^21,_t_wr*2^17,_t_ras*2^12,_t_rc*2^6,_t_rrd*2^3,_t_wtr),8)</definedName>
    <definedName function="false" hidden="false" name="_t_rtw_gel" vbProcedure="false">6</definedName>
    <definedName function="false" hidden="false" name="_t_rp" vbProcedure="false">IF(_enable_jedec=1,'title-readme'!_t_rp_jedec,_t_rp_user)</definedName>
    <definedName function="false" hidden="false" name="_t_rp_user" vbProcedure="false">MAX(MIN(ROUNDUP(MAX(_t_rp_ck_user, _t_rp_ns_user*_ddr_pll_freq/1000),0)-1,2^4-1),0)</definedName>
    <definedName function="false" hidden="false" name="_t_rp_ck_user" vbProcedure="false">['file:///ti/avataremiftools/docs/avatar_emif_registerconfig.xlsm.bkup.xlsm']'step3-ddrtimings'!$f$27</definedName>
    <definedName function="false" hidden="false" name="_t_rp_ns_user" vbProcedure="false">['file:///ti/avataremiftools/docs/avatar_emif_registerconfig.xlsm.bkup.xlsm']'step3-ddrtimings'!$g$27</definedName>
    <definedName function="false" hidden="false" name="_t_rcd" vbProcedure="false">IF(_enable_jedec=1,'title-readme'!_t_rcd_jedec,_t_rcd_user)</definedName>
    <definedName function="false" hidden="false" name="_t_rcd_user" vbProcedure="false">MAX(MIN(ROUNDUP(MAX(_t_rcd_ck_user, _t_rcd_ns_user*_ddr_pll_freq/1000),0)-1,2^4-1),0)</definedName>
    <definedName function="false" hidden="false" name="_t_rcd_ck_user" vbProcedure="false">['file:///ti/avataremiftools/docs/avatar_emif_registerconfig.xlsm.bkup.xlsm']'step3-ddrtimings'!$f$28</definedName>
    <definedName function="false" hidden="false" name="_t_rcd_ns_user" vbProcedure="false">['file:///ti/avataremiftools/docs/avatar_emif_registerconfig.xlsm.bkup.xlsm']'step3-ddrtimings'!$g$28</definedName>
    <definedName function="false" hidden="false" name="_t_wr" vbProcedure="false">IF(_enable_jedec=1,'title-readme'!_t_wr_jedec,_t_wr_user)</definedName>
    <definedName function="false" hidden="false" name="_t_wr_user" vbProcedure="false">MAX(MIN(ROUNDUP(MAX(_t_wr_ck_user, _t_wr_ns_user*_ddr_pll_freq/1000),0)-1,2^4-1),0)</definedName>
    <definedName function="false" hidden="false" name="_t_wr_ck_user" vbProcedure="false">['file:///ti/avataremiftools/docs/avatar_emif_registerconfig.xlsm.bkup.xlsm']'step3-ddrtimings'!$f$29</definedName>
    <definedName function="false" hidden="false" name="_t_wr_ns_user" vbProcedure="false">['file:///ti/avataremiftools/docs/avatar_emif_registerconfig.xlsm.bkup.xlsm']'step3-ddrtimings'!$g$29</definedName>
    <definedName function="false" hidden="false" name="_t_ras" vbProcedure="false">IF(_enable_jedec=1,'title-readme'!_t_ras_jedec,_t_ras_user)</definedName>
    <definedName function="false" hidden="false" name="_t_ras_user" vbProcedure="false">MAX(MIN(ROUNDUP(MAX(_t_ras_ck_user, _t_ras_ns_user*_ddr_pll_freq/1000),0)-1,2^5-1),_t_rcd_user)</definedName>
    <definedName function="false" hidden="false" name="_t_ras_ck_user" vbProcedure="false">['file:///ti/avataremiftools/docs/avatar_emif_registerconfig.xlsm.bkup.xlsm']'step3-ddrtimings'!$f$30</definedName>
    <definedName function="false" hidden="false" name="_t_ras_ns_user" vbProcedure="false">['file:///ti/avataremiftools/docs/avatar_emif_registerconfig.xlsm.bkup.xlsm']'step3-ddrtimings'!$g$30</definedName>
    <definedName function="false" hidden="false" name="_t_rc" vbProcedure="false">IF(_enable_jedec=1,'title-readme'!_t_rc_jedec,_t_rc_user)</definedName>
    <definedName function="false" hidden="false" name="_t_rc_user" vbProcedure="false">MAX(MIN(ROUNDUP(MAX(_t_rc_ck_user, _t_rc_ns_user*_ddr_pll_freq/1000),0)-1,2^6-1),0)</definedName>
    <definedName function="false" hidden="false" name="_t_rc_ck_user" vbProcedure="false">['file:///ti/avataremiftools/docs/avatar_emif_registerconfig.xlsm.bkup.xlsm']'step3-ddrtimings'!$f$31</definedName>
    <definedName function="false" hidden="false" name="_t_rc_ns_user" vbProcedure="false">['file:///ti/avataremiftools/docs/avatar_emif_registerconfig.xlsm.bkup.xlsm']'step3-ddrtimings'!$g$31</definedName>
    <definedName function="false" hidden="false" name="_t_rrd" vbProcedure="false">IF(_enable_jedec=1,'title-readme'!_t_rrd_jedec,_t_rrd_user)</definedName>
    <definedName function="false" hidden="false" name="_t_rrd_user" vbProcedure="false">MAX(MIN(MAX(_t_faw_user,ROUNDUP(IF(AND(_sdram_type="DDR2",'title-readme'!_sdram_config_ibank=8),((4*MAX(_t_rrd_ck_user,_t_rrd_ns_user*_ddr_pll_freq/1000))+2)/4,MAX(_t_rrd_ck_user,_t_rrd_ns_user*_ddr_pll_freq/1000)),0)-1),2^3-1),0)</definedName>
    <definedName function="false" hidden="false" name="_t_faw_user" vbProcedure="false">ROUNDUP(MAX(_t_faw_ck_user, _t_faw_ns_user*_ddr_pll_freq/1000)/4,0)-1</definedName>
    <definedName function="false" hidden="false" name="_t_faw_ck_user" vbProcedure="false">['file:///ti/avataremiftools/docs/avatar_emif_registerconfig.xlsm.bkup.xlsm']'step3-ddrtimings'!$f$44</definedName>
    <definedName function="false" hidden="false" name="_t_faw_ns_user" vbProcedure="false">['file:///ti/avataremiftools/docs/avatar_emif_registerconfig.xlsm.bkup.xlsm']'step3-ddrtimings'!$g$44</definedName>
    <definedName function="false" hidden="false" name="_t_rrd_ck_user" vbProcedure="false">['file:///ti/avataremiftools/docs/avatar_emif_registerconfig.xlsm.bkup.xlsm']'step3-ddrtimings'!$f$32</definedName>
    <definedName function="false" hidden="false" name="_t_rrd_ns_user" vbProcedure="false">['file:///ti/avataremiftools/docs/avatar_emif_registerconfig.xlsm.bkup.xlsm']'step3-ddrtimings'!$g$32</definedName>
    <definedName function="false" hidden="false" name="_t_wtr" vbProcedure="false">IF(_enable_jedec=1,'title-readme'!_t_wtr_jedec,_t_wtr_user)</definedName>
    <definedName function="false" hidden="false" name="_t_wtr_user" vbProcedure="false">MAX(MIN(ROUNDUP(MAX(_t_wtr_ck_user, _t_wtr_ns_user*_ddr_pll_freq/1000),0)-1,2^3-1),0)</definedName>
    <definedName function="false" hidden="false" name="_t_wtr_ck_user" vbProcedure="false">['file:///ti/avataremiftools/docs/avatar_emif_registerconfig.xlsm.bkup.xlsm']'step3-ddrtimings'!$f$33</definedName>
    <definedName function="false" hidden="false" name="_t_wtr_ns_user" vbProcedure="false">['file:///ti/avataremiftools/docs/avatar_emif_registerconfig.xlsm.bkup.xlsm']'step3-ddrtimings'!$g$33</definedName>
    <definedName function="false" hidden="false" name="_EMIF_SDRAM_TIM_2_VAL" vbProcedure="false">DEC2HEX(SUM(_t_xp*2^28,_t_xsnr*2^16,_t_xsrd*2^6,_t_rtp*2^3,_t_cke),8)</definedName>
    <definedName function="false" hidden="false" name="_t_xp" vbProcedure="false">IF(_enable_jedec=1,'title-readme'!_t_xp_jedec,IF(_sdram_type="DDR2",MAX(_t_xp_user,_t_cke_user),_t_xp_user))</definedName>
    <definedName function="false" hidden="false" name="_t_xp_user" vbProcedure="false">MAX(MIN(ROUNDUP(MAX(_t_xp_ck_user, _t_xp_ns_user*_ddr_pll_freq/1000),0)-1,2^3-1),0)</definedName>
    <definedName function="false" hidden="false" name="_t_xp_ck_user" vbProcedure="false">['file:///ti/avataremiftools/docs/avatar_emif_registerconfig.xlsm.bkup.xlsm']'step3-ddrtimings'!$f$34</definedName>
    <definedName function="false" hidden="false" name="_t_xp_ns_user" vbProcedure="false">['file:///ti/avataremiftools/docs/avatar_emif_registerconfig.xlsm.bkup.xlsm']'step3-ddrtimings'!$g$34</definedName>
    <definedName function="false" hidden="false" name="_t_cke_user" vbProcedure="false">MAX(MIN(ROUNDUP(MAX(_t_cke_ck_user, _t_cke_ns_user*_ddr_pll_freq/1000),0)-1,2^3-1),0)</definedName>
    <definedName function="false" hidden="false" name="_t_cke_ck_user" vbProcedure="false">['file:///ti/avataremiftools/docs/avatar_emif_registerconfig.xlsm.bkup.xlsm']'step3-ddrtimings'!$f$38</definedName>
    <definedName function="false" hidden="false" name="_t_cke_ns_user" vbProcedure="false">['file:///ti/avataremiftools/docs/avatar_emif_registerconfig.xlsm.bkup.xlsm']'step3-ddrtimings'!$g$38</definedName>
    <definedName function="false" hidden="false" name="_t_xsnr" vbProcedure="false">IF(_enable_jedec=1,'title-readme'!_t_xsnr_jedec,_t_xsnr_user)</definedName>
    <definedName function="false" hidden="false" name="_t_xsnr_user" vbProcedure="false">MAX(MIN(ROUNDUP(MAX(_t_xsnr_ck_user, _t_xsnr_ns_user*_ddr_pll_freq/1000),0)-1,2^9-1),0)</definedName>
    <definedName function="false" hidden="false" name="_t_xsnr_ck_user" vbProcedure="false">['file:///ti/avataremiftools/docs/avatar_emif_registerconfig.xlsm.bkup.xlsm']'step3-ddrtimings'!$f$35</definedName>
    <definedName function="false" hidden="false" name="_t_xsnr_ns_user" vbProcedure="false">['file:///ti/avataremiftools/docs/avatar_emif_registerconfig.xlsm.bkup.xlsm']'step3-ddrtimings'!$g$35</definedName>
    <definedName function="false" hidden="false" name="_t_xsrd" vbProcedure="false">IF(_enable_jedec=1,'title-readme'!_t_xsrd_jedec,_t_xsrd_user)</definedName>
    <definedName function="false" hidden="false" name="_t_xsrd_user" vbProcedure="false">MAX(MIN(ROUNDUP(MAX(_t_xsrd_ck_user, _t_xsrd_ns_user*_ddr_pll_freq/1000),0)-1,2^10-1),0)</definedName>
    <definedName function="false" hidden="false" name="_t_xsrd_ck_user" vbProcedure="false">['file:///ti/avataremiftools/docs/avatar_emif_registerconfig.xlsm.bkup.xlsm']'step3-ddrtimings'!$f$36</definedName>
    <definedName function="false" hidden="false" name="_t_xsrd_ns_user" vbProcedure="false">['file:///ti/avataremiftools/docs/avatar_emif_registerconfig.xlsm.bkup.xlsm']'step3-ddrtimings'!$g$36</definedName>
    <definedName function="false" hidden="false" name="_t_rtp" vbProcedure="false">IF(_enable_jedec=1,'title-readme'!_t_rtp_jedec,_t_rtp_user)</definedName>
    <definedName function="false" hidden="false" name="_t_rtp_user" vbProcedure="false">MAX(MIN(ROUNDUP(MAX(_t_rtp_ck_user, _t_rtp_ns_user*_ddr_pll_freq/1000),0)-1,2^3-1),0)</definedName>
    <definedName function="false" hidden="false" name="_t_rtp_ck_user" vbProcedure="false">['file:///ti/avataremiftools/docs/avatar_emif_registerconfig.xlsm.bkup.xlsm']'step3-ddrtimings'!$f$37</definedName>
    <definedName function="false" hidden="false" name="_t_rtp_ns_user" vbProcedure="false">['file:///ti/avataremiftools/docs/avatar_emif_registerconfig.xlsm.bkup.xlsm']'step3-ddrtimings'!$g$37</definedName>
    <definedName function="false" hidden="false" name="_t_cke" vbProcedure="false">IF(_enable_jedec=1,'title-readme'!_t_cke_jedec,_t_cke_user)</definedName>
    <definedName function="false" hidden="false" name="_EMIF_SDRAM_TIM_3_VAL" vbProcedure="false">DEC2HEX(SUM(_t_pdll_ul*2^28,_t_csta*2^24,_t_ckesr*2^21,_t_zqcs*2^15,_t_dqsck_max*2^13,_t_rfc*2^4,_t_ras_max),8)</definedName>
    <definedName function="false" hidden="false" name="_t_pdll_ul" vbProcedure="false">4</definedName>
    <definedName function="false" hidden="false" name="_t_csta" vbProcedure="false">IF(_sdram_config_ebank=1,6-1,0)</definedName>
    <definedName function="false" hidden="false" name="_t_ckesr" vbProcedure="false">IF(_enable_jedec=1,'title-readme'!_t_ckesr_jedec,_t_ckesr_user)</definedName>
    <definedName function="false" hidden="false" name="_t_ckesr_user" vbProcedure="false">MAX(MIN(ROUNDUP(MAX(_t_ckesr_ck_user, _t_ckesr_ns_user*_ddr_pll_freq/1000),0)-1,2^3-1),0)</definedName>
    <definedName function="false" hidden="false" name="_t_ckesr_ck_user" vbProcedure="false">['file:///ti/avataremiftools/docs/avatar_emif_registerconfig.xlsm.bkup.xlsm']'step3-ddrtimings'!$f$39</definedName>
    <definedName function="false" hidden="false" name="_t_ckesr_ns_user" vbProcedure="false">['file:///ti/avataremiftools/docs/avatar_emif_registerconfig.xlsm.bkup.xlsm']'step3-ddrtimings'!$g$39</definedName>
    <definedName function="false" hidden="false" name="_t_zqcs" vbProcedure="false">IF(_enable_jedec=1,'title-readme'!_t_zqcs_jedec,_t_zqcs_user)</definedName>
    <definedName function="false" hidden="false" name="_t_zqcs_user" vbProcedure="false">MAX(MIN(ROUNDUP(MAX(_t_zqcs_ck_user, _t_zqcs_ns_user*_ddr_pll_freq/1000),0)-1,2^6-1),0)</definedName>
    <definedName function="false" hidden="false" name="_t_zqcs_ck_user" vbProcedure="false">['file:///ti/avataremiftools/docs/avatar_emif_registerconfig.xlsm.bkup.xlsm']'step3-ddrtimings'!$f$40</definedName>
    <definedName function="false" hidden="false" name="_t_zqcs_ns_user" vbProcedure="false">['file:///ti/avataremiftools/docs/avatar_emif_registerconfig.xlsm.bkup.xlsm']'step3-ddrtimings'!$g$40</definedName>
    <definedName function="false" hidden="false" name="_t_dqsck_max" vbProcedure="false">IF(_sdram_type="LPDDR2",MAX(MIN(ROUNDUP(_t_dqsck_max_ps*_ddr_pll_freq/1000000,0)-1,2^2-1),0),0)</definedName>
    <definedName function="false" hidden="false" name="_t_dqsck_max_ps" vbProcedure="false">6000</definedName>
    <definedName function="false" hidden="false" name="_t_rfc" vbProcedure="false">IF(_enable_jedec=1,'title-readme'!_t_rfc_jedec,_t_rfc_user)</definedName>
    <definedName function="false" hidden="false" name="_t_ras_max" vbProcedure="false">IF(_enable_jedec=1,'title-readme'!_t_ras_max_jedec,_t_ras_max_user)</definedName>
    <definedName function="false" hidden="false" name="_t_ras_max_user" vbProcedure="false">MAX(MIN(ROUNDDOWN(_t_ras_max_ns_user/_t_refi_ns_user,0)-1,2^4-1),0)</definedName>
    <definedName function="false" hidden="false" name="_t_ras_max_ns_user" vbProcedure="false">['file:///ti/avataremiftools/docs/avatar_emif_registerconfig.xlsm.bkup.xlsm']'step3-ddrtimings'!$g$42</definedName>
    <definedName function="false" hidden="false" name="_EMIF_TEMP_ALERT_CONFIG_VAL" vbProcedure="false">"00000000"</definedName>
    <definedName function="false" hidden="false" name="_EMIF_ZQ_CONFIG_VAL" vbProcedure="false">DEC2HEX(SUM(_zq_cs1en*2^31,_zq_cs0en*2^30,_zq_dualcalen*2^29,_zq_sfexiten*2^28,_zq_zqinit_mult*2^18,_zq_zqcl_mult*2^16,_zq_refinterval),8)</definedName>
    <definedName function="false" hidden="false" name="_zq_cs1en" vbProcedure="false">_sdram_ebank - 1</definedName>
    <definedName function="false" hidden="false" name="_zq_cs0en" vbProcedure="false">1</definedName>
    <definedName function="false" hidden="false" name="_zq_dualcalen" vbProcedure="false">0</definedName>
    <definedName function="false" hidden="false" name="_zq_sfexiten" vbProcedure="false">1</definedName>
    <definedName function="false" hidden="false" name="_zq_zqinit_mult" vbProcedure="false">1</definedName>
    <definedName function="false" hidden="false" name="_zq_zqcl_mult" vbProcedure="false">3</definedName>
    <definedName function="false" hidden="false" name="_zq_refinterval" vbProcedure="false">6411</definedName>
    <definedName function="false" hidden="false" name="_fifowe_init4_ch1_cs0" vbProcedure="false">_fifowe_ratio4_ch1_cs0 - ROUND((125000 / _ddr_pll_freq / _dll_res),0)</definedName>
    <definedName function="false" hidden="false" name="_fifowe_init4_ch1_cs1" vbProcedure="false">_fifowe_ratio4_ch1_cs1 - ROUND((125000 / _ddr_pll_freq / _dll_res),0)</definedName>
    <definedName function="false" hidden="false" name="_is_ma_present" vbProcedure="false">IF('title-readme'!_soc_name="adaslow",0,1)</definedName>
    <definedName function="false" hidden="false" name="_j6e_evm_rdtrip_delay_emif1" vbProcedure="false">0</definedName>
    <definedName function="false" hidden="false" name="_j6_evm_rdtrip_delay_emif1" vbProcedure="false">1000</definedName>
    <definedName function="false" hidden="false" name="_j6_evm_rdtrip_delay_emif2" vbProcedure="false">700</definedName>
    <definedName function="false" hidden="false" name="_lpddr2_cl" vbProcedure="false">{"NA"}</definedName>
    <definedName function="false" hidden="false" name="_lpddr2_sb_1074_ck" vbProcedure="false">{1.875}</definedName>
    <definedName function="false" hidden="false" name="_lpddr2_sb_1074_cl" vbProcedure="false">{8}</definedName>
    <definedName function="false" hidden="false" name="_lpddr2_sb_336_ck" vbProcedure="false">{6}</definedName>
    <definedName function="false" hidden="false" name="_lpddr2_sb_336_cl" vbProcedure="false">{3}</definedName>
    <definedName function="false" hidden="false" name="_lpddr2_sb_403_ck" vbProcedure="false">{5}</definedName>
    <definedName function="false" hidden="false" name="_lpddr2_sb_403_cl" vbProcedure="false">{3}</definedName>
    <definedName function="false" hidden="false" name="_lpddr2_sb_537_ck" vbProcedure="false">{3.75}</definedName>
    <definedName function="false" hidden="false" name="_lpddr2_sb_537_cl" vbProcedure="false">{4}</definedName>
    <definedName function="false" hidden="false" name="_lpddr2_sb_672_ck" vbProcedure="false">{3}</definedName>
    <definedName function="false" hidden="false" name="_lpddr2_sb_672_cl" vbProcedure="false">{5}</definedName>
    <definedName function="false" hidden="false" name="_lpddr2_sb_806_ck" vbProcedure="false">{2.5}</definedName>
    <definedName function="false" hidden="false" name="_lpddr2_sb_806_cl" vbProcedure="false">{6}</definedName>
    <definedName function="false" hidden="false" name="_lpddr2_sb_940_ck" vbProcedure="false">{2.14}</definedName>
    <definedName function="false" hidden="false" name="_lpddr2_sb_940_cl" vbProcedure="false">{7}</definedName>
    <definedName function="false" hidden="false" name="_lpddr2_sb_lookup" vbProcedure="false">{336;403;537;672;806;940;1074}</definedName>
    <definedName function="false" hidden="false" name="_lpddr2_sb_wtr" vbProcedure="false">{10;10;7.5;7.5;7.5;7.5;7.5}</definedName>
    <definedName function="false" hidden="false" name="_phy_fifowe_mis_clr" vbProcedure="false">0</definedName>
    <definedName function="false" hidden="false" name="_phy_mdll_unlock_clr" vbProcedure="false">0</definedName>
    <definedName function="false" hidden="false" name="_phy_rdc_fifo_rst_err_cnt_clr" vbProcedure="false">0</definedName>
    <definedName function="false" hidden="false" name="_phy_rdlvlgateinc_int" vbProcedure="false">0</definedName>
    <definedName function="false" hidden="false" name="_phy_rdlvlgateinc_rmp_int" vbProcedure="false">0</definedName>
    <definedName function="false" hidden="false" name="_phy_rdlvlinc_int" vbProcedure="false">0</definedName>
    <definedName function="false" hidden="false" name="_phy_rdlvlinc_rmp_int" vbProcedure="false">0</definedName>
    <definedName function="false" hidden="false" name="_phy_rdwrlvlinc_pre" vbProcedure="false">0</definedName>
    <definedName function="false" hidden="false" name="_phy_rdwrlvlinc_rmp_pre" vbProcedure="false">0</definedName>
    <definedName function="false" hidden="false" name="_phy_wrlvlinc_int" vbProcedure="false">0</definedName>
    <definedName function="false" hidden="false" name="_phy_wrlvlinc_rmp_int" vbProcedure="false">0</definedName>
    <definedName function="false" hidden="false" name="_sdram_cl" vbProcedure="false">INDEX(_sdram_sb_cl,SMALL(IF(1000/_ddr_pll_freq&gt;=_sdram_sb_ck,ROW(INDIRECT(CONCATENATE("1:",ROWS(_sdram_sb_ck)))),""),ROW(INDIRECT("1:1"))))</definedName>
    <definedName function="false" hidden="false" name="_sdram_sb_cl" vbProcedure="false">IF(_sdram_type="DDR2",CHOOSE(_sdram_sb,_ddr2_sb_403_cl,_ddr2_sb_404_cl,_ddr2_sb_536_cl,_ddr2_sb_537_cl,_ddr2_sb_671_cl,_ddr2_sb_672_cl,_ddr2_sb_804_cl,_ddr2_sb_805_cl,_ddr2_sb_806_cl),IF(_sdram_type="DDR3/L",CHOOSE(_sdram_sb,_ddr3_sb_805_cl,_ddr3_sb_806_cl,_ddr3_sb_1072_cl,_ddr3_sb_1073_cl,_ddr3_sb_1074_cl,_ddr3_sb_1340_cl,_ddr3_sb_1341_cl,_ddr3_sb_1342_cl,_ddr3_sb_1343_cl,_ddr3_sb_1608_cl,_ddr3_sb_1609_cl,_ddr3_sb_1610_cl,_ddr3_sb_1611_cl,_ddr3_sb_1876_cl,_ddr3_sb_1877_cl,_ddr3_sb_1878_cl,_ddr3_sb_1879_cl,_ddr3_sb_2144_cl,_ddr3_sb_2145_cl,_ddr3_sb_2146_cl,_ddr3_sb_2147_cl),CHOOSE(_sdram_sb,_lpddr2_sb_336_cl,_lpddr2_sb_403_cl,_lpddr2_sb_537_cl,_lpddr2_sb_672_cl,_lpddr2_sb_806_cl,_lpddr2_sb_940_cl,_lpddr2_sb_1074_cl)))</definedName>
    <definedName function="false" hidden="false" name="_sdram_sb" vbProcedure="false">MATCH(_sdram_data_rate + _sdram_cl_max,_sdram_sb_lookup,0)</definedName>
    <definedName function="false" hidden="false" name="_sdram_data_rate" vbProcedure="false">['file:///ti/avataremiftools/docs/avatar_emif_registerconfig.xlsm.bkup.xlsm']'step1-systemdetails'!$f$31</definedName>
    <definedName function="false" hidden="false" name="_sdram_cl_max" vbProcedure="false">['file:///ti/avataremiftools/docs/avatar_emif_registerconfig.xlsm.bkup.xlsm']'step1-systemdetails'!$f$34</definedName>
    <definedName function="false" hidden="false" name="_sdram_sb_lookup" vbProcedure="false">IF(_sdram_type="DDR2",_ddr2_sb_lookup,IF(_sdram_type="DDR3/L",_ddr3_sb_lookup,_lpddr2_sb_lookup))</definedName>
    <definedName function="false" hidden="false" name="_sdram_sb_ck" vbProcedure="false">IF(_sdram_type="DDR2",CHOOSE(_sdram_sb,_ddr2_sb_403_ck,_ddr2_sb_404_ck,_ddr2_sb_536_ck,_ddr2_sb_537_ck,_ddr2_sb_671_ck,_ddr2_sb_672_ck,_ddr2_sb_804_ck,_ddr2_sb_805_ck,_ddr2_sb_806_ck),IF(_sdram_type="DDR3/L",CHOOSE(_sdram_sb,_ddr3_sb_805_ck,_ddr3_sb_806_ck,_ddr3_sb_1072_ck,_ddr3_sb_1073_ck,_ddr3_sb_1074_ck,_ddr3_sb_1340_ck,_ddr3_sb_1341_ck,_ddr3_sb_1342_ck,_ddr3_sb_1343_ck,_ddr3_sb_1608_ck,_ddr3_sb_1609_ck,_ddr3_sb_1610_ck,_ddr3_sb_1611_ck,_ddr3_sb_1876_ck,_ddr3_sb_1877_ck,_ddr3_sb_1878_ck,_ddr3_sb_1879_ck,_ddr3_sb_2144_ck,_ddr3_sb_2145_ck,_ddr3_sb_2146_ck,_ddr3_sb_2147_ck),CHOOSE(_sdram_sb,_lpddr2_sb_336_ck,_lpddr2_sb_403_ck,_lpddr2_sb_537_ck,_lpddr2_sb_672_ck,_lpddr2_sb_806_ck,_lpddr2_sb_940_ck,_lpddr2_sb_1074_ck)))</definedName>
    <definedName function="false" hidden="false" name="_sdram_col_bits" vbProcedure="false">IF(_sdram_type="DDR3/L",_sdram_col_bits_ddr3,IF(_sdram_type="DDR2",_sdram_col_bits_ddr2,_sdram_col_bits_lpddr2))</definedName>
    <definedName function="false" hidden="false" name="_sdram_col_bits_ddr3" vbProcedure="false">IF(AND(_sdram_density=8,_sdram_width=4),12,IF(OR(AND(_sdram_density=8,_sdram_width=8),_sdram_width=4),11,10))</definedName>
    <definedName function="false" hidden="false" name="_sdram_col_bits_ddr2" vbProcedure="false">IF(_sdram_width=32,9,IF(AND(_sdram_density=0.25,_sdram_width=16),9,IF(_sdram_width=4,11,10)))</definedName>
    <definedName function="false" hidden="false" name="_sdram_col_bits_lpddr2" vbProcedure="false">IF(_sdram_density&lt;0.5,IF(_sdram_width=32,8,IF(_sdram_width=16,9,10)),IF(_sdram_density&gt;2,IF(_sdram_width=32,10,IF(_sdram_width=16,11,12)),IF(_sdram_width=32,9,IF(_sdram_width=16,10,11))))</definedName>
    <definedName function="false" hidden="false" name="_sdram_config_ibank" vbProcedure="false">IF(_sdram_type="DDR3/L",_sdram_config_ibank_ddr3,IF(_sdram_type="DDR2",_sdram_config_ibank_ddr2,_sdram_config_ibank_lpddr2))</definedName>
    <definedName function="false" hidden="false" name="_sdram_config_ibank_ddr3" vbProcedure="false">8</definedName>
    <definedName function="false" hidden="false" name="_sdram_config_ibank_ddr2" vbProcedure="false">IF(_sdram_density&lt;1,4,8)</definedName>
    <definedName function="false" hidden="false" name="_sdram_config_ibank_lpddr2" vbProcedure="false">IF(_sdram_density&lt;1,4,8)</definedName>
    <definedName function="false" hidden="false" name="_sdram_cwl" vbProcedure="false">IF(_sdram_type="DDR3/L",INDEX(_sdram_sb_cwl,SMALL(IF(1000/_ddr_pll_freq&gt;=_sdram_sb_ck,ROW(INDIRECT(CONCATENATE("1:",ROWS(_sdram_sb_ck)))),""),ROW(INDIRECT("1:1")))),0)</definedName>
    <definedName function="false" hidden="false" name="_sdram_sb_cwl" vbProcedure="false">CHOOSE(_sdram_sb,_ddr3_sb_805_cwl,_ddr3_sb_806_cwl,_ddr3_sb_1072_cwl,_ddr3_sb_1073_cwl,_ddr3_sb_1074_cwl,_ddr3_sb_1340_cwl,_ddr3_sb_1341_cwl,_ddr3_sb_1342_cwl,_ddr3_sb_1343_cwl,_ddr3_sb_1608_cwl,_ddr3_sb_1609_cwl,_ddr3_sb_1610_cwl,_ddr3_sb_1611_cwl,_ddr3_sb_1876_cwl,_ddr3_sb_1877_cwl,_ddr3_sb_1878_cwl,_ddr3_sb_1879_cwl,_ddr3_sb_2144_cwl,_ddr3_sb_2145_cwl,_ddr3_sb_2146_cwl,_ddr3_sb_2147_cwl)</definedName>
    <definedName function="false" hidden="false" name="_sdram_pagesize" vbProcedure="false">2^_sdram_col_bits * _sdram_width / 8</definedName>
    <definedName function="false" hidden="false" name="_sdram_pagesize_list" vbProcedure="false">{256;512;1024;2048}</definedName>
    <definedName function="false" hidden="false" name="_sdram_sb_list" vbProcedure="false">IF(IF('title-readme'!_sdram_sb_lookup-_sdram_data_rate&gt;100,1,0)+IF('title-readme'!_sdram_sb_lookup-_sdram_data_rate&lt;0,1,0)=0,ROW(INDIRECT(CONCATENATE("1:",ROWS('title-readme'!_sdram_sb_lookup)))),"")</definedName>
    <definedName function="false" hidden="false" name="_sival_rdtrip_delay" vbProcedure="false">1000</definedName>
    <definedName function="false" hidden="false" name="_soc_io_i_part0_vayu" vbProcedure="false">4</definedName>
    <definedName function="false" hidden="false" name="_soc_register_name" vbProcedure="false">INDIRECT(ADDRESS(ROW(),COLUMN()+1))</definedName>
    <definedName function="false" hidden="false" name="_soc_register_name_ctrl_vayu" vbProcedure="false">{"CTRL_CORE_CONTROL_DDRCACH1_0_VAL";"CTRL_CORE_CONTROL_DDRCACH2_0_VAL";"CTRL_CORE_CONTROL_DDRCH1_0_VAL";"CTRL_CORE_CONTROL_DDRCH1_1_VAL";"CTRL_CORE_CONTROL_DDRCH2_0_VAL";"CTRL_CORE_CONTROL_DDRCH2_1_VAL";"CTRL_CORE_CONTROL_DDRCH1_2_VAL";"CTRL_WKUP_EMIF1_SDRAM_CONFIG_EXT";"CTRL_WKUP_EMIF2_SDRAM_CONFIG_EXT"}</definedName>
    <definedName function="false" hidden="false" name="_soc_register_name_ddrphy1" vbProcedure="false">IFERROR(CONCATENATE("// EMIF1_",INDEX(_soc_register_name_ddrphy_list,ROW()-ROW(_soc_register_name_ddrphy1_start)+1)),"")</definedName>
    <definedName function="false" hidden="false" name="_soc_register_name_ddrphy_list" vbProcedure="false">CHOOSE(MATCH('title-readme'!_soc_name,'title-readme'!_soc_names,0),_soc_register_name_ddrphy_omap5_list,_soc_register_name_ddrphy_vayu_list,_soc_register_name_ddrphy_vayu_list,_soc_register_name_ddrphy_vayu_list)</definedName>
    <definedName function="false" hidden="false" name="_soc_register_name_ddrphy_omap5_list" vbProcedure="false">{"EXT_PHY_CTRL_1";"EXT_PHY_CTRL_2";"EXT_PHY_CTRL_3";"EXT_PHY_CTRL_4";"EXT_PHY_CTRL_5";"EXT_PHY_CTRL_6";"EXT_PHY_CTRL_7";"EXT_PHY_CTRL_8";"EXT_PHY_CTRL_9";"EXT_PHY_CTRL_10";"EXT_PHY_CTRL_11";"EXT_PHY_CTRL_12";"EXT_PHY_CTRL_13";"EXT_PHY_CTRL_14";"EXT_PHY_CTRL_15";"EXT_PHY_CTRL_16";"EXT_PHY_CTRL_17";"EXT_PHY_CTRL_18";"EXT_PHY_CTRL_19";"EXT_PHY_CTRL_20";"EXT_PHY_CTRL_21";"EXT_PHY_CTRL_22";"EXT_PHY_CTRL_23";"EXT_PHY_CTRL_24"}</definedName>
    <definedName function="false" hidden="false" name="_soc_register_name_ddrphy_vayu_list" vbProcedure="false">{"EXT_PHY_CTRL_1";"EXT_PHY_CTRL_2";"EXT_PHY_CTRL_3";"EXT_PHY_CTRL_4";"EXT_PHY_CTRL_5";"EXT_PHY_CTRL_6";"EXT_PHY_CTRL_7";"EXT_PHY_CTRL_8";"EXT_PHY_CTRL_9";"EXT_PHY_CTRL_10";"EXT_PHY_CTRL_11";"EXT_PHY_CTRL_12";"EXT_PHY_CTRL_13";"EXT_PHY_CTRL_14";"EXT_PHY_CTRL_15";"EXT_PHY_CTRL_16";"EXT_PHY_CTRL_17";"EXT_PHY_CTRL_18";"EXT_PHY_CTRL_19";"EXT_PHY_CTRL_20";"EXT_PHY_CTRL_21";"EXT_PHY_CTRL_22";"EXT_PHY_CTRL_23";"EXT_PHY_CTRL_24";"EXT_PHY_CTRL_25";"EXT_PHY_CTRL_26";"EXT_PHY_CTRL_27";"EXT_PHY_CTRL_28";"EXT_PHY_CTRL_29";"EXT_PHY_CTRL_30";"EXT_PHY_CTRL_31";"EXT_PHY_CTRL_32";"EXT_PHY_CTRL_33";"EXT_PHY_CTRL_34";"EXT_PHY_CTRL_35";"EXT_PHY_CTRL_36"}</definedName>
    <definedName function="false" hidden="false" name="_soc_register_name_ddrphy1_start" vbProcedure="false">['file:///ti/avataremiftools/docs/avatar_emif_registerconfig.xlsm.bkup.xlsm']'register values'!$c$83</definedName>
    <definedName function="false" hidden="false" name="_soc_register_name_ddrphy2" vbProcedure="false">IFERROR(CONCATENATE("// EMIF2_",INDEX(_soc_register_name_ddrphy_list,ROW()-ROW(_soc_register_name_ddrphy2_start)+1)),"")</definedName>
    <definedName function="false" hidden="false" name="_soc_register_name_ddrphy2_start" vbProcedure="false">['file:///ti/avataremiftools/docs/avatar_emif_registerconfig.xlsm.bkup.xlsm']'register values'!$c$122</definedName>
    <definedName function="false" hidden="false" name="_soc_register_name_dmm" vbProcedure="false">{"DMM_LISA_MAP_0_VAL";"DMM_LISA_MAP_1_VAL"}</definedName>
    <definedName function="false" hidden="false" name="_soc_register_name_emif" vbProcedure="false">{"EMIF_SDRAM_CONFIG_VAL";"EMIF_SDRAM_CONFIG_2_VAL";"EMIF_SDRAM_REF_CTRL_VAL";"EMIF_SDRAM_TIM_1_VAL";"EMIF_SDRAM_TIM_2_VAL";"EMIF_SDRAM_TIM_3_VAL";"EMIF_SDRAM_ZQ_CONFIG_VAL";"EMIF_RDWR_LVL_RMP_CTRL_VAL";"EMIF_RDWR_LVL_CTRL_VAL";"EMIF_DDR_PHY_CTRL_1_VAL"}</definedName>
    <definedName function="false" hidden="false" name="_soc_register_value" vbProcedure="false">IFERROR(CONCATENATE("0x",eval(CONCATENATE(REPLACE(_soc_register_name,1,3,"_"),"_VAL"))),"")</definedName>
    <definedName function="false" hidden="false" name="_tda3x_evm_rdtrip_delay_emif1" vbProcedure="false">0</definedName>
    <definedName function="false" hidden="false" name="_ti_supported_socs" vbProcedure="false">CONCATENATE(['file:///ti/avataremiftools/docs/avatar_emif_registerconfig.xlsm.bkup.xlsm']dynamicuseroptions!$v$6,['file:///ti/avataremiftools/docs/avatar_emif_registerconfig.xlsm.bkup.xlsm']dynamicuseroptions!$v$7,['file:///ti/avataremiftools/docs/avatar_emif_registerconfig.xlsm.bkup.xlsm']dynamicuseroptions!$v$8,['file:///ti/avataremiftools/docs/avatar_emif_registerconfig.xlsm.bkup.xlsm']dynamicuseroptions!$v$9,['file:///ti/avataremiftools/docs/avatar_emif_registerconfig.xlsm.bkup.xlsm']dynamicuseroptions!$v$10,['file:///ti/avataremiftools/docs/avatar_emif_registerconfig.xlsm.bkup.xlsm']dynamicuseroptions!$v$11,['file:///ti/avataremiftools/docs/avatar_emif_registerconfig.xlsm.bkup.xlsm']dynamicuseroptions!$v$12,['file:///ti/avataremiftools/docs/avatar_emif_registerconfig.xlsm.bkup.xlsm']dynamicuseroptions!$v$13,['file:///ti/avataremiftools/docs/avatar_emif_registerconfig.xlsm.bkup.xlsm']dynamicuseroptions!$v$14,['file:///ti/avataremiftools/docs/avatar_emif_registerconfig.xlsm.bkup.xlsm']dynamicuseroptions!$v$15,['file:///ti/avataremiftools/docs/avatar_emif_registerconfig.xlsm.bkup.xlsm']dynamicuseroptions!$v$16,['file:///ti/avataremiftools/docs/avatar_emif_registerconfig.xlsm.bkup.xlsm']dynamicuseroptions!$v$17,['file:///ti/avataremiftools/docs/avatar_emif_registerconfig.xlsm.bkup.xlsm']dynamicuseroptions!$v$18,['file:///ti/avataremiftools/docs/avatar_emif_registerconfig.xlsm.bkup.xlsm']dynamicuseroptions!$v$19)</definedName>
    <definedName function="false" hidden="false" name="_t_case" vbProcedure="false">85</definedName>
    <definedName function="false" hidden="false" name="_t_ckesr_jedec" vbProcedure="false">IF(_sdram_type="LPDDR2",IFERROR(ROUNDUP(_t_ckesr_ns*_ddr_pll_freq/1000,0)-1,0),_t_cke_jedec+1)</definedName>
    <definedName function="false" hidden="false" name="_t_ckesr_ns" vbProcedure="false">MAX(3*1000/_ddr_pll_freq,15)</definedName>
    <definedName function="false" hidden="false" name="_t_cke_jedec" vbProcedure="false">IFERROR(ROUNDUP(_t_cke_ns*_ddr_pll_freq/1000,0)-1,0)</definedName>
    <definedName function="false" hidden="false" name="_t_cke_ns" vbProcedure="false">IF(_sdram_type="LPDDR2",3*1000/_ddr_pll_freq,IF(_sdram_type="DDR2",3*1000/_ddr_pll_freq,MAX(3*1000/_ddr_pll_freq,INDEX(_ddr3_sb_cke,_sdram_sb))))</definedName>
    <definedName function="false" hidden="false" name="_t_cl_user_max" vbProcedure="false">MAX('title-readme'!_sdram_sb_cl)</definedName>
    <definedName function="false" hidden="false" name="_t_cl_user_min" vbProcedure="false">MIN('title-readme'!_sdram_sb_cl)</definedName>
    <definedName function="false" hidden="false" name="_t_dllk_ns" vbProcedure="false">512*1000/_ddr_pll_freq</definedName>
    <definedName function="false" hidden="false" name="_t_faw_jedec" vbProcedure="false">IFERROR(ROUNDUP(_t_faw_ns*_ddr_pll_freq/4000,0)-1,0)</definedName>
    <definedName function="false" hidden="false" name="_t_faw_ns" vbProcedure="false">IF(_sdram_type="DDR2",IF(_sdram_pagesize=2048,INDEX(_ddr2_sb_faw_2k,_sdram_sb),INDEX(_ddr2_sb_faw_1k,_sdram_sb)),IF(_sdram_pagesize=2048,INDEX(_ddr3_sb_faw_2k,_sdram_sb),INDEX(_ddr3_sb_faw_1k,_sdram_sb)))</definedName>
    <definedName function="false" hidden="false" name="_t_odt" vbProcedure="false">0</definedName>
    <definedName function="false" hidden="false" name="_t_odt_jedec" vbProcedure="false">IFERROR(ROUNDUP(_t_odt_ns*_ddr_pll_freq/1000,0)-1,0)</definedName>
    <definedName function="false" hidden="false" name="_t_odt_ns" vbProcedure="false">IF(_sdram_type="DDR2",2000/_ddr_pll_freq,2)</definedName>
    <definedName function="false" hidden="false" name="_t_ras_jedec" vbProcedure="false">IFERROR(ROUNDUP(_t_ras_ns*_ddr_pll_freq/1000,0)-1,0)</definedName>
    <definedName function="false" hidden="false" name="_t_ras_ns" vbProcedure="false">IF(_sdram_type="LPDDR2",MAX(3*1000/_ddr_pll_freq,42),IF(_sdram_type="DDR2",INDEX(_ddr2_sb_ras_min,_sdram_sb),INDEX(_ddr3_sb_ras_min,_sdram_sb)))</definedName>
    <definedName function="false" hidden="false" name="_t_ras_max_jedec" vbProcedure="false">IFERROR(ROUNDDOWN(_t_ras_max_ns/_t_refi_ns,0)-1,0)</definedName>
    <definedName function="false" hidden="false" name="_t_ras_max_ns" vbProcedure="false">IF(_sdram_type="LPDDR2",70000,IF(_sdram_type="DDR2",70000,9*_t_refi_ns))</definedName>
    <definedName function="false" hidden="false" name="_t_refi_ns" vbProcedure="false">IF(_t_case=95,3900,7800)</definedName>
    <definedName function="false" hidden="false" name="_t_rcd_jedec" vbProcedure="false">IFERROR(ROUNDUP(_t_rcd_ns*_ddr_pll_freq/1000,0)-1,0)</definedName>
    <definedName function="false" hidden="false" name="_t_rcd_ns" vbProcedure="false">IF(_sdram_type="LPDDR2",MAX(3*1000/_ddr_pll_freq,18),IF(_sdram_type="DDR2",INDEX(_ddr2_sb_rcd,_sdram_sb),INDEX(_ddr3_sb_rcd,_sdram_sb)))</definedName>
    <definedName function="false" hidden="false" name="_t_rc_jedec" vbProcedure="false">IFERROR(ROUNDUP(_t_rc_ns*_ddr_pll_freq/1000,0)-1,0)</definedName>
    <definedName function="false" hidden="false" name="_t_rc_ns" vbProcedure="false">IF(_sdram_type="LPDDR2",_t_ras_ns+_t_rp_ns,IF(_sdram_type="DDR2",INDEX(_ddr2_sb_rc,_sdram_sb),INDEX(_ddr3_sb_rc,_sdram_sb)))</definedName>
    <definedName function="false" hidden="false" name="_t_rp_ns" vbProcedure="false">IF(_sdram_type="LPDDR2",MAX(3*1000/_ddr_pll_freq,IF(_sdram_config_ibank=4,18,21)),IF(_sdram_type="DDR2",INDEX(_ddr2_sb_rp,_sdram_sb),INDEX(_ddr3_sb_rp,_sdram_sb)))</definedName>
    <definedName function="false" hidden="false" name="_t_refi_jedec" vbProcedure="false">IFERROR(ROUNDDOWN(_t_refi_ns*_ddr_pll_freq/1000,0),0)</definedName>
    <definedName function="false" hidden="false" name="_t_rfc_ddr2" vbProcedure="false">{75;105;127.5;195;327.5}</definedName>
    <definedName function="false" hidden="false" name="_t_rfc_ddr3" vbProcedure="false">{90;110;160;260;350}</definedName>
    <definedName function="false" hidden="false" name="_t_rfc_jedec" vbProcedure="false">IFERROR(ROUNDUP(_t_rfc_ns*_ddr_pll_freq/1000,0)-1,0)</definedName>
    <definedName function="false" hidden="false" name="_t_rfc_ns" vbProcedure="false">IF(_sdram_type="LPDDR2",INDEX(_t_rfc_lpddr2,MATCH(_sdram_density,_lpddr2_densities,0)),IF(_sdram_type="DDR2",INDEX(_t_rfc_ddr2,MATCH(_sdram_density,_ddr2_densities,0)),INDEX(_t_rfc_ddr3,MATCH(_sdram_density,_ddr3_densities,0))))</definedName>
    <definedName function="false" hidden="false" name="_t_rfc_lpddr2" vbProcedure="false">{90;90;130;130;130;210}</definedName>
    <definedName function="false" hidden="false" name="_t_rp_jedec" vbProcedure="false">IFERROR(ROUNDUP(_t_rp_ns*_ddr_pll_freq/1000,0)-1,0)</definedName>
    <definedName function="false" hidden="false" name="_t_rrd_jedec" vbProcedure="false">IFERROR(ROUNDUP(_t_rrd_ns*_ddr_pll_freq/1000,0)-1,0)</definedName>
    <definedName function="false" hidden="false" name="_t_rrd_ns" vbProcedure="false">IF(_sdram_type="LPDDR2",MAX(2*1000/_ddr_pll_freq,10),IF(_sdram_type="DDR2",IF(_sdram_pagesize=2048,10,7.5),IF(_sdram_pagesize=2048,MAX(4*1000/_ddr_pll_freq,INDEX(_ddr3_sb_rrd_2k,_sdram_sb)),MAX(4*1000/_ddr_pll_freq,INDEX(_ddr3_sb_rrd_1k,_sdram_sb)))))</definedName>
    <definedName function="false" hidden="false" name="_t_rtp_jedec" vbProcedure="false">IFERROR(ROUNDUP(_t_rtp_ns*_ddr_pll_freq/1000,0)-1,0)</definedName>
    <definedName function="false" hidden="false" name="_t_rtp_ns" vbProcedure="false">IF(_sdram_type="LPDDR2",MAX(2*1000/_ddr_pll_freq,7.5),IF(_sdram_type="DDR2",7.5,MAX(4*1000/_ddr_pll_freq,7.5)))</definedName>
    <definedName function="false" hidden="false" name="_t_rtw" vbProcedure="false">ROUNDUP(((((MAX(_t_rdtrip_brddly_p0_ch1_cs0, _t_rdtrip_brddly_p0_ch1_cs1, _t_rdtrip_brddly_p0_ch2_cs0, _t_rdtrip_brddly_p0_ch2_cs1, _t_rdtrip_brddly_p1_ch1_cs0, _t_rdtrip_brddly_p1_ch1_cs1, _t_rdtrip_brddly_p1_ch2_cs0, _t_rdtrip_brddly_p1_ch2_cs1, _t_rdtrip_brddly_p2_ch1_cs0, _t_rdtrip_brddly_p2_ch1_cs1, _t_rdtrip_brddly_p2_ch2_cs0, _t_rdtrip_brddly_p2_ch2_cs1, _t_rdtrip_brddly_p3_ch1_cs0, _t_rdtrip_brddly_p3_ch1_cs1, _t_rdtrip_brddly_p3_ch2_cs0, _t_rdtrip_brddly_p3_ch2_cs1, _t_rdtrip_brddly_p4_ch1_cs0, _t_rdtrip_brddly_p4_ch1_cs1, _t_rdtrip_brddly_p4_ch2_cs0, _t_rdtrip_brddly_p4_ch2_cs1)+400)*_ddr_pll_freq)/1000000)+(_phy_invert_clk*0.5)),0)</definedName>
    <definedName function="false" hidden="false" name="_t_rtw_jedec" vbProcedure="false">0</definedName>
    <definedName function="false" hidden="false" name="_t_wr_jedec" vbProcedure="false">IFERROR(ROUNDUP(_t_wr_ns*_ddr_pll_freq/1000,0)-1,0)</definedName>
    <definedName function="false" hidden="false" name="_t_wr_ns" vbProcedure="false">IF(_sdram_type="LPDDR2",MAX(3*1000/_ddr_pll_freq,15),15)</definedName>
    <definedName function="false" hidden="false" name="_t_wtr_jedec" vbProcedure="false">IFERROR(ROUNDUP(_t_wtr_ns*_ddr_pll_freq/1000,0)-1,0)</definedName>
    <definedName function="false" hidden="false" name="_t_wtr_ns" vbProcedure="false">IF(_sdram_type="LPDDR2",MAX(2*1000/_ddr_pll_freq,INDEX(_lpddr2_sb_wtr,_sdram_sb)),IF(_sdram_type="DDR2",INDEX(_ddr2_sb_wtr,_sdram_sb),MAX(4*1000/_ddr_pll_freq,7.5)))</definedName>
    <definedName function="false" hidden="false" name="_t_xp_jedec" vbProcedure="false">IFERROR(ROUNDUP(_t_xp_ns*_ddr_pll_freq/1000,0)-1,0)</definedName>
    <definedName function="false" hidden="false" name="_t_xp_ns" vbProcedure="false">IF(_sdram_type="LPDDR2",MAX(2*1000/_ddr_pll_freq,7.5),IF(_sdram_type="DDR2",2*1000/_ddr_pll_freq,MAX(3*1000/_ddr_pll_freq,INDEX(_ddr3_sb_xp,_sdram_sb))))</definedName>
    <definedName function="false" hidden="false" name="_t_xsnr_jedec" vbProcedure="false">IFERROR(ROUNDUP(_t_xsnr_ns*_ddr_pll_freq/1000,0)-1,0)</definedName>
    <definedName function="false" hidden="false" name="_t_xsnr_ns" vbProcedure="false">IF(_sdram_type="LPDDR2",MAX(2*1000/_ddr_pll_freq,_t_rfc_ns+10),IF(_sdram_type="DDR2",_t_rfc_ns+10,MAX(5*1000/_ddr_pll_freq,_t_rfc_ns+10)))</definedName>
    <definedName function="false" hidden="false" name="_t_xsrd_jedec" vbProcedure="false">IFERROR(ROUNDUP(_t_xsrd_ns*_ddr_pll_freq/1000,0)-1,0)</definedName>
    <definedName function="false" hidden="false" name="_t_xsrd_ns" vbProcedure="false">IF(_sdram_type="LPDDR2",_t_xsnr_ns,IF(_sdram_type="DDR2",200*1000/_ddr_pll_freq,_t_dllk_ns))</definedName>
    <definedName function="false" hidden="false" name="_t_zqcs_jedec" vbProcedure="false">IFERROR(ROUNDUP(_t_zqcs_ns*_ddr_pll_freq/1000,0)-1,0)</definedName>
    <definedName function="false" hidden="false" name="_t_zqcs_ns" vbProcedure="false">IF(_sdram_type="LPDDR2",MAX(6*1000/_ddr_pll_freq,90),MAX(64*1000/_ddr_pll_freq,80))</definedName>
    <definedName function="false" hidden="false" name="_user_config" vbProcedure="false">'title-readme'!#ref!</definedName>
    <definedName function="false" hidden="false" name="_wrdqs_init4_ch1_cs0" vbProcedure="false">MAX(_wrdqs_ratio4_ch1_cs0 - ROUND((125000 / _ddr_pll_freq / _dll_res),0),0)</definedName>
    <definedName function="false" hidden="false" name="_wrdqs_init4_ch1_cs1" vbProcedure="false">MAX(_wrdqs_ratio4_ch1_cs1 - ROUND((125000 / _ddr_pll_freq / _dll_res),0),0)</definedName>
    <definedName function="false" hidden="false" localSheetId="0" name="_ddr2_ddr3_ecc" vbProcedure="false">{"Yes";"No"}</definedName>
    <definedName function="false" hidden="false" localSheetId="0" name="_ddr2_densities" vbProcedure="false">{0.25;0.5;1;2;4}</definedName>
    <definedName function="false" hidden="false" localSheetId="0" name="_ddr2_drive_imp" vbProcedure="false">{"Normal";"Weak"}</definedName>
    <definedName function="false" hidden="false" localSheetId="0" name="_ddr2_lvl" vbProcedure="false">{"S/W"}</definedName>
    <definedName function="false" hidden="false" localSheetId="0" name="_ddr2_rtt" vbProcedure="false">{"Disabled";"75 Ohm";"150 Ohm";"50 Ohm"}</definedName>
    <definedName function="false" hidden="false" localSheetId="0" name="_ddr2_rttwr" vbProcedure="false">{"NA"}</definedName>
    <definedName function="false" hidden="false" localSheetId="0" name="_ddr2_sb_403_ck" vbProcedure="false">{5;5}</definedName>
    <definedName function="false" hidden="false" localSheetId="0" name="_ddr2_sb_403_cl" vbProcedure="false">{3;4}</definedName>
    <definedName function="false" hidden="false" localSheetId="0" name="_ddr2_sb_404_ck" vbProcedure="false">{5}</definedName>
    <definedName function="false" hidden="false" localSheetId="0" name="_ddr2_sb_404_cl" vbProcedure="false">{4}</definedName>
    <definedName function="false" hidden="false" localSheetId="0" name="_ddr2_sb_536_ck" vbProcedure="false">{3.75;3.75}</definedName>
    <definedName function="false" hidden="false" localSheetId="0" name="_ddr2_sb_536_cl" vbProcedure="false">{3;4}</definedName>
    <definedName function="false" hidden="false" localSheetId="0" name="_ddr2_sb_537_ck" vbProcedure="false">{5;3.75}</definedName>
    <definedName function="false" hidden="false" localSheetId="0" name="_ddr2_sb_537_cl" vbProcedure="false">{3;4}</definedName>
    <definedName function="false" hidden="false" localSheetId="0" name="_ddr2_sb_671_ck" vbProcedure="false">{3;3}</definedName>
    <definedName function="false" hidden="false" localSheetId="0" name="_ddr2_sb_671_cl" vbProcedure="false">{4;5}</definedName>
    <definedName function="false" hidden="false" localSheetId="0" name="_ddr2_sb_672_ck" vbProcedure="false">{3.75;3}</definedName>
    <definedName function="false" hidden="false" localSheetId="0" name="_ddr2_sb_672_cl" vbProcedure="false">{4;5}</definedName>
    <definedName function="false" hidden="false" localSheetId="0" name="_ddr2_sb_804_ck" vbProcedure="false">{2.5;2.5}</definedName>
    <definedName function="false" hidden="false" localSheetId="0" name="_ddr2_sb_804_cl" vbProcedure="false">{4;5}</definedName>
    <definedName function="false" hidden="false" localSheetId="0" name="_ddr2_sb_805_ck" vbProcedure="false">{3.75;2.5}</definedName>
    <definedName function="false" hidden="false" localSheetId="0" name="_ddr2_sb_805_cl" vbProcedure="false">{4;5}</definedName>
    <definedName function="false" hidden="false" localSheetId="0" name="_ddr2_sb_806_ck" vbProcedure="false">{3.75;3;2.5}</definedName>
    <definedName function="false" hidden="false" localSheetId="0" name="_ddr2_sb_806_cl" vbProcedure="false">{4;5;6}</definedName>
    <definedName function="false" hidden="false" localSheetId="0" name="_ddr2_sb_data" vbProcedure="false">{400;533;667;800}</definedName>
    <definedName function="false" hidden="false" localSheetId="0" name="_ddr2_sb_faw_1k" vbProcedure="false">{37.5;37.5;37.5;37.5;37.5;37.5;35;35;35}</definedName>
    <definedName function="false" hidden="false" localSheetId="0" name="_ddr2_sb_faw_2k" vbProcedure="false">{50;50;50;50;50;50;45;45;45}</definedName>
    <definedName function="false" hidden="false" localSheetId="0" name="_ddr2_sb_lookup" vbProcedure="false">{403;404;536;537;671;672;804;805;806}</definedName>
    <definedName function="false" hidden="false" localSheetId="0" name="_ddr2_sb_ras_min" vbProcedure="false">{40;45;45;45;45;45;45;45;45}</definedName>
    <definedName function="false" hidden="false" localSheetId="0" name="_ddr2_sb_rc" vbProcedure="false">{55;65;56.25;60;57;60;55;57.5;60}</definedName>
    <definedName function="false" hidden="false" localSheetId="0" name="_ddr2_sb_rcd" vbProcedure="false">{15;20;11.25;15;12;15;10;12.5;15}</definedName>
    <definedName function="false" hidden="false" localSheetId="0" name="_ddr2_sb_rp" vbProcedure="false">{15;20;11.25;15;12;15;10;12.5;15}</definedName>
    <definedName function="false" hidden="false" localSheetId="0" name="_ddr2_sb_wtr" vbProcedure="false">{10;10;7.5;7.5;7.5;7.5;7.5;7.5;7.5}</definedName>
    <definedName function="false" hidden="false" localSheetId="0" name="_ddr3_densities" vbProcedure="false">{0.5;1;2;4;8}</definedName>
    <definedName function="false" hidden="false" localSheetId="0" name="_ddr3_drive_imp" vbProcedure="false">{"RZQ/6";"RZQ/7"}</definedName>
    <definedName function="false" hidden="false" localSheetId="0" name="_ddr3_lvl" vbProcedure="false">{"S/W","H/W"}</definedName>
    <definedName function="false" hidden="false" localSheetId="0" name="_ddr3_rtt" vbProcedure="false">{"Disabled";"RZQ/4";"RZQ/2";"RZQ/6";"RZQ/12";"RZQ/8"}</definedName>
    <definedName function="false" hidden="false" localSheetId="0" name="_ddr3_rttwr" vbProcedure="false">{"Disabled";"RZQ/4";"RZQ/2"}</definedName>
    <definedName function="false" hidden="false" localSheetId="0" name="_ddr3_sb_1072_ck" vbProcedure="false">{2.5;2.5;1.875;1.875;1.875}</definedName>
    <definedName function="false" hidden="false" localSheetId="0" name="_ddr3_sb_1072_cl" vbProcedure="false">{5;6;6;7;8}</definedName>
    <definedName function="false" hidden="false" localSheetId="0" name="_ddr3_sb_1072_cwl" vbProcedure="false">{5;5;6;6;6}</definedName>
    <definedName function="false" hidden="false" localSheetId="0" name="_ddr3_sb_1073_ck" vbProcedure="false">{3;2.5;1.875;1.875}</definedName>
    <definedName function="false" hidden="false" localSheetId="0" name="_ddr3_sb_1073_cl" vbProcedure="false">{5;6;7;8}</definedName>
    <definedName function="false" hidden="false" localSheetId="0" name="_ddr3_sb_1073_cwl" vbProcedure="false">{5;5;6;6}</definedName>
    <definedName function="false" hidden="false" localSheetId="0" name="_ddr3_sb_1074_ck" vbProcedure="false">{3;2.5;1.875}</definedName>
    <definedName function="false" hidden="false" localSheetId="0" name="_ddr3_sb_1074_cl" vbProcedure="false">{5;6;8}</definedName>
    <definedName function="false" hidden="false" localSheetId="0" name="_ddr3_sb_1074_cwl" vbProcedure="false">{5;5;6}</definedName>
    <definedName function="false" hidden="false" localSheetId="0" name="_ddr3_sb_1340_ck" vbProcedure="false">{2.5;2.5;1.875;1.875;1.5;1.875;1.5;1.5;1.5}</definedName>
    <definedName function="false" hidden="false" localSheetId="0" name="_ddr3_sb_1340_cl" vbProcedure="false">{5;6;6;7;7;8;8;9;10}</definedName>
    <definedName function="false" hidden="false" localSheetId="0" name="_ddr3_sb_1340_cwl" vbProcedure="false">{5;5;6;6;7;6;7;7;7}</definedName>
    <definedName function="false" hidden="false" localSheetId="0" name="_ddr3_sb_1341_ck" vbProcedure="false">{2.5;2.5;1.875;1.875;1.5;1.5;1.5}</definedName>
    <definedName function="false" hidden="false" localSheetId="0" name="_ddr3_sb_1341_cl" vbProcedure="false">{5;6;7;8;8;9;10}</definedName>
    <definedName function="false" hidden="false" localSheetId="0" name="_ddr3_sb_1341_cwl" vbProcedure="false">{5;5;6;6;7;7;7}</definedName>
    <definedName function="false" hidden="false" localSheetId="0" name="_ddr3_sb_1342_ck" vbProcedure="false">{3;2.5;1.875;1.875;1.5;1.5}</definedName>
    <definedName function="false" hidden="false" localSheetId="0" name="_ddr3_sb_1342_cl" vbProcedure="false">{5;6;7;8;9;10}</definedName>
    <definedName function="false" hidden="false" localSheetId="0" name="_ddr3_sb_1342_cwl" vbProcedure="false">{5;5;6;6;7;7}</definedName>
    <definedName function="false" hidden="false" localSheetId="0" name="_ddr3_sb_1343_ck" vbProcedure="false">{3;2.5;1.875;1.5}</definedName>
    <definedName function="false" hidden="false" localSheetId="0" name="_ddr3_sb_1343_cl" vbProcedure="false">{5;6;8;10}</definedName>
    <definedName function="false" hidden="false" localSheetId="0" name="_ddr3_sb_1343_cwl" vbProcedure="false">{5;5;6;7}</definedName>
    <definedName function="false" hidden="false" localSheetId="0" name="_ddr3_sb_1608_ck" vbProcedure="false">{2.5;2.5;1.875;1.875;1.5;1.875;1.5;1.25;1.5;1.25;1.5;1.25;1.25}</definedName>
    <definedName function="false" hidden="false" localSheetId="0" name="_ddr3_sb_1608_cl" vbProcedure="false">{5;6;6;7;7;8;8;8;9;9;10;10;11}</definedName>
    <definedName function="false" hidden="false" localSheetId="0" name="_ddr3_sb_1608_cwl" vbProcedure="false">{5;5;6;6;7;6;7;8;7;8;7;8;8}</definedName>
    <definedName function="false" hidden="false" localSheetId="0" name="_ddr3_sb_1609_ck" vbProcedure="false">{2.5;2.5;1.875;1.875;1.875;1.5;1.5;1.25;1.5;1.25;1.25}</definedName>
    <definedName function="false" hidden="false" localSheetId="0" name="_ddr3_sb_1609_cl" vbProcedure="false">{5;6;6;7;8;8;9;9;10;10;11}</definedName>
    <definedName function="false" hidden="false" localSheetId="0" name="_ddr3_sb_1609_cwl" vbProcedure="false">{5;5;6;6;6;7;7;8;7;8;8}</definedName>
    <definedName function="false" hidden="false" localSheetId="0" name="_ddr3_sb_1610_ck" vbProcedure="false">{2.5;2.5;1.875;1.875;1.5;1.5;1.25;1.25}</definedName>
    <definedName function="false" hidden="false" localSheetId="0" name="_ddr3_sb_1610_cl" vbProcedure="false">{5;6;7;8;9;10;10;11}</definedName>
    <definedName function="false" hidden="false" localSheetId="0" name="_ddr3_sb_1610_cwl" vbProcedure="false">{5;5;6;6;7;7;8;8}</definedName>
    <definedName function="false" hidden="false" localSheetId="0" name="_ddr3_sb_1611_ck" vbProcedure="false">{3;2.5;1.875;1.875;1.5;1.5;1.25}</definedName>
    <definedName function="false" hidden="false" localSheetId="0" name="_ddr3_sb_1611_cl" vbProcedure="false">{5;6;7;8;9;10;11}</definedName>
    <definedName function="false" hidden="false" localSheetId="0" name="_ddr3_sb_1611_cwl" vbProcedure="false">{5;5;6;6;7;7;8}</definedName>
    <definedName function="false" hidden="false" localSheetId="0" name="_ddr3_sb_1876_ck" vbProcedure="false">{1.25}</definedName>
    <definedName function="false" hidden="false" localSheetId="0" name="_ddr3_sb_1876_cl" vbProcedure="false">{1}</definedName>
    <definedName function="false" hidden="false" localSheetId="0" name="_ddr3_sb_1876_cwl" vbProcedure="false">{1}</definedName>
    <definedName function="false" hidden="false" localSheetId="0" name="_ddr3_sb_1877_ck" vbProcedure="false">{1.25}</definedName>
    <definedName function="false" hidden="false" localSheetId="0" name="_ddr3_sb_1877_cl" vbProcedure="false">{1}</definedName>
    <definedName function="false" hidden="false" localSheetId="0" name="_ddr3_sb_1877_cwl" vbProcedure="false">{1}</definedName>
    <definedName function="false" hidden="false" localSheetId="0" name="_ddr3_sb_1878_ck" vbProcedure="false">{1.25}</definedName>
    <definedName function="false" hidden="false" localSheetId="0" name="_ddr3_sb_1878_cl" vbProcedure="false">{1}</definedName>
    <definedName function="false" hidden="false" localSheetId="0" name="_ddr3_sb_1878_cwl" vbProcedure="false">{1}</definedName>
    <definedName function="false" hidden="false" localSheetId="0" name="_ddr3_sb_1879_ck" vbProcedure="false">{1.25}</definedName>
    <definedName function="false" hidden="false" localSheetId="0" name="_ddr3_sb_1879_cl" vbProcedure="false">{1}</definedName>
    <definedName function="false" hidden="false" localSheetId="0" name="_ddr3_sb_1879_cwl" vbProcedure="false">{1}</definedName>
    <definedName function="false" hidden="false" localSheetId="0" name="_ddr3_sb_2144_ck" vbProcedure="false">{1.25}</definedName>
    <definedName function="false" hidden="false" localSheetId="0" name="_ddr3_sb_2144_cl" vbProcedure="false">{1}</definedName>
    <definedName function="false" hidden="false" localSheetId="0" name="_ddr3_sb_2144_cwl" vbProcedure="false">{1}</definedName>
    <definedName function="false" hidden="false" localSheetId="0" name="_ddr3_sb_2145_ck" vbProcedure="false">{1.25}</definedName>
    <definedName function="false" hidden="false" localSheetId="0" name="_ddr3_sb_2145_cl" vbProcedure="false">{1}</definedName>
    <definedName function="false" hidden="false" localSheetId="0" name="_ddr3_sb_2145_cwl" vbProcedure="false">{1}</definedName>
    <definedName function="false" hidden="false" localSheetId="0" name="_ddr3_sb_2146_ck" vbProcedure="false">{1.25}</definedName>
    <definedName function="false" hidden="false" localSheetId="0" name="_ddr3_sb_2146_cl" vbProcedure="false">{1}</definedName>
    <definedName function="false" hidden="false" localSheetId="0" name="_ddr3_sb_2146_cwl" vbProcedure="false">{1}</definedName>
    <definedName function="false" hidden="false" localSheetId="0" name="_ddr3_sb_2147_ck" vbProcedure="false">{1.25}</definedName>
    <definedName function="false" hidden="false" localSheetId="0" name="_ddr3_sb_2147_cl" vbProcedure="false">{1}</definedName>
    <definedName function="false" hidden="false" localSheetId="0" name="_ddr3_sb_2147_cwl" vbProcedure="false">{1}</definedName>
    <definedName function="false" hidden="false" localSheetId="0" name="_ddr3_sb_805_ck" vbProcedure="false">{2.5;2.5}</definedName>
    <definedName function="false" hidden="false" localSheetId="0" name="_ddr3_sb_805_cl" vbProcedure="false">{5;6}</definedName>
    <definedName function="false" hidden="false" localSheetId="0" name="_ddr3_sb_805_cwl" vbProcedure="false">{5;5}</definedName>
    <definedName function="false" hidden="false" localSheetId="0" name="_ddr3_sb_806_ck" vbProcedure="false">{3;2.5}</definedName>
    <definedName function="false" hidden="false" localSheetId="0" name="_ddr3_sb_806_cl" vbProcedure="false">{5;6}</definedName>
    <definedName function="false" hidden="false" localSheetId="0" name="_ddr3_sb_806_cwl" vbProcedure="false">{5;5}</definedName>
    <definedName function="false" hidden="false" localSheetId="0" name="_ddr3_sb_cke" vbProcedure="false">{7.5;7.5;5.625;5.625;5.625;5.625;5.625;5.625;5.625;5;5;5;5;5;5;5;5;5;5;5;5}</definedName>
    <definedName function="false" hidden="false" localSheetId="0" name="_ddr3_sb_data" vbProcedure="false">{800;1066;1333;1600;1866;2133}</definedName>
    <definedName function="false" hidden="false" localSheetId="0" name="_ddr3_sb_faw_1k" vbProcedure="false">{40;40;37.5;37.5;37.5;30;30;30;30;30;30;30;30;27;27;27;27;25;25;25;25}</definedName>
    <definedName function="false" hidden="false" localSheetId="0" name="_ddr3_sb_faw_2k" vbProcedure="false">{50;50;50;50;50;45;45;45;45;40;40;40;40;35;35;35;35;35;35;35;35}</definedName>
    <definedName function="false" hidden="false" localSheetId="0" name="_ddr3_sb_lookup" vbProcedure="false">{805;806;1072;1073;1074;1340;1341;1342;1343;1608;1609;1610;1611;1876;1877;1878;1879;2144;2145;2146;2147}</definedName>
    <definedName function="false" hidden="false" localSheetId="0" name="_ddr3_sb_ras_min" vbProcedure="false">{37.5;37.5;37.5;37.5;37.5;36;36;36;36;35;35;35;35;34;34;34;34;33;33;33;33}</definedName>
    <definedName function="false" hidden="false" localSheetId="0" name="_ddr3_sb_rc" vbProcedure="false">{50;52.5;48.75;50.625;52.5;46.5;48;49.5;51;45;46.25;47.5;48.75;44.7;45.77;46.84;47.91;43.285;44.22;45.155;46.09}</definedName>
    <definedName function="false" hidden="false" localSheetId="0" name="_ddr3_sb_rcd" vbProcedure="false">{12.5;15;11.25;13.125;15;10.5;12;13.5;15;10;11.25;12.5;13.75;10.7;11.77;12.84;13.91;10.285;11.22;12.155;13.09}</definedName>
    <definedName function="false" hidden="false" localSheetId="0" name="_ddr3_sb_rp" vbProcedure="false">{12.5;15;11.25;13.125;15;10.5;12;13.5;15;10;11.25;12.5;13.75;10.7;11.77;12.84;13.91;10.285;11.22;12.155;13.09}</definedName>
    <definedName function="false" hidden="false" localSheetId="0" name="_ddr3_sb_rrd_1k" vbProcedure="false">{10;10;7.5;7.5;7.5;6;6;6;6;6;6;6;6;5;5;5;5;5;5;5;5}</definedName>
    <definedName function="false" hidden="false" localSheetId="0" name="_ddr3_sb_rrd_2k" vbProcedure="false">{10;10;10;10;10;7.5;7.5;7.5;7.5;7.5;7.5;7.5;7.5;6;6;6;6;6;6;6;6}</definedName>
    <definedName function="false" hidden="false" localSheetId="0" name="_ddr3_sb_xp" vbProcedure="false">{7.5;7.5;7.5;7.5;7.5;6;6;6;6;6;6;6;6;6;6;6;6;6;6;6;6}</definedName>
    <definedName function="false" hidden="false" localSheetId="0" name="_dyn_user_cs_list" vbProcedure="false">IF('title-readme'!_soc_name="j6eco",'title-readme'!_soc_cs_j6eco,'title-readme'!_soc_cs_vayu)</definedName>
    <definedName function="false" hidden="false" localSheetId="0" name="_dyn_user_ecc_list" vbProcedure="false">IF(_sdram_type="LPDDR2",'title-readme'!_lpddr2_ecc,'title-readme'!_ddr2_ddr3_ecc)</definedName>
    <definedName function="false" hidden="false" localSheetId="0" name="_dyn_user_memtype_list" vbProcedure="false">CHOOSE(MATCH('title-readme'!_soc_name,'title-readme'!_soc_names,0),'title-readme'!_soc_memtype_vayu,'title-readme'!_soc_memtype_vayu,'title-readme'!_soc_memtype_j6eco,'title-readme'!_soc_memtype_adaslow)</definedName>
    <definedName function="false" hidden="false" localSheetId="0" name="_dyn_user_sdram_data_list" vbProcedure="false">IF(_sdram_type="LPDDR2",'title-readme'!_lpddr2_sb_data,IF(_sdram_type="DDR2",'title-readme'!_ddr2_sb_data,'title-readme'!_ddr3_sb_data))</definedName>
    <definedName function="false" hidden="false" localSheetId="0" name="_dyn_user_sdram_density_list" vbProcedure="false">IF(_sdram_type="LPDDR2",'title-readme'!_lpddr2_densities,IF(_sdram_type="DDR2",'title-readme'!_ddr2_densities,'title-readme'!_ddr3_densities))</definedName>
    <definedName function="false" hidden="false" localSheetId="0" name="_dyn_user_sdram_drivimp_list" vbProcedure="false">IF(_sdram_type="LPDDR2",'title-readme'!_lpddr2_drive_imp,IF(_sdram_type="DDR2",'title-readme'!_ddr2_drive_imp,'title-readme'!_ddr3_drive_imp))</definedName>
    <definedName function="false" hidden="false" localSheetId="0" name="_dyn_user_sdram_lvl_list" vbProcedure="false">IF(OR(_sdram_type="DDR2",_sdram_type="LPDDR2"),'title-readme'!_ddr2_lvl,'title-readme'!_ddr3_lvl)</definedName>
    <definedName function="false" hidden="false" localSheetId="0" name="_dyn_user_sdram_rttwr_list" vbProcedure="false">IF(_sdram_type="LPDDR2",'title-readme'!_lpddr2_rttwr,IF(_sdram_type="DDR2",'title-readme'!_ddr2_rttwr,'title-readme'!_ddr3_rttwr))</definedName>
    <definedName function="false" hidden="false" localSheetId="0" name="_dyn_user_sdram_rtt_list" vbProcedure="false">IF(_sdram_type="LPDDR2",'title-readme'!_lpddr2_rtt,IF(_sdram_type="DDR2",'title-readme'!_ddr2_rtt,'title-readme'!_ddr3_rtt))</definedName>
    <definedName function="false" hidden="false" localSheetId="0" name="_lpddr2_densities" vbProcedure="false">{0.25;0.5;1;2;4;8}</definedName>
    <definedName function="false" hidden="false" localSheetId="0" name="_lpddr2_drive_imp" vbProcedure="false">{34.3;40;48;60;68.6;80;120}</definedName>
    <definedName function="false" hidden="false" localSheetId="0" name="_lpddr2_ecc" vbProcedure="false">{"No"}</definedName>
    <definedName function="false" hidden="false" localSheetId="0" name="_lpddr2_rtt" vbProcedure="false">{"NA"}</definedName>
    <definedName function="false" hidden="false" localSheetId="0" name="_lpddr2_rttwr" vbProcedure="false">{"NA"}</definedName>
    <definedName function="false" hidden="false" localSheetId="0" name="_lpddr2_sb_1074_ck" vbProcedure="false">{1.875}</definedName>
    <definedName function="false" hidden="false" localSheetId="0" name="_lpddr2_sb_1074_cl" vbProcedure="false">{8}</definedName>
    <definedName function="false" hidden="false" localSheetId="0" name="_lpddr2_sb_336_ck" vbProcedure="false">{6}</definedName>
    <definedName function="false" hidden="false" localSheetId="0" name="_lpddr2_sb_336_cl" vbProcedure="false">{3}</definedName>
    <definedName function="false" hidden="false" localSheetId="0" name="_lpddr2_sb_403_ck" vbProcedure="false">{5}</definedName>
    <definedName function="false" hidden="false" localSheetId="0" name="_lpddr2_sb_403_cl" vbProcedure="false">{3}</definedName>
    <definedName function="false" hidden="false" localSheetId="0" name="_lpddr2_sb_537_ck" vbProcedure="false">{3.75}</definedName>
    <definedName function="false" hidden="false" localSheetId="0" name="_lpddr2_sb_537_cl" vbProcedure="false">{4}</definedName>
    <definedName function="false" hidden="false" localSheetId="0" name="_lpddr2_sb_672_ck" vbProcedure="false">{3}</definedName>
    <definedName function="false" hidden="false" localSheetId="0" name="_lpddr2_sb_672_cl" vbProcedure="false">{5}</definedName>
    <definedName function="false" hidden="false" localSheetId="0" name="_lpddr2_sb_806_ck" vbProcedure="false">{2.5}</definedName>
    <definedName function="false" hidden="false" localSheetId="0" name="_lpddr2_sb_806_cl" vbProcedure="false">{6}</definedName>
    <definedName function="false" hidden="false" localSheetId="0" name="_lpddr2_sb_940_ck" vbProcedure="false">{2.14}</definedName>
    <definedName function="false" hidden="false" localSheetId="0" name="_lpddr2_sb_940_cl" vbProcedure="false">{7}</definedName>
    <definedName function="false" hidden="false" localSheetId="0" name="_lpddr2_sb_data" vbProcedure="false">{333;400;533;667;800;933;1066}</definedName>
    <definedName function="false" hidden="false" localSheetId="0" name="_lpddr2_sb_lookup" vbProcedure="false">{336;403;537;672;806;940;1074}</definedName>
    <definedName function="false" hidden="false" localSheetId="0" name="_lpddr2_sb_wtr" vbProcedure="false">{10;10;7.5;7.5;7.5;7.5;7.5}</definedName>
    <definedName function="false" hidden="false" localSheetId="0" name="_sdram_cl" vbProcedure="false">INDEX('title-readme'!_sdram_sb_cl,SMALL(IF(1000/_ddr_pll_freq&gt;='title-readme'!_sdram_sb_ck,ROW(INDIRECT(CONCATENATE("1:",ROWS('title-readme'!_sdram_sb_ck)))),""),ROW(INDIRECT("1:1"))))</definedName>
    <definedName function="false" hidden="false" localSheetId="0" name="_sdram_col_bits" vbProcedure="false">IF(_sdram_type="DDR3/L",'title-readme'!_sdram_col_bits_ddr3,IF(_sdram_type="DDR2",'title-readme'!_sdram_col_bits_ddr2,'title-readme'!_sdram_col_bits_lpddr2))</definedName>
    <definedName function="false" hidden="false" localSheetId="0" name="_sdram_col_bits_ddr2" vbProcedure="false">IF(_sdram_width=32,9,IF(AND(_sdram_density=0.25,_sdram_width=16),9,IF(_sdram_width=4,11,10)))</definedName>
    <definedName function="false" hidden="false" localSheetId="0" name="_sdram_col_bits_ddr3" vbProcedure="false">IF(AND(_sdram_density=8,_sdram_width=4),12,IF(OR(AND(_sdram_density=8,_sdram_width=8),_sdram_width=4),11,10))</definedName>
    <definedName function="false" hidden="false" localSheetId="0" name="_sdram_col_bits_lpddr2" vbProcedure="false">IF(_sdram_density&lt;0.5,IF(_sdram_width=32,8,IF(_sdram_width=16,9,10)),IF(_sdram_density&gt;2,IF(_sdram_width=32,10,IF(_sdram_width=16,11,12)),IF(_sdram_width=32,9,IF(_sdram_width=16,10,11))))</definedName>
    <definedName function="false" hidden="false" localSheetId="0" name="_sdram_config_ibank" vbProcedure="false">IF(_sdram_type="DDR3/L",_sdram_config_ibank_ddr3,IF(_sdram_type="DDR2",'title-readme'!_sdram_config_ibank_ddr2,'title-readme'!_sdram_config_ibank_lpddr2))</definedName>
    <definedName function="false" hidden="false" localSheetId="0" name="_sdram_config_ibank_ddr2" vbProcedure="false">IF(_sdram_density&lt;1,4,8)</definedName>
    <definedName function="false" hidden="false" localSheetId="0" name="_sdram_config_ibank_lpddr2" vbProcedure="false">IF(_sdram_density&lt;1,4,8)</definedName>
    <definedName function="false" hidden="false" localSheetId="0" name="_sdram_cwl" vbProcedure="false">IF(_sdram_type="DDR3/L",INDEX('title-readme'!_sdram_sb_cwl,SMALL(IF(1000/_ddr_pll_freq&gt;='title-readme'!_sdram_sb_ck,ROW(INDIRECT(CONCATENATE("1:",ROWS('title-readme'!_sdram_sb_ck)))),""),ROW(INDIRECT("1:1")))),0)</definedName>
    <definedName function="false" hidden="false" localSheetId="0" name="_sdram_pagesize" vbProcedure="false">2^'title-readme'!_sdram_col_bits * _sdram_width / 8</definedName>
    <definedName function="false" hidden="false" localSheetId="0" name="_sdram_sb" vbProcedure="false">MATCH(_sdram_data_rate + _sdram_cl_max,'title-readme'!_sdram_sb_lookup,0)</definedName>
    <definedName function="false" hidden="false" localSheetId="0" name="_sdram_sb_ck" vbProcedure="false">IF(_sdram_type="DDR2",CHOOSE('title-readme'!_sdram_sb,'title-readme'!_ddr2_sb_403_ck,'title-readme'!_ddr2_sb_404_ck,'title-readme'!_ddr2_sb_536_ck,'title-readme'!_ddr2_sb_537_ck,'title-readme'!_ddr2_sb_671_ck,'title-readme'!_ddr2_sb_672_ck,'title-readme'!_ddr2_sb_804_ck,'title-readme'!_ddr2_sb_805_ck,'title-readme'!_ddr2_sb_806_ck),IF(_sdram_type="DDR3/L",CHOOSE('title-readme'!_sdram_sb,'title-readme'!_ddr3_sb_805_ck,'title-readme'!_ddr3_sb_806_ck,'title-readme'!_ddr3_sb_1072_ck,'title-readme'!_ddr3_sb_1073_ck,'title-readme'!_ddr3_sb_1074_ck,'title-readme'!_ddr3_sb_1340_ck,'title-readme'!_ddr3_sb_1341_ck,'title-readme'!_ddr3_sb_1342_ck,'title-readme'!_ddr3_sb_1343_ck,'title-readme'!_ddr3_sb_1608_ck,'title-readme'!_ddr3_sb_1609_ck,'title-readme'!_ddr3_sb_1610_ck,'title-readme'!_ddr3_sb_1611_ck,'title-readme'!_ddr3_sb_1876_ck,'title-readme'!_ddr3_sb_1877_ck,'title-readme'!_ddr3_sb_1878_ck,'title-readme'!_ddr3_sb_1879_ck,'title-readme'!_ddr3_sb_2144_ck,'title-readme'!_ddr3_sb_2145_ck,'title-readme'!_ddr3_sb_2146_ck,'title-readme'!_ddr3_sb_2147_ck),CHOOSE('title-readme'!_sdram_sb,'title-readme'!_lpddr2_sb_336_ck,'title-readme'!_lpddr2_sb_403_ck,'title-readme'!_lpddr2_sb_537_ck,'title-readme'!_lpddr2_sb_672_ck,'title-readme'!_lpddr2_sb_806_ck,'title-readme'!_lpddr2_sb_940_ck,'title-readme'!_lpddr2_sb_1074_ck)))</definedName>
    <definedName function="false" hidden="false" localSheetId="0" name="_sdram_sb_cl" vbProcedure="false">IF(_sdram_type="DDR2",CHOOSE('title-readme'!_sdram_sb,'title-readme'!_ddr2_sb_403_cl,'title-readme'!_ddr2_sb_404_cl,'title-readme'!_ddr2_sb_536_cl,'title-readme'!_ddr2_sb_537_cl,'title-readme'!_ddr2_sb_671_cl,'title-readme'!_ddr2_sb_672_cl,'title-readme'!_ddr2_sb_804_cl,'title-readme'!_ddr2_sb_805_cl,'title-readme'!_ddr2_sb_806_cl),IF(_sdram_type="DDR3/L",CHOOSE('title-readme'!_sdram_sb,'title-readme'!_ddr3_sb_805_cl,'title-readme'!_ddr3_sb_806_cl,'title-readme'!_ddr3_sb_1072_cl,'title-readme'!_ddr3_sb_1073_cl,'title-readme'!_ddr3_sb_1074_cl,'title-readme'!_ddr3_sb_1340_cl,'title-readme'!_ddr3_sb_1341_cl,'title-readme'!_ddr3_sb_1342_cl,'title-readme'!_ddr3_sb_1343_cl,'title-readme'!_ddr3_sb_1608_cl,'title-readme'!_ddr3_sb_1609_cl,'title-readme'!_ddr3_sb_1610_cl,'title-readme'!_ddr3_sb_1611_cl,'title-readme'!_ddr3_sb_1876_cl,'title-readme'!_ddr3_sb_1877_cl,'title-readme'!_ddr3_sb_1878_cl,'title-readme'!_ddr3_sb_1879_cl,'title-readme'!_ddr3_sb_2144_cl,'title-readme'!_ddr3_sb_2145_cl,'title-readme'!_ddr3_sb_2146_cl,'title-readme'!_ddr3_sb_2147_cl),CHOOSE('title-readme'!_sdram_sb,'title-readme'!_lpddr2_sb_336_cl,'title-readme'!_lpddr2_sb_403_cl,'title-readme'!_lpddr2_sb_537_cl,'title-readme'!_lpddr2_sb_672_cl,'title-readme'!_lpddr2_sb_806_cl,'title-readme'!_lpddr2_sb_940_cl,'title-readme'!_lpddr2_sb_1074_cl)))</definedName>
    <definedName function="false" hidden="false" localSheetId="0" name="_sdram_sb_cwl" vbProcedure="false">CHOOSE('title-readme'!_sdram_sb,'title-readme'!_ddr3_sb_805_cwl,'title-readme'!_ddr3_sb_806_cwl,'title-readme'!_ddr3_sb_1072_cwl,'title-readme'!_ddr3_sb_1073_cwl,'title-readme'!_ddr3_sb_1074_cwl,'title-readme'!_ddr3_sb_1340_cwl,'title-readme'!_ddr3_sb_1341_cwl,'title-readme'!_ddr3_sb_1342_cwl,'title-readme'!_ddr3_sb_1343_cwl,'title-readme'!_ddr3_sb_1608_cwl,'title-readme'!_ddr3_sb_1609_cwl,'title-readme'!_ddr3_sb_1610_cwl,'title-readme'!_ddr3_sb_1611_cwl,'title-readme'!_ddr3_sb_1876_cwl,'title-readme'!_ddr3_sb_1877_cwl,'title-readme'!_ddr3_sb_1878_cwl,'title-readme'!_ddr3_sb_1879_cwl,'title-readme'!_ddr3_sb_2144_cwl,'title-readme'!_ddr3_sb_2145_cwl,'title-readme'!_ddr3_sb_2146_cwl,'title-readme'!_ddr3_sb_2147_cwl)</definedName>
    <definedName function="false" hidden="false" localSheetId="0" name="_sdram_sb_lookup" vbProcedure="false">IF(_sdram_type="DDR2",'title-readme'!_ddr2_sb_lookup,IF(_sdram_type="DDR3/L",'title-readme'!_ddr3_sb_lookup,'title-readme'!_lpddr2_sb_lookup))</definedName>
    <definedName function="false" hidden="false" localSheetId="0" name="_soc_cs_j6eco" vbProcedure="false">{1}</definedName>
    <definedName function="false" hidden="false" localSheetId="0" name="_soc_cs_vayu" vbProcedure="false">{1}</definedName>
    <definedName function="false" hidden="false" localSheetId="0" name="_soc_memtype_adaslow" vbProcedure="false">{"DDR3/L"}</definedName>
    <definedName function="false" hidden="false" localSheetId="0" name="_soc_memtype_j6eco" vbProcedure="false">{"DDR3/L"}</definedName>
    <definedName function="false" hidden="false" localSheetId="0" name="_soc_memtype_vayu" vbProcedure="false">{"DDR2";"DDR3/L"}</definedName>
    <definedName function="false" hidden="false" localSheetId="0" name="_soc_name" vbProcedure="false">CHOOSE(MATCH(_user_soc,'title-readme'!_soc_partnum_list,0),"j6eco","vayu","j6eco","vayu","vayu","j6eco","vayu","adaslow")</definedName>
    <definedName function="false" hidden="false" localSheetId="0" name="_soc_names" vbProcedure="false">{"omap5";"vayu";"j6eco";"adaslow"}</definedName>
    <definedName function="false" hidden="false" localSheetId="0" name="_soc_partnum_list" vbProcedure="false">{"AM571x";"AM572x";"DRA72x";"DRA74x";"DRA75x";"TDA2Ex";"TDA2x";"TDA3x"}</definedName>
    <definedName function="false" hidden="false" localSheetId="0" name="_t_ckesr_jedec" vbProcedure="false">IF(_sdram_type="LPDDR2",IFERROR(ROUNDUP('title-readme'!_t_ckesr_ns*_ddr_pll_freq/1000,0)-1,0),'title-readme'!_t_cke_jedec+1)</definedName>
    <definedName function="false" hidden="false" localSheetId="0" name="_t_ckesr_ns" vbProcedure="false">MAX(3*1000/_ddr_pll_freq,15)</definedName>
    <definedName function="false" hidden="false" localSheetId="0" name="_t_cke_jedec" vbProcedure="false">IFERROR(ROUNDUP('title-readme'!_t_cke_ns*_ddr_pll_freq/1000,0)-1,0)</definedName>
    <definedName function="false" hidden="false" localSheetId="0" name="_t_cke_ns" vbProcedure="false">IF(_sdram_type="LPDDR2",3*1000/_ddr_pll_freq,IF(_sdram_type="DDR2",3*1000/_ddr_pll_freq,MAX(3*1000/_ddr_pll_freq,INDEX('title-readme'!_ddr3_sb_cke,'title-readme'!_sdram_sb))))</definedName>
    <definedName function="false" hidden="false" localSheetId="0" name="_t_dllk_ns" vbProcedure="false">512*1000/_ddr_pll_freq</definedName>
    <definedName function="false" hidden="false" localSheetId="0" name="_t_faw_jedec" vbProcedure="false">IFERROR(ROUNDUP('title-readme'!_t_faw_ns*_ddr_pll_freq/4000,0)-1,0)</definedName>
    <definedName function="false" hidden="false" localSheetId="0" name="_t_faw_ns" vbProcedure="false">IF(_sdram_type="DDR2",IF('title-readme'!_sdram_pagesize=2048,INDEX('title-readme'!_ddr2_sb_faw_2k,'title-readme'!_sdram_sb),INDEX('title-readme'!_ddr2_sb_faw_1k,'title-readme'!_sdram_sb)),IF('title-readme'!_sdram_pagesize=2048,INDEX('title-readme'!_ddr3_sb_faw_2k,'title-readme'!_sdram_sb),INDEX('title-readme'!_ddr3_sb_faw_1k,'title-readme'!_sdram_sb)))</definedName>
    <definedName function="false" hidden="false" localSheetId="0" name="_t_ras_jedec" vbProcedure="false">IFERROR(ROUNDUP('title-readme'!_t_ras_ns*_ddr_pll_freq/1000,0)-1,0)</definedName>
    <definedName function="false" hidden="false" localSheetId="0" name="_t_ras_max_jedec" vbProcedure="false">IFERROR(ROUNDDOWN('title-readme'!_t_ras_max_ns/'title-readme'!_t_refi_ns,0)-1,0)</definedName>
    <definedName function="false" hidden="false" localSheetId="0" name="_t_ras_max_ns" vbProcedure="false">IF(_sdram_type="LPDDR2",70000,IF(_sdram_type="DDR2",70000,9*'title-readme'!_t_refi_ns))</definedName>
    <definedName function="false" hidden="false" localSheetId="0" name="_t_ras_ns" vbProcedure="false">IF(_sdram_type="LPDDR2",MAX(3*1000/_ddr_pll_freq,42),IF(_sdram_type="DDR2",INDEX('title-readme'!_ddr2_sb_ras_min,'title-readme'!_sdram_sb),INDEX('title-readme'!_ddr3_sb_ras_min,'title-readme'!_sdram_sb)))</definedName>
    <definedName function="false" hidden="false" localSheetId="0" name="_t_rcd_jedec" vbProcedure="false">IFERROR(ROUNDUP('title-readme'!_t_rcd_ns*_ddr_pll_freq/1000,0)-1,0)</definedName>
    <definedName function="false" hidden="false" localSheetId="0" name="_t_rcd_ns" vbProcedure="false">IF(_sdram_type="LPDDR2",MAX(3*1000/_ddr_pll_freq,18),IF(_sdram_type="DDR2",INDEX('title-readme'!_ddr2_sb_rcd,'title-readme'!_sdram_sb),INDEX('title-readme'!_ddr3_sb_rcd,'title-readme'!_sdram_sb)))</definedName>
    <definedName function="false" hidden="false" localSheetId="0" name="_t_rc_jedec" vbProcedure="false">IFERROR(ROUNDUP('title-readme'!_t_rc_ns*_ddr_pll_freq/1000,0)-1,0)</definedName>
    <definedName function="false" hidden="false" localSheetId="0" name="_t_rc_ns" vbProcedure="false">IF(_sdram_type="LPDDR2",'title-readme'!_t_ras_ns+'title-readme'!_t_rp_ns,IF(_sdram_type="DDR2",INDEX('title-readme'!_ddr2_sb_rc,'title-readme'!_sdram_sb),INDEX('title-readme'!_ddr3_sb_rc,'title-readme'!_sdram_sb)))</definedName>
    <definedName function="false" hidden="false" localSheetId="0" name="_t_refi_jedec" vbProcedure="false">IFERROR(ROUNDDOWN('title-readme'!_t_refi_ns*_ddr_pll_freq/1000,0),0)</definedName>
    <definedName function="false" hidden="false" localSheetId="0" name="_t_refi_ns" vbProcedure="false">IF(_t_case=95,3900,7800)</definedName>
    <definedName function="false" hidden="false" localSheetId="0" name="_t_rfc_ddr2" vbProcedure="false">{75;105;127.5;195;327.5}</definedName>
    <definedName function="false" hidden="false" localSheetId="0" name="_t_rfc_ddr3" vbProcedure="false">{90;110;160;260;350}</definedName>
    <definedName function="false" hidden="false" localSheetId="0" name="_t_rfc_jedec" vbProcedure="false">IFERROR(ROUNDUP('title-readme'!_t_rfc_ns*_ddr_pll_freq/1000,0)-1,0)</definedName>
    <definedName function="false" hidden="false" localSheetId="0" name="_t_rfc_lpddr2" vbProcedure="false">{90;90;130;130;130;210}</definedName>
    <definedName function="false" hidden="false" localSheetId="0" name="_t_rfc_ns" vbProcedure="false">IF(_sdram_type="LPDDR2",INDEX('title-readme'!_t_rfc_lpddr2,MATCH(_sdram_density,'title-readme'!_lpddr2_densities,0)),IF(_sdram_type="DDR2",INDEX('title-readme'!_t_rfc_ddr2,MATCH(_sdram_density,'title-readme'!_ddr2_densities,0)),INDEX('title-readme'!_t_rfc_ddr3,MATCH(_sdram_density,'title-readme'!_ddr3_densities,0))))</definedName>
    <definedName function="false" hidden="false" localSheetId="0" name="_t_rp_jedec" vbProcedure="false">IFERROR(ROUNDUP('title-readme'!_t_rp_ns*_ddr_pll_freq/1000,0)-1,0)</definedName>
    <definedName function="false" hidden="false" localSheetId="0" name="_t_rp_ns" vbProcedure="false">IF(_sdram_type="LPDDR2",MAX(3*1000/_ddr_pll_freq,IF('title-readme'!_sdram_config_ibank=4,18,21)),IF(_sdram_type="DDR2",INDEX('title-readme'!_ddr2_sb_rp,'title-readme'!_sdram_sb),INDEX('title-readme'!_ddr3_sb_rp,'title-readme'!_sdram_sb)))</definedName>
    <definedName function="false" hidden="false" localSheetId="0" name="_t_rrd_jedec" vbProcedure="false">IFERROR(ROUNDUP('title-readme'!_t_rrd_ns*_ddr_pll_freq/1000,0)-1,0)</definedName>
    <definedName function="false" hidden="false" localSheetId="0" name="_t_rrd_ns" vbProcedure="false">IF(_sdram_type="LPDDR2",MAX(2*1000/_ddr_pll_freq,10),IF(_sdram_type="DDR2",IF('title-readme'!_sdram_pagesize=2048,10,7.5),IF('title-readme'!_sdram_pagesize=2048,MAX(4*1000/_ddr_pll_freq,INDEX('title-readme'!_ddr3_sb_rrd_2k,'title-readme'!_sdram_sb)),MAX(4*1000/_ddr_pll_freq,INDEX('title-readme'!_ddr3_sb_rrd_1k,'title-readme'!_sdram_sb)))))</definedName>
    <definedName function="false" hidden="false" localSheetId="0" name="_t_rtp_jedec" vbProcedure="false">IFERROR(ROUNDUP('title-readme'!_t_rtp_ns*_ddr_pll_freq/1000,0)-1,0)</definedName>
    <definedName function="false" hidden="false" localSheetId="0" name="_t_rtp_ns" vbProcedure="false">IF(_sdram_type="LPDDR2",MAX(2*1000/_ddr_pll_freq,7.5),IF(_sdram_type="DDR2",7.5,MAX(4*1000/_ddr_pll_freq,7.5)))</definedName>
    <definedName function="false" hidden="false" localSheetId="0" name="_t_wr_jedec" vbProcedure="false">IFERROR(ROUNDUP('title-readme'!_t_wr_ns*_ddr_pll_freq/1000,0)-1,0)</definedName>
    <definedName function="false" hidden="false" localSheetId="0" name="_t_wr_ns" vbProcedure="false">IF(_sdram_type="LPDDR2",MAX(3*1000/_ddr_pll_freq,15),15)</definedName>
    <definedName function="false" hidden="false" localSheetId="0" name="_t_wtr_jedec" vbProcedure="false">IFERROR(ROUNDUP('title-readme'!_t_wtr_ns*_ddr_pll_freq/1000,0)-1,0)</definedName>
    <definedName function="false" hidden="false" localSheetId="0" name="_t_wtr_ns" vbProcedure="false">IF(_sdram_type="LPDDR2",MAX(2*1000/_ddr_pll_freq,INDEX('title-readme'!_lpddr2_sb_wtr,'title-readme'!_sdram_sb)),IF(_sdram_type="DDR2",INDEX('title-readme'!_ddr2_sb_wtr,'title-readme'!_sdram_sb),MAX(4*1000/_ddr_pll_freq,7.5)))</definedName>
    <definedName function="false" hidden="false" localSheetId="0" name="_t_xp_jedec" vbProcedure="false">IFERROR(ROUNDUP('title-readme'!_t_xp_ns*_ddr_pll_freq/1000,0)-1,0)</definedName>
    <definedName function="false" hidden="false" localSheetId="0" name="_t_xp_ns" vbProcedure="false">IF(_sdram_type="LPDDR2",MAX(2*1000/_ddr_pll_freq,7.5),IF(_sdram_type="DDR2",2*1000/_ddr_pll_freq,MAX(3*1000/_ddr_pll_freq,INDEX('title-readme'!_ddr3_sb_xp,'title-readme'!_sdram_sb))))</definedName>
    <definedName function="false" hidden="false" localSheetId="0" name="_t_xsnr_jedec" vbProcedure="false">IFERROR(ROUNDUP('title-readme'!_t_xsnr_ns*_ddr_pll_freq/1000,0)-1,0)</definedName>
    <definedName function="false" hidden="false" localSheetId="0" name="_t_xsnr_ns" vbProcedure="false">IF(_sdram_type="LPDDR2",MAX(2*1000/_ddr_pll_freq,'title-readme'!_t_rfc_ns+10),IF(_sdram_type="DDR2",'title-readme'!_t_rfc_ns+10,MAX(5*1000/_ddr_pll_freq,'title-readme'!_t_rfc_ns+10)))</definedName>
    <definedName function="false" hidden="false" localSheetId="0" name="_t_xsrd_jedec" vbProcedure="false">IFERROR(ROUNDUP('title-readme'!_t_xsrd_ns*_ddr_pll_freq/1000,0)-1,0)</definedName>
    <definedName function="false" hidden="false" localSheetId="0" name="_t_xsrd_ns" vbProcedure="false">IF(_sdram_type="LPDDR2",'title-readme'!_t_xsnr_ns,IF(_sdram_type="DDR2",200*1000/_ddr_pll_freq,'title-readme'!_t_dllk_ns))</definedName>
    <definedName function="false" hidden="false" localSheetId="0" name="_t_zqcs_jedec" vbProcedure="false">IFERROR(ROUNDUP('title-readme'!_t_zqcs_ns*_ddr_pll_freq/1000,0)-1,0)</definedName>
    <definedName function="false" hidden="false" localSheetId="0" name="_t_zqcs_ns" vbProcedure="false">IF(_sdram_type="LPDDR2",MAX(6*1000/_ddr_pll_freq,90),MAX(64*1000/_ddr_pll_freq,80))</definedName>
  </definedName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E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Frequency Range:
DDR3 - 303MHz to 400MHz</t>
        </r>
      </text>
    </comment>
  </commentList>
</comments>
</file>

<file path=xl/sharedStrings.xml><?xml version="1.0" encoding="utf-8"?>
<sst xmlns="http://schemas.openxmlformats.org/spreadsheetml/2006/main" count="866" uniqueCount="594">
  <si>
    <t>AM335x EMIF Tool:  Register Configuration</t>
  </si>
  <si>
    <t>TEXAS INSTRUMENTS</t>
  </si>
  <si>
    <t>Pre-defined Configurations</t>
  </si>
  <si>
    <t>Click push buttons to auto-populate worksheets per TI EVMs:</t>
  </si>
  <si>
    <r>
      <t xml:space="preserve">Workbook Supported Configurations</t>
    </r>
    <r>
      <rPr>
        <vertAlign val="superscript"/>
        <sz val="10"/>
        <color rgb="FFFFFFFF"/>
        <rFont val="Times New Roman"/>
        <family val="1"/>
        <charset val="1"/>
      </rPr>
      <t xml:space="preserve">1</t>
    </r>
  </si>
  <si>
    <t>TI Part Numbers:</t>
  </si>
  <si>
    <t>AM335x, AMIC110</t>
  </si>
  <si>
    <t>DDR Types:</t>
  </si>
  <si>
    <t>DDR3, DDR3L</t>
  </si>
  <si>
    <t>Workbook Usage Notes</t>
  </si>
  <si>
    <t>Revision History</t>
  </si>
  <si>
    <t>Revision</t>
  </si>
  <si>
    <t>Description</t>
  </si>
  <si>
    <t>Initial Release</t>
  </si>
  <si>
    <t>v2</t>
  </si>
  <si>
    <t>Fixed the following JIRAs:
https://jira.itg.ti.com/browse/SUBARCTICAPPS-158
https://jira.itg.ti.com/browse/SUBARCTICAPPS-159</t>
  </si>
  <si>
    <t>v3</t>
  </si>
  <si>
    <t>Changed calculation for tRRD to =MAX( MAX(E36,CEILING(F36/A223,1)),CEILING(F35/A223/4,1))-1
tRRD is dependent on the max value of either tFAW or tRRD</t>
  </si>
  <si>
    <t>AM335x EMIF Tool: Register Configuration - Step 1, System Details</t>
  </si>
  <si>
    <t>Directions</t>
  </si>
  <si>
    <t>1)</t>
  </si>
  <si>
    <t>Enter in your specific system application details for all values. Recommended values are provided for steps 1C through 1E.</t>
  </si>
  <si>
    <t>2)</t>
  </si>
  <si>
    <t>Only change values in yellow.  Values in white are fixed or automatically calculated</t>
  </si>
  <si>
    <r>
      <t xml:space="preserve">Note</t>
    </r>
    <r>
      <rPr>
        <b val="true"/>
        <sz val="10"/>
        <color rgb="FFFF0000"/>
        <rFont val="Times New Roman"/>
        <family val="1"/>
        <charset val="1"/>
      </rPr>
      <t xml:space="preserve">: Values shown in red must be changed!</t>
    </r>
  </si>
  <si>
    <t>1A) System application details:</t>
  </si>
  <si>
    <t>Detail</t>
  </si>
  <si>
    <t>Value</t>
  </si>
  <si>
    <t>Units</t>
  </si>
  <si>
    <t>Board Name</t>
  </si>
  <si>
    <t>AM335xSKEVM</t>
  </si>
  <si>
    <t>-</t>
  </si>
  <si>
    <t>Note: used in u-boot tab</t>
  </si>
  <si>
    <t>DDR Memory Type</t>
  </si>
  <si>
    <t>DDR3</t>
  </si>
  <si>
    <t>Note: only DDR3 supported in this tool</t>
  </si>
  <si>
    <t>DDR Memory Frequency</t>
  </si>
  <si>
    <t>MHz</t>
  </si>
  <si>
    <t>DDR Data Bus Width Per EMIF</t>
  </si>
  <si>
    <t>Bits</t>
  </si>
  <si>
    <t>Note: only 16bits supported in this tool</t>
  </si>
  <si>
    <t>DDR DQS</t>
  </si>
  <si>
    <t>Differential</t>
  </si>
  <si>
    <t>DDR Rank</t>
  </si>
  <si>
    <t>Single Rank</t>
  </si>
  <si>
    <t>LPDDR2 Refresh Enable</t>
  </si>
  <si>
    <t>NA</t>
  </si>
  <si>
    <t>LPDDR2 Mode Register Address</t>
  </si>
  <si>
    <t>LPDDR2 Mode Register Data</t>
  </si>
  <si>
    <t>LPDDR2 NVM Row Buffer</t>
  </si>
  <si>
    <t>LPDDR2 NVM Row Buffer Size</t>
  </si>
  <si>
    <t>Bytes</t>
  </si>
  <si>
    <t>PHY_DLL_LOCK_DIFF</t>
  </si>
  <si>
    <t>Default</t>
  </si>
  <si>
    <t>PHY_DLL_LOCK_DIFF_VALUE</t>
  </si>
  <si>
    <t>1B) DDR memory specifications:</t>
  </si>
  <si>
    <t>Speed Bin: Data Rate</t>
  </si>
  <si>
    <t>MT/s</t>
  </si>
  <si>
    <t>Note: Input the max rated data rate of the device, 
    not the operating speed.  Value is used to 
    determine the "JEDEC" values defined in 
    worksheet "Step2-DDR Timings".</t>
  </si>
  <si>
    <t>Density (per device)</t>
  </si>
  <si>
    <t>Gb</t>
  </si>
  <si>
    <t>Number of Rows</t>
  </si>
  <si>
    <t>Number of Columns</t>
  </si>
  <si>
    <t>Number of Banks</t>
  </si>
  <si>
    <t>ntCK</t>
  </si>
  <si>
    <t>Note: Enter CAS Latency at the max rated speed of the device, not 
    the operating speed.  The value not correspond to the actual 
    CAS latency programmed to the EMIF.</t>
  </si>
  <si>
    <t>Width (per device)</t>
  </si>
  <si>
    <t>Average Periodic Refresh Interval</t>
  </si>
  <si>
    <t>ns</t>
  </si>
  <si>
    <t>1C) DDR memory I/O settings (termination / output driver impedance):</t>
  </si>
  <si>
    <t>TI Recommendation**</t>
  </si>
  <si>
    <t>ODT / Rtt_Nom</t>
  </si>
  <si>
    <t>RZQ/4</t>
  </si>
  <si>
    <t>Ohms</t>
  </si>
  <si>
    <t>Dynamic ODT / Rtt_Wr</t>
  </si>
  <si>
    <t>Output Driver Impedance</t>
  </si>
  <si>
    <t>RZQ/6</t>
  </si>
  <si>
    <t>** NOTE: Users should check for recommendations provided by their DDR manufacturer.</t>
  </si>
  <si>
    <t>1D) ZQ Calibration settings:</t>
  </si>
  <si>
    <t>ZQCL on Self Refresh</t>
  </si>
  <si>
    <t>Temperature Sensitivity</t>
  </si>
  <si>
    <r>
      <t xml:space="preserve">%/</t>
    </r>
    <r>
      <rPr>
        <sz val="10"/>
        <rFont val="Calibri"/>
        <family val="2"/>
        <charset val="1"/>
      </rPr>
      <t xml:space="preserve">⁰</t>
    </r>
    <r>
      <rPr>
        <sz val="10"/>
        <rFont val="Arial"/>
        <family val="2"/>
        <charset val="1"/>
      </rPr>
      <t xml:space="preserve">C</t>
    </r>
  </si>
  <si>
    <t>Voltage Sensitivity</t>
  </si>
  <si>
    <t>%/mV</t>
  </si>
  <si>
    <t>Temperature Drift Rate</t>
  </si>
  <si>
    <t>⁰C/Sec</t>
  </si>
  <si>
    <t>0 to 1.2</t>
  </si>
  <si>
    <t>Voltage Drift Rate</t>
  </si>
  <si>
    <t>mV/Sec</t>
  </si>
  <si>
    <t>0 to 15</t>
  </si>
  <si>
    <t>1E) EMIF controller I/O settings (termination / output driver impedance / and slew rate):</t>
  </si>
  <si>
    <t>TI Recommendation</t>
  </si>
  <si>
    <t>ODT</t>
  </si>
  <si>
    <t>Full Thevenin</t>
  </si>
  <si>
    <t>Slew Rate: Clk</t>
  </si>
  <si>
    <t>Slow: SR[4:3] = 0b01</t>
  </si>
  <si>
    <t>Slew Rate: Addr/Ctrl</t>
  </si>
  <si>
    <t>Slew Rate: Data/Strobe</t>
  </si>
  <si>
    <t>Output Driver Impedance: Clk</t>
  </si>
  <si>
    <t>Output Driver Impedance: Addr/Ctrl</t>
  </si>
  <si>
    <t>Output Driver Impedance: DQS</t>
  </si>
  <si>
    <t>Output Driver Impedance: Data</t>
  </si>
  <si>
    <t>Disabled</t>
  </si>
  <si>
    <t>Half Thevenin</t>
  </si>
  <si>
    <t>Disable</t>
  </si>
  <si>
    <t>Normal</t>
  </si>
  <si>
    <t>Fastest: SR[4:3] = 0b00</t>
  </si>
  <si>
    <t>User Config</t>
  </si>
  <si>
    <t>LPDDR2</t>
  </si>
  <si>
    <t>Fast: SR[4:3] = 0b10</t>
  </si>
  <si>
    <t>RZQ/2</t>
  </si>
  <si>
    <t>RZQ/7</t>
  </si>
  <si>
    <t>Slowest: SR[4:3] = 0b11</t>
  </si>
  <si>
    <t>RZQ/12</t>
  </si>
  <si>
    <t>RZQ/8</t>
  </si>
  <si>
    <t>Single Ended</t>
  </si>
  <si>
    <t>Dual Rank</t>
  </si>
  <si>
    <t>Not Applicable</t>
  </si>
  <si>
    <t>MR1</t>
  </si>
  <si>
    <t>MR2</t>
  </si>
  <si>
    <t>MR10</t>
  </si>
  <si>
    <t>AM335x EMIF Tool: Register Configuration - Step 2, DDR Timings</t>
  </si>
  <si>
    <r>
      <t xml:space="preserve">Review the DDR datasheet and provide the "</t>
    </r>
    <r>
      <rPr>
        <i val="true"/>
        <sz val="10"/>
        <color rgb="FFFFFFFF"/>
        <rFont val="Times New Roman"/>
        <family val="1"/>
        <charset val="1"/>
      </rPr>
      <t xml:space="preserve">Datasheet Values</t>
    </r>
    <r>
      <rPr>
        <sz val="10"/>
        <color rgb="FFFFFFFF"/>
        <rFont val="Times New Roman"/>
        <family val="1"/>
        <charset val="1"/>
      </rPr>
      <t xml:space="preserve">" for the corresponding parameters listed in the table in Step 2A.  Fill in cells in yellow only.  White/Gray cells are blank or fixed calculations</t>
    </r>
  </si>
  <si>
    <r>
      <t xml:space="preserve">Compare the "</t>
    </r>
    <r>
      <rPr>
        <i val="true"/>
        <sz val="10"/>
        <color rgb="FFFFFFFF"/>
        <rFont val="Times New Roman"/>
        <family val="1"/>
        <charset val="1"/>
      </rPr>
      <t xml:space="preserve">Final Bit Field Values</t>
    </r>
    <r>
      <rPr>
        <sz val="10"/>
        <color rgb="FFFFFFFF"/>
        <rFont val="Times New Roman"/>
        <family val="1"/>
        <charset val="1"/>
      </rPr>
      <t xml:space="preserve">" to the "</t>
    </r>
    <r>
      <rPr>
        <i val="true"/>
        <sz val="10"/>
        <color rgb="FFFFFFFF"/>
        <rFont val="Times New Roman"/>
        <family val="1"/>
        <charset val="1"/>
      </rPr>
      <t xml:space="preserve">JEDEC Bit Field Values</t>
    </r>
    <r>
      <rPr>
        <sz val="10"/>
        <color rgb="FFFFFFFF"/>
        <rFont val="Times New Roman"/>
        <family val="1"/>
        <charset val="1"/>
      </rPr>
      <t xml:space="preserve">". For more details, please review the notes listed below.</t>
    </r>
  </si>
  <si>
    <t>Notes:</t>
  </si>
  <si>
    <r>
      <t xml:space="preserve">The "</t>
    </r>
    <r>
      <rPr>
        <i val="true"/>
        <sz val="10"/>
        <color rgb="FFFF0000"/>
        <rFont val="Times New Roman"/>
        <family val="1"/>
        <charset val="1"/>
      </rPr>
      <t xml:space="preserve">Final Bit Field Values</t>
    </r>
    <r>
      <rPr>
        <sz val="10"/>
        <color rgb="FFFF0000"/>
        <rFont val="Times New Roman"/>
        <family val="1"/>
        <charset val="1"/>
      </rPr>
      <t xml:space="preserve">" are used to calculate the register values. These are auto-populated based off of the user provided "</t>
    </r>
    <r>
      <rPr>
        <i val="true"/>
        <sz val="10"/>
        <color rgb="FFFF0000"/>
        <rFont val="Times New Roman"/>
        <family val="1"/>
        <charset val="1"/>
      </rPr>
      <t xml:space="preserve">Datasheet Values</t>
    </r>
    <r>
      <rPr>
        <sz val="10"/>
        <color rgb="FFFF0000"/>
        <rFont val="Times New Roman"/>
        <family val="1"/>
        <charset val="1"/>
      </rPr>
      <t xml:space="preserve">"</t>
    </r>
  </si>
  <si>
    <r>
      <t xml:space="preserve">The "</t>
    </r>
    <r>
      <rPr>
        <i val="true"/>
        <sz val="10"/>
        <color rgb="FFFF0000"/>
        <rFont val="Times New Roman"/>
        <family val="1"/>
        <charset val="1"/>
      </rPr>
      <t xml:space="preserve">JEDEC Bit Field Values</t>
    </r>
    <r>
      <rPr>
        <sz val="10"/>
        <color rgb="FFFF0000"/>
        <rFont val="Times New Roman"/>
        <family val="1"/>
        <charset val="1"/>
      </rPr>
      <t xml:space="preserve">" are dynamically populated based off of the user provided DDR speed grade and frequency operation specified in worksheet '</t>
    </r>
    <r>
      <rPr>
        <i val="true"/>
        <sz val="10"/>
        <color rgb="FFFF0000"/>
        <rFont val="Times New Roman"/>
        <family val="1"/>
        <charset val="1"/>
      </rPr>
      <t xml:space="preserve">Step1-SystemDetails</t>
    </r>
    <r>
      <rPr>
        <sz val="10"/>
        <color rgb="FFFF0000"/>
        <rFont val="Times New Roman"/>
        <family val="1"/>
        <charset val="1"/>
      </rPr>
      <t xml:space="preserve">'.</t>
    </r>
  </si>
  <si>
    <t>3)</t>
  </si>
  <si>
    <r>
      <t xml:space="preserve">The "</t>
    </r>
    <r>
      <rPr>
        <i val="true"/>
        <sz val="10"/>
        <color rgb="FFFF0000"/>
        <rFont val="Times New Roman"/>
        <family val="1"/>
        <charset val="1"/>
      </rPr>
      <t xml:space="preserve">Final Bit Field Values</t>
    </r>
    <r>
      <rPr>
        <sz val="10"/>
        <color rgb="FFFF0000"/>
        <rFont val="Times New Roman"/>
        <family val="1"/>
        <charset val="1"/>
      </rPr>
      <t xml:space="preserve">" and "</t>
    </r>
    <r>
      <rPr>
        <i val="true"/>
        <sz val="10"/>
        <color rgb="FFFF0000"/>
        <rFont val="Times New Roman"/>
        <family val="1"/>
        <charset val="1"/>
      </rPr>
      <t xml:space="preserve">JEDEC Bit Field Values</t>
    </r>
    <r>
      <rPr>
        <sz val="10"/>
        <color rgb="FFFF0000"/>
        <rFont val="Times New Roman"/>
        <family val="1"/>
        <charset val="1"/>
      </rPr>
      <t xml:space="preserve">" are provided to allow the user to perform a quick sanity check (Example: check for data possibly entered incorrectly)</t>
    </r>
  </si>
  <si>
    <t>4)</t>
  </si>
  <si>
    <r>
      <t xml:space="preserve">The user is responsible to ensure that the "</t>
    </r>
    <r>
      <rPr>
        <i val="true"/>
        <sz val="10"/>
        <color rgb="FFFF0000"/>
        <rFont val="Times New Roman"/>
        <family val="1"/>
        <charset val="1"/>
      </rPr>
      <t xml:space="preserve">Datasheet Values</t>
    </r>
    <r>
      <rPr>
        <sz val="10"/>
        <color rgb="FFFF0000"/>
        <rFont val="Times New Roman"/>
        <family val="1"/>
        <charset val="1"/>
      </rPr>
      <t xml:space="preserve">" adhere to their DDR device datasheet.</t>
    </r>
  </si>
  <si>
    <t>2A)</t>
  </si>
  <si>
    <t>Enter the numerical values listed in your DDR datasheet into columns E and F for each timing entry.</t>
  </si>
  <si>
    <t>Enter Values Here!</t>
  </si>
  <si>
    <t>Parameter</t>
  </si>
  <si>
    <t>Datasheet Values</t>
  </si>
  <si>
    <t>Final Bit Field Values</t>
  </si>
  <si>
    <t>tCK</t>
  </si>
  <si>
    <t>CAS Latency</t>
  </si>
  <si>
    <t>Delay between internal READ command and data ready</t>
  </si>
  <si>
    <t>CWL Latency</t>
  </si>
  <si>
    <t>Delay between internal WRITE command and data ready</t>
  </si>
  <si>
    <t>tRTW</t>
  </si>
  <si>
    <t>Read to write</t>
  </si>
  <si>
    <t>tRP</t>
  </si>
  <si>
    <t>Precharge command period</t>
  </si>
  <si>
    <t>tRCD</t>
  </si>
  <si>
    <t>Active to read or write delay</t>
  </si>
  <si>
    <t>tWR</t>
  </si>
  <si>
    <t>Write recovery time</t>
  </si>
  <si>
    <t>tRAS</t>
  </si>
  <si>
    <t>Active to Precharge command period</t>
  </si>
  <si>
    <t>tRC</t>
  </si>
  <si>
    <t>Active to Active/Refresh command period</t>
  </si>
  <si>
    <t>tFAW</t>
  </si>
  <si>
    <t>Four Activate Window</t>
  </si>
  <si>
    <t>tRRD</t>
  </si>
  <si>
    <t>Active Bank to Active Bank command period</t>
  </si>
  <si>
    <t>tWTR</t>
  </si>
  <si>
    <t>Internal Write to Read command delay</t>
  </si>
  <si>
    <t>tXP</t>
  </si>
  <si>
    <t>Exit power down mode to first valid command</t>
  </si>
  <si>
    <t>tODT</t>
  </si>
  <si>
    <t>ODT enable to write data</t>
  </si>
  <si>
    <t>tXS</t>
  </si>
  <si>
    <t>Exit self refresh to commands not requiring a locked DLL</t>
  </si>
  <si>
    <t>tXSDLL</t>
  </si>
  <si>
    <t>Exit self refresh to commands requiring a locked DLL</t>
  </si>
  <si>
    <t>tRTP</t>
  </si>
  <si>
    <t>Internal Read to Precharge command delay</t>
  </si>
  <si>
    <t>tCKE</t>
  </si>
  <si>
    <t>CKE minimum pulse width</t>
  </si>
  <si>
    <t>tPDLL_UL</t>
  </si>
  <si>
    <t>tCSTA</t>
  </si>
  <si>
    <t>Turnaround time</t>
  </si>
  <si>
    <t>tCKESR</t>
  </si>
  <si>
    <t>Minimum CKE low width for Self Refresh entry to exit</t>
  </si>
  <si>
    <t>tZQCS</t>
  </si>
  <si>
    <t>ZQ short calibration time</t>
  </si>
  <si>
    <t>tDQSCKmax</t>
  </si>
  <si>
    <t>Maximum time interval between clock and DQS (For LPDDR2)</t>
  </si>
  <si>
    <t>tRFC</t>
  </si>
  <si>
    <t>Refresh to Active/Refresh command period</t>
  </si>
  <si>
    <t>tRAS (max)</t>
  </si>
  <si>
    <t>Active to Precharge command period (Max Value)</t>
  </si>
  <si>
    <t>tREFI intervals</t>
  </si>
  <si>
    <t>tREFI</t>
  </si>
  <si>
    <t>Average periodic refresh interval</t>
  </si>
  <si>
    <t>DDR3_L-2133</t>
  </si>
  <si>
    <t>DDR3_L-1866</t>
  </si>
  <si>
    <t>DDR3_L-1600</t>
  </si>
  <si>
    <t>DDR3_L-1333</t>
  </si>
  <si>
    <t>DDR3_L-1066</t>
  </si>
  <si>
    <t>DDR3_L-800</t>
  </si>
  <si>
    <t>LPDDR2_1066</t>
  </si>
  <si>
    <t>LPDDR2_933</t>
  </si>
  <si>
    <t>LPDDR2_800</t>
  </si>
  <si>
    <t>LPDDR2_667</t>
  </si>
  <si>
    <t>LPDDR2_533</t>
  </si>
  <si>
    <t>tXSNR/tXS</t>
  </si>
  <si>
    <t>tXSRD/tXSDLL</t>
  </si>
  <si>
    <t>LPDDR2_CL</t>
  </si>
  <si>
    <t>AM335x EMIF Tool: Register Configuration - Step 3, Board Details</t>
  </si>
  <si>
    <t>Fill in the board delay and trace lengths for the associated clock and data strobe signals.  Lengths should be measured in inches.</t>
  </si>
  <si>
    <t>For each byte lane, the clock trace length should be equal to the routing length from the SOC to the DDR memory associated with the DQSn signal.</t>
  </si>
  <si>
    <t>3A)</t>
  </si>
  <si>
    <t>Enter the PCB delay per inch</t>
  </si>
  <si>
    <t>Delay</t>
  </si>
  <si>
    <t>Delay per inch</t>
  </si>
  <si>
    <t>ps</t>
  </si>
  <si>
    <t>3B)</t>
  </si>
  <si>
    <t>Enter the trace lengths for the DDR signals</t>
  </si>
  <si>
    <t>DRAMs Connected to EMIF</t>
  </si>
  <si>
    <t>Signal</t>
  </si>
  <si>
    <t>PCB Trace Length in inches</t>
  </si>
  <si>
    <t>Byte 0</t>
  </si>
  <si>
    <t>Byte 1</t>
  </si>
  <si>
    <t>CLK</t>
  </si>
  <si>
    <t>DQSn</t>
  </si>
  <si>
    <t>3C)</t>
  </si>
  <si>
    <t>Invert Clkout</t>
  </si>
  <si>
    <t>CMDx_REG_PHY_INVERT_CLKOUT_0</t>
  </si>
  <si>
    <t>3D)</t>
  </si>
  <si>
    <t>Intermediate values (per byte lane)</t>
  </si>
  <si>
    <t>WR DQS</t>
  </si>
  <si>
    <t>RD DQS</t>
  </si>
  <si>
    <t>RD DQS GATE</t>
  </si>
  <si>
    <t>3E)</t>
  </si>
  <si>
    <t>Seed values used in CCS code</t>
  </si>
  <si>
    <t>DATAx_PHY_RD DQS_SLAVE_RATIO</t>
  </si>
  <si>
    <t>DATAx_PHY_FIFO_WE_SLAVE_RATIO</t>
  </si>
  <si>
    <t>DATAx_PHY_WR DQS_SLAVE_RATIO</t>
  </si>
  <si>
    <t>DATAx_PHY_WR_DATA_SLAVE_RATIO</t>
  </si>
  <si>
    <t>3F)</t>
  </si>
  <si>
    <t>Register value</t>
  </si>
  <si>
    <t>CMDx_PHY_CTRL_SLAVE_RATIO</t>
  </si>
  <si>
    <t>DDR3 Data Rate</t>
  </si>
  <si>
    <t>Clock</t>
  </si>
  <si>
    <t>DDR3-800</t>
  </si>
  <si>
    <t>DDR3-1066</t>
  </si>
  <si>
    <t>DDR3-1333</t>
  </si>
  <si>
    <t>DDR3-1600</t>
  </si>
  <si>
    <t>AM335x EMIF Tool: Register Configuration - Invert Clock Calculation</t>
  </si>
  <si>
    <t>Calculates the configuration and timing registers based on the user inputs in steps 1, 2 and 3.</t>
  </si>
  <si>
    <t>Calculates if invert clock (DDR3 only) is required or not based on the board details.</t>
  </si>
  <si>
    <t>DDR Data Rate</t>
  </si>
  <si>
    <t>DDR Clock Frequency</t>
  </si>
  <si>
    <t>Clock Period</t>
  </si>
  <si>
    <t>Invert Clock</t>
  </si>
  <si>
    <t>Signal Name</t>
  </si>
  <si>
    <t>Board Length
(Inches)</t>
  </si>
  <si>
    <t>Board Delay (ps)</t>
  </si>
  <si>
    <t>tWLS Margin 
(ps)</t>
  </si>
  <si>
    <t>tWLH Margin (ps)</t>
  </si>
  <si>
    <t>DQS0</t>
  </si>
  <si>
    <t>CK_0 (A1+A2)</t>
  </si>
  <si>
    <t>DQS1</t>
  </si>
  <si>
    <t>CK_1 (A1+A2+A3)</t>
  </si>
  <si>
    <t>Copyright (C) 2016 Texas Instruments Incorporated</t>
  </si>
  <si>
    <t>Figure 1: DDR3 Write Leveling DQS_dly Similar to CLK_dly</t>
  </si>
  <si>
    <t>Figure 3: DDR3 Timing Diagram of Write Level ling Sequence (Ref: JESD79-3F)</t>
  </si>
  <si>
    <t>Figure 2: DDR3 Write Leveling invert_clkout set to ‘1’</t>
  </si>
  <si>
    <t>tWLS</t>
  </si>
  <si>
    <t>tWLH</t>
  </si>
  <si>
    <t>Internal Clock Skew (ps)</t>
  </si>
  <si>
    <t>AM335x EMIF Tool: Register Configuration - Configuration and Timing Registers</t>
  </si>
  <si>
    <t>EMIF4D_SDRAM_TIM_1</t>
  </si>
  <si>
    <t>Reserved[31:29]</t>
  </si>
  <si>
    <t>T_RP[28:25]</t>
  </si>
  <si>
    <t>T_RCD[24:21]</t>
  </si>
  <si>
    <t>T_WR[20:17]</t>
  </si>
  <si>
    <t>T_RAS[16:12]</t>
  </si>
  <si>
    <t>T_RC[11:6]</t>
  </si>
  <si>
    <t>T_RRD[5:3]</t>
  </si>
  <si>
    <t>T_WTR[2:0]</t>
  </si>
  <si>
    <t>Bit field values (hex)</t>
  </si>
  <si>
    <t>SDRAM_TIM_1 optimized</t>
  </si>
  <si>
    <t>SDRAM_TIM_1 relaxed</t>
  </si>
  <si>
    <t>Bit field values (binary)</t>
  </si>
  <si>
    <t>Register value (hex) optimized</t>
  </si>
  <si>
    <t>EMIF4D_SDRAM_TIM_2</t>
  </si>
  <si>
    <t>Reserved[31]</t>
  </si>
  <si>
    <t>T_XP[30:28]</t>
  </si>
  <si>
    <t>Reserved[27:25]</t>
  </si>
  <si>
    <t>T_XSNR[24:16]</t>
  </si>
  <si>
    <t>T_XSRD[15:6]</t>
  </si>
  <si>
    <t>T_RTP[5:3]</t>
  </si>
  <si>
    <t>T_CKE[2:0]</t>
  </si>
  <si>
    <t>SDRAM_TIM_2 optimized</t>
  </si>
  <si>
    <t>SDRAM_TIM_2 relaxed</t>
  </si>
  <si>
    <t>EMIF4D_SDRAM_TIM_3</t>
  </si>
  <si>
    <t>T_PDLL_UL[31:28]</t>
  </si>
  <si>
    <t>Reserved[27:21]</t>
  </si>
  <si>
    <t>ZQ_ZQCS[20:15]</t>
  </si>
  <si>
    <t>T_RFC[12:4]</t>
  </si>
  <si>
    <t>T_RAS_MAX[3:0]</t>
  </si>
  <si>
    <t>EMIF4D_SDRAM_CONFIG</t>
  </si>
  <si>
    <t>SDRAM_TYPE[31:29]</t>
  </si>
  <si>
    <t>IBANK_POS[28:27]</t>
  </si>
  <si>
    <t>DDR_TERM[26:24]</t>
  </si>
  <si>
    <t>DDR2_DDQS[23]</t>
  </si>
  <si>
    <t>DYN_ODT[22:21]</t>
  </si>
  <si>
    <t>DDR_DISABLE_DLL[20]</t>
  </si>
  <si>
    <t>SDRAM_DRIVE[19:18]</t>
  </si>
  <si>
    <t>CWL[17:16]</t>
  </si>
  <si>
    <t>NARROW_MODE[15:14]</t>
  </si>
  <si>
    <t>CL[13:10]</t>
  </si>
  <si>
    <t>ROWSIZE[9:7]</t>
  </si>
  <si>
    <t>IBANK[6:4]</t>
  </si>
  <si>
    <t>EBANK[3]</t>
  </si>
  <si>
    <t>PAGESIZE[2:0]</t>
  </si>
  <si>
    <t>SDRAM_TIM_3 optimized</t>
  </si>
  <si>
    <t>SDRAM_TIM_3 relaxed</t>
  </si>
  <si>
    <t>EMIF4D_SDRAM_CONFIG_2</t>
  </si>
  <si>
    <t>RESERVED[31:28]</t>
  </si>
  <si>
    <t>EBANK_POS[27]</t>
  </si>
  <si>
    <t>RESERVED[26:0]</t>
  </si>
  <si>
    <t>000000000000000000000000000</t>
  </si>
  <si>
    <t>EMIF4D_SDRAM_REFRESH_CTRL</t>
  </si>
  <si>
    <t>INITREF_DIS[31]</t>
  </si>
  <si>
    <t>RESERVED[30]</t>
  </si>
  <si>
    <t>SRT[29]</t>
  </si>
  <si>
    <t>ASR[28]</t>
  </si>
  <si>
    <t>RESERVED[27]</t>
  </si>
  <si>
    <t>PASR[26:24]</t>
  </si>
  <si>
    <t>RESERVED[23:16]</t>
  </si>
  <si>
    <t>REFRESH_RATE [15:8]</t>
  </si>
  <si>
    <t>REFRESH_RATE [7:0]</t>
  </si>
  <si>
    <t>SDRAM_CONFIG optimized</t>
  </si>
  <si>
    <t>EMIF4D_LPDDR2_MODE_REG_CONFIG</t>
  </si>
  <si>
    <t>CS[31]</t>
  </si>
  <si>
    <t>REFRESH_EN[30]</t>
  </si>
  <si>
    <t>Reserved[29:20]</t>
  </si>
  <si>
    <t>Reserved[19:10]</t>
  </si>
  <si>
    <t>Reserved[9:8]</t>
  </si>
  <si>
    <t>ADDR[7:0]</t>
  </si>
  <si>
    <t>CTRL_DDR_CMD0_IOCTRL</t>
  </si>
  <si>
    <t>SDRAM_CONFIG_2 optimized</t>
  </si>
  <si>
    <t>Reserved[31:21]</t>
  </si>
  <si>
    <t>Reserved[20:10]</t>
  </si>
  <si>
    <t>IO_CONFIG_SR_CLK [9:8]</t>
  </si>
  <si>
    <t>IO_CONFIG_I_CLK [7:5]</t>
  </si>
  <si>
    <t>IO_CONFIG_SR[4:3]</t>
  </si>
  <si>
    <t>IO_CONFIG_I [2:0]</t>
  </si>
  <si>
    <t>00000000000</t>
  </si>
  <si>
    <t>CTRL_DDR_DATAx_IOCTRL</t>
  </si>
  <si>
    <t>Reserved[31:30]</t>
  </si>
  <si>
    <t>IO_CONFIG_WD1_DQS [29]</t>
  </si>
  <si>
    <t>IO_CONFIG_WD1_DM[28]</t>
  </si>
  <si>
    <t>IO_CONFIG_WD1_DQ [27:20]</t>
  </si>
  <si>
    <t>IO_CONFIG_WD0_DQS[19]</t>
  </si>
  <si>
    <t>IO_CONFIG_WD0_DM [18]</t>
  </si>
  <si>
    <t>IO_CONFIG_WD0_DQ[17:10]</t>
  </si>
  <si>
    <t>IO_CONFIG_SR_CLK[9:8]</t>
  </si>
  <si>
    <t>IO_CONFIG_SR [4:3]</t>
  </si>
  <si>
    <t>IO_CONFIG_I[2:0]</t>
  </si>
  <si>
    <t>SDRAM_REF_CTRL optimized</t>
  </si>
  <si>
    <t>DDR_PHY_CTRL_1</t>
  </si>
  <si>
    <t>phy_enable_dynamic_pwrdn[20]</t>
  </si>
  <si>
    <t>Reserved[19:16]</t>
  </si>
  <si>
    <t>phy_rst_n[15]</t>
  </si>
  <si>
    <t>Reserved[14]</t>
  </si>
  <si>
    <t>phy_idle_local_odt[13:12]</t>
  </si>
  <si>
    <t>phy_wr_local_odt[11:10]</t>
  </si>
  <si>
    <t>phy_rd_local_odt [9:8]</t>
  </si>
  <si>
    <t>Reserved[7:5]</t>
  </si>
  <si>
    <t>read_latency[4:0]</t>
  </si>
  <si>
    <t>ZQ_CONFIG</t>
  </si>
  <si>
    <t>ZQCS1EN[31]</t>
  </si>
  <si>
    <t>ZQCS0EN[30]</t>
  </si>
  <si>
    <t>ZQ_DUALCALEN[29]</t>
  </si>
  <si>
    <t>ZQ_SFEXITEN[28]</t>
  </si>
  <si>
    <t>Reserved[27:20]</t>
  </si>
  <si>
    <t>ZQ_ZQINIT_MULT[19:18]</t>
  </si>
  <si>
    <t>ZQ_ZQCL_MULT[17:16]</t>
  </si>
  <si>
    <t>ZQ_REFINTERVAL[15:8]</t>
  </si>
  <si>
    <t>ZQ_REFINTERVAL[7:0]</t>
  </si>
  <si>
    <t>ADDRCTRL_IOCTRL optimized</t>
  </si>
  <si>
    <t>DATAx_IOCTRL optimized</t>
  </si>
  <si>
    <t>DDR_PHY_CTRL_1 optimized</t>
  </si>
  <si>
    <t>ZQ_CONFIG optimized</t>
  </si>
  <si>
    <t>AM335x EMIF Tool: Register Configuration - Registers</t>
  </si>
  <si>
    <t>Gives the register values to be modified in gel file and uboot DDR configuration. Keep all other registers as default.</t>
  </si>
  <si>
    <t>EMIF Registers</t>
  </si>
  <si>
    <t>Register</t>
  </si>
  <si>
    <t>Address</t>
  </si>
  <si>
    <t>SDRAM_TIM_1</t>
  </si>
  <si>
    <t>0x4C000018</t>
  </si>
  <si>
    <t>SDRAM_TIM_1_SHDW</t>
  </si>
  <si>
    <t>0x4C00001C</t>
  </si>
  <si>
    <t>SDRAM_TIM_2</t>
  </si>
  <si>
    <t>0x4C000020</t>
  </si>
  <si>
    <t>SDRAM_TIM_2_SHDW</t>
  </si>
  <si>
    <t>0x4C000024</t>
  </si>
  <si>
    <t>SDRAM_TIM_3</t>
  </si>
  <si>
    <t>0x4C000028</t>
  </si>
  <si>
    <t>SDRAM_TIM_3_SHDW</t>
  </si>
  <si>
    <t>0x4C00002C</t>
  </si>
  <si>
    <t>SDRAM_CONFIG</t>
  </si>
  <si>
    <t>0x4C000008</t>
  </si>
  <si>
    <t>SDRAM_CONFIG_2</t>
  </si>
  <si>
    <t>0x4C00000C</t>
  </si>
  <si>
    <t>SDRAM_REF_CTRL</t>
  </si>
  <si>
    <t>0x4C000010</t>
  </si>
  <si>
    <t>SDRAM_REF_CTRL_SHDW</t>
  </si>
  <si>
    <t>0x4C000014</t>
  </si>
  <si>
    <t>PWR_MGMT_CTRL</t>
  </si>
  <si>
    <t>0x4C000038</t>
  </si>
  <si>
    <t>0x000002A0</t>
  </si>
  <si>
    <t>0x4C0000C8</t>
  </si>
  <si>
    <t>0x4C000050</t>
  </si>
  <si>
    <t>EMIF4D_LPDDR2_MODE_REG_DATA</t>
  </si>
  <si>
    <t>0x4C000040</t>
  </si>
  <si>
    <t>EMIF4D_TEMPERATURE_ALERT_CONFIG</t>
  </si>
  <si>
    <t>0x4C0000CC</t>
  </si>
  <si>
    <t>0x00000000</t>
  </si>
  <si>
    <t>EMIF4D_READ_WRITE_LEVELING_RAMP_WINDOW</t>
  </si>
  <si>
    <t>0x4C0000D4</t>
  </si>
  <si>
    <t>EMIF4D_READ_WRITE_LEVELING_RAMP_CONTROL</t>
  </si>
  <si>
    <t>0x4C0000D8</t>
  </si>
  <si>
    <t>EMIF4D_READ_WRITE_LEVELING_CONTROL</t>
  </si>
  <si>
    <t>0x4C0000DC</t>
  </si>
  <si>
    <t>EMIF4D_DDR_PHY_CTRL_1</t>
  </si>
  <si>
    <t>0x4C0000E4</t>
  </si>
  <si>
    <t>EMIF4D_DDR_PHY_CTRL_1_SHDW</t>
  </si>
  <si>
    <t>0x4C0000E8</t>
  </si>
  <si>
    <t>DDR PHY CTRL Register</t>
  </si>
  <si>
    <t>CMD0_REG_PHY_CTRL_SLAVE_RATIO_0</t>
  </si>
  <si>
    <t>0x44E1201C</t>
  </si>
  <si>
    <t>CMD0_REG_PHY_DLL_LOCK_DIFF_0</t>
  </si>
  <si>
    <t>0x44E12028</t>
  </si>
  <si>
    <t>CMD0_REG_PHY_INVERT_CLKOUT_0</t>
  </si>
  <si>
    <t>0x44E1202C</t>
  </si>
  <si>
    <t>CMD1_REG_PHY_CTRL_SLAVE_RATIO_0</t>
  </si>
  <si>
    <t>0x44E12050</t>
  </si>
  <si>
    <t>CMD1_REG_PHY_DLL_LOCK_DIFF_0</t>
  </si>
  <si>
    <t>0x44E1205C</t>
  </si>
  <si>
    <t>CMD1_REG_PHY_INVERT_CLKOUT_0</t>
  </si>
  <si>
    <t>0x44E12060</t>
  </si>
  <si>
    <t>CMD2_REG_PHY_CTRL_SLAVE_RATIO_0</t>
  </si>
  <si>
    <t>0x44E12084</t>
  </si>
  <si>
    <t>CMD2_REG_PHY_DLL_LOCK_DIFF_0</t>
  </si>
  <si>
    <t>0x44E12090</t>
  </si>
  <si>
    <t>CMD2_REG_PHY_INVERT_CLKOUT_0</t>
  </si>
  <si>
    <t>0x44E12094</t>
  </si>
  <si>
    <t>DATA0_REG_PHY_RD_DQS_SLAVE_RATIO_0</t>
  </si>
  <si>
    <t>0x44E120C8</t>
  </si>
  <si>
    <t>DATA0_REG_PHY_WR_DQS_SLAVE_RATIO_0</t>
  </si>
  <si>
    <t>0x44E120DC</t>
  </si>
  <si>
    <t>DATA0_REG_PHY_WRLVL_INIT_RATIO_0</t>
  </si>
  <si>
    <t>0x44E120F0</t>
  </si>
  <si>
    <t>DATA0_REG_PHY_WRLVL_INIT_MODE_0</t>
  </si>
  <si>
    <t>0x44E120F8</t>
  </si>
  <si>
    <t>DATA0_REG_PHY_GATELVL_INIT_RATIO_0</t>
  </si>
  <si>
    <t>0x44E120FC</t>
  </si>
  <si>
    <t>DATA0_REG_PHY_GATELVL_INIT_MODE_0</t>
  </si>
  <si>
    <t>0x44E12104</t>
  </si>
  <si>
    <t>DATA0_REG_PHY_FIFO_WE_SLAVE_RATIO_0</t>
  </si>
  <si>
    <t>0x44E12108</t>
  </si>
  <si>
    <t>DATA0_REG_PHY_DQ_OFFSET_0</t>
  </si>
  <si>
    <t>0x44E1211C</t>
  </si>
  <si>
    <t>DATA0_REG_PHY_WR_DATA_SLAVE_RATIO_0</t>
  </si>
  <si>
    <t>0x44E12120</t>
  </si>
  <si>
    <t>DATA0_REG_PHY_USE_RANK0_DELAYS</t>
  </si>
  <si>
    <t>0x44E12134</t>
  </si>
  <si>
    <t>DATA0_REG_PHY_DLL_LOCK_DIFF_0</t>
  </si>
  <si>
    <t>0x44E12138</t>
  </si>
  <si>
    <t>DATA1_REG_PHY_RD_DQS_SLAVE_RATIO_0</t>
  </si>
  <si>
    <t>0x44E1216C</t>
  </si>
  <si>
    <t>DATA1_REG_PHY_WR_DQS_SLAVE_RATIO_0</t>
  </si>
  <si>
    <t>0x44E12180</t>
  </si>
  <si>
    <t>DATA1_REG_PHY_WRLVL_INIT_RATIO_0</t>
  </si>
  <si>
    <t>0x44E12194</t>
  </si>
  <si>
    <t>DATA1_REG_PHY_WRLVL_INIT_MODE_0</t>
  </si>
  <si>
    <t>0x44E1219C</t>
  </si>
  <si>
    <t>DATA1_REG_PHY_GATELVL_INIT_RATIO_0</t>
  </si>
  <si>
    <t>0x44E121A0</t>
  </si>
  <si>
    <t>DATA1_REG_PHY_GATELVL_INIT_MODE_0</t>
  </si>
  <si>
    <t>0x44E121A8</t>
  </si>
  <si>
    <t>DATA1_REG_PHY_FIFO_WE_SLAVE_RATIO_0</t>
  </si>
  <si>
    <t>0x44E121AC</t>
  </si>
  <si>
    <t>DATA1_REG_PHY_DQ_OFFSET_0</t>
  </si>
  <si>
    <t>0x44E121C0</t>
  </si>
  <si>
    <t>DATA1_REG_PHY_WR_DATA_SLAVE_RATIO_0</t>
  </si>
  <si>
    <t>0x44E121C4</t>
  </si>
  <si>
    <t>DATA1_REG_PHY_USE_RANK0_DELAYS</t>
  </si>
  <si>
    <t>0x44E121D8</t>
  </si>
  <si>
    <t>DATA1_REG_PHY_DLL_LOCK_DIFF_0</t>
  </si>
  <si>
    <t>0x44E121DC</t>
  </si>
  <si>
    <t>IO Control Registers</t>
  </si>
  <si>
    <t>DDR_IO_CTRL</t>
  </si>
  <si>
    <t>0x44E10E04</t>
  </si>
  <si>
    <t>DDR_CKE_CTRL</t>
  </si>
  <si>
    <t>0x44E1131C</t>
  </si>
  <si>
    <t>0x00000001</t>
  </si>
  <si>
    <t>DDR_CMD0_IOCTRL</t>
  </si>
  <si>
    <t>0x44E11404</t>
  </si>
  <si>
    <t>DDR_CMD1_IOCTRL</t>
  </si>
  <si>
    <t>0x44E11408</t>
  </si>
  <si>
    <t>DDR_CMD2_IOCTRL</t>
  </si>
  <si>
    <t>0x44E1140C</t>
  </si>
  <si>
    <t>DDR_DATA0_IOCTRL</t>
  </si>
  <si>
    <t>0x44E11440</t>
  </si>
  <si>
    <t>DDR_DATA1_IOCTRL</t>
  </si>
  <si>
    <t>0x44E11444</t>
  </si>
  <si>
    <t>LPDDR2 Mode Registers</t>
  </si>
  <si>
    <t>0x0000000A</t>
  </si>
  <si>
    <r>
      <t xml:space="preserve">Note:</t>
    </r>
    <r>
      <rPr>
        <sz val="10"/>
        <rFont val="Arial"/>
        <family val="2"/>
        <charset val="1"/>
      </rPr>
      <t xml:space="preserve"> 1. LPDDR2 mode registers are only applicable for LPDDR2. 
       </t>
    </r>
  </si>
  <si>
    <t>0x00000056</t>
  </si>
  <si>
    <t>2. Write the registers value sequentially.</t>
  </si>
  <si>
    <t>3. For single rank device, skip the "Not Required" rows.</t>
  </si>
  <si>
    <t>0x00000043</t>
  </si>
  <si>
    <t>0x00000002</t>
  </si>
  <si>
    <t>0x40000002</t>
  </si>
  <si>
    <t>AM335x EMIF Tool: Register Configuration - GEL file</t>
  </si>
  <si>
    <t>Use this output to replace the portion of the GEL file for DDR configuration</t>
  </si>
  <si>
    <t>//*******************************************************************</t>
  </si>
  <si>
    <t>//DDR3 PHY parameters</t>
  </si>
  <si>
    <t>#define  CMD_PHY_CTRL_SLAVE_RATIO</t>
  </si>
  <si>
    <t>#define  CMD_PHY_INVERT_CLKOUT</t>
  </si>
  <si>
    <t>#define  DATA_PHY_RD_DQS_SLAVE_RATIO</t>
  </si>
  <si>
    <t>#define  DATA_PHY_FIFO_WE_SLAVE_RATIO</t>
  </si>
  <si>
    <t>#define  DATA_PHY_WR_DQS_SLAVE_RATIO</t>
  </si>
  <si>
    <t>#define  DATA_PHY_WR_DATA_SLAVE_RATIO</t>
  </si>
  <si>
    <t>#define  DDR_IOCTRL_VALUE</t>
  </si>
  <si>
    <t>//******************************************************************</t>
  </si>
  <si>
    <t>//EMIF parameters</t>
  </si>
  <si>
    <t>#define ALLOPP_DDR3_READ_LATENCY</t>
  </si>
  <si>
    <t>#define ALLOPP_DDR3_SDRAM_TIMING1</t>
  </si>
  <si>
    <t>#define ALLOPP_DDR3_SDRAM_TIMING2</t>
  </si>
  <si>
    <t>#define ALLOPP_DDR3_SDRAM_TIMING3</t>
  </si>
  <si>
    <t>#define ALLOPP_DDR3_SDRAM_CONFIG</t>
  </si>
  <si>
    <t>#define ALLOPP_DDR3_REF_CTRL</t>
  </si>
  <si>
    <t>#define ALLOPP_DDR3_ZQ_CONFIG</t>
  </si>
  <si>
    <t>AM335x EMIF Tool: Register Configuration - u-boot structures</t>
  </si>
  <si>
    <t>Use this output to replace the appropriate structures in u-boot board file</t>
  </si>
  <si>
    <t>DDR configuration structures</t>
  </si>
  <si>
    <t>Below are the structures and function call to add in u-boot to properly configure the DDR controller and PHY</t>
  </si>
  <si>
    <t>in board/ti/am335x/board.c</t>
  </si>
  <si>
    <t>static const struct ddr_data</t>
  </si>
  <si>
    <t>= {</t>
  </si>
  <si>
    <t>.datardsratio0 =</t>
  </si>
  <si>
    <t>,</t>
  </si>
  <si>
    <t>.datawdsratio0 =</t>
  </si>
  <si>
    <t>.datafwsratio0 =</t>
  </si>
  <si>
    <t>.datawrsratio0 =</t>
  </si>
  <si>
    <t>};</t>
  </si>
  <si>
    <t>static const struct cmd_control</t>
  </si>
  <si>
    <t>.cmd0csratio =</t>
  </si>
  <si>
    <t>.cmd0iclkout =</t>
  </si>
  <si>
    <t>.cmd1csratio =</t>
  </si>
  <si>
    <t>.cmd1iclkout =</t>
  </si>
  <si>
    <t>.cmd2csratio =</t>
  </si>
  <si>
    <t>.cmd2iclkout =</t>
  </si>
  <si>
    <t>static struct emif_regs</t>
  </si>
  <si>
    <t>.sdram_config =</t>
  </si>
  <si>
    <t>.ref_ctrl =</t>
  </si>
  <si>
    <t>.sdram_tim1 =</t>
  </si>
  <si>
    <t>.sdram_tim2 =</t>
  </si>
  <si>
    <t>.sdram_tim3 =</t>
  </si>
  <si>
    <t>.zq_config =</t>
  </si>
  <si>
    <t>.emif_ddr_phy_ctlr_1 =</t>
  </si>
  <si>
    <t>const struct ctrl_ioregs</t>
  </si>
  <si>
    <t>.cm0ioctl =</t>
  </si>
  <si>
    <t>.cm1ioctl =</t>
  </si>
  <si>
    <t>.cm2ioctl =</t>
  </si>
  <si>
    <t>.dt0ioctl =</t>
  </si>
  <si>
    <t>.dt1ioctl =</t>
  </si>
  <si>
    <t>config_ddr(</t>
  </si>
  <si>
    <t>);</t>
  </si>
  <si>
    <t>PLL configuration</t>
  </si>
  <si>
    <r>
      <t xml:space="preserve">Below is the code associated with DDR PLL configuration in u-boot.  Add code similar to the code </t>
    </r>
    <r>
      <rPr>
        <b val="true"/>
        <sz val="11"/>
        <color rgb="FF00B050"/>
        <rFont val="Arial"/>
        <family val="2"/>
        <charset val="1"/>
      </rPr>
      <t xml:space="preserve">in green</t>
    </r>
    <r>
      <rPr>
        <sz val="11"/>
        <rFont val="Arial"/>
        <family val="2"/>
        <charset val="1"/>
      </rPr>
      <t xml:space="preserve"> and remove the code </t>
    </r>
    <r>
      <rPr>
        <b val="true"/>
        <sz val="11"/>
        <color rgb="FFFF0000"/>
        <rFont val="Arial"/>
        <family val="2"/>
        <charset val="1"/>
      </rPr>
      <t xml:space="preserve">in red</t>
    </r>
    <r>
      <rPr>
        <sz val="11"/>
        <rFont val="Arial"/>
        <family val="2"/>
        <charset val="1"/>
      </rPr>
      <t xml:space="preserve"> to ensure correct DDR PLL configuration for your board</t>
    </r>
  </si>
  <si>
    <t>const struct dpll_params *get_dpll_ddr_params(void)</t>
  </si>
  <si>
    <t>{</t>
  </si>
  <si>
    <t>        int ind = get_sys_clk_index();</t>
  </si>
  <si>
    <t>        if (board_is_evm_sk())</t>
  </si>
  <si>
    <t>                return &amp;dpll_ddr3_303MHz[ind];</t>
  </si>
  <si>
    <t>        else if (board_is_bone_lt() || board_is_icev2())</t>
  </si>
  <si>
    <t>                return &amp;dpll_ddr3_400MHz[ind];</t>
  </si>
  <si>
    <t>        else if (board_is_evm_15_or_later())</t>
  </si>
  <si>
    <t>        else</t>
  </si>
  <si>
    <t>                return &amp;dpll_ddr2_266MHz[ind];</t>
  </si>
  <si>
    <t>}</t>
  </si>
  <si>
    <t>in arch/arm/mach-omap2/am33xx/clock_am33xx.c</t>
  </si>
  <si>
    <t>const struct dpll_params dpll_ddr3_303MHz[NUM_CRYSTAL_FREQ] = {</t>
  </si>
  <si>
    <t>                {505, 15, 2, -1, -1, -1, -1}, /*19.2*/</t>
  </si>
  <si>
    <t>                {101, 3, 2, -1, -1, -1, -1}, /* 24 MHz */</t>
  </si>
  <si>
    <t>                {303, 24, 1, -1, -1, -1, -1}, /* 25 MHz */</t>
  </si>
  <si>
    <t>                {303, 12, 2, -1, -1, -1, -1}  /* 26 MHz */</t>
  </si>
  <si>
    <t>const struct dpll_params dpll_ddr3_400MHz[NUM_CRYSTAL_FREQ] = {</t>
  </si>
  <si>
    <t>                {125, 5, 1, -1, -1, -1, -1}, /*19.2*/</t>
  </si>
  <si>
    <t>                {50, 2, 1, -1, -1, -1, -1}, /* 24 MHz */</t>
  </si>
  <si>
    <t>                {16, 0, 1, -1, -1, -1, -1}, /* 25 MHz */</t>
  </si>
  <si>
    <t>                {200, 12, 1, -1, -1, -1, -1}  /* 26 MHz */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</si>
</sst>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0.0"/>
    <numFmt numFmtId="167" formatCode="0.00"/>
    <numFmt numFmtId="168" formatCode="0.000"/>
    <numFmt numFmtId="169" formatCode="00000000"/>
    <numFmt numFmtId="170" formatCode="0"/>
    <numFmt numFmtId="171" formatCode="0&quot;ps&quot;"/>
    <numFmt numFmtId="172" formatCode="0_);[RED]\(0\)"/>
    <numFmt numFmtId="173" formatCode="@"/>
  </numFmts>
  <fonts count="4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36"/>
      <name val="Times New Roman"/>
      <family val="1"/>
      <charset val="1"/>
    </font>
    <font>
      <b val="true"/>
      <sz val="20"/>
      <name val="Times New Roman"/>
      <family val="1"/>
      <charset val="1"/>
    </font>
    <font>
      <sz val="20"/>
      <name val="Times New Roman"/>
      <family val="1"/>
      <charset val="1"/>
    </font>
    <font>
      <b val="true"/>
      <sz val="20"/>
      <color rgb="FFFF0000"/>
      <name val="Times New Roman"/>
      <family val="1"/>
      <charset val="1"/>
    </font>
    <font>
      <b val="true"/>
      <u val="single"/>
      <sz val="10"/>
      <color rgb="FFFFFFFF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sz val="10"/>
      <name val="Times New Roman"/>
      <family val="1"/>
      <charset val="1"/>
    </font>
    <font>
      <vertAlign val="superscript"/>
      <sz val="10"/>
      <color rgb="FFFFFFFF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u val="single"/>
      <sz val="20"/>
      <name val="Times New Roman"/>
      <family val="1"/>
      <charset val="1"/>
    </font>
    <font>
      <b val="true"/>
      <u val="single"/>
      <sz val="18"/>
      <color rgb="FFFFFFFF"/>
      <name val="Times New Roman"/>
      <family val="1"/>
      <charset val="1"/>
    </font>
    <font>
      <sz val="10"/>
      <color rgb="FFFFFFFF"/>
      <name val="Times New Roman"/>
      <family val="1"/>
      <charset val="1"/>
    </font>
    <font>
      <b val="true"/>
      <u val="single"/>
      <sz val="10"/>
      <color rgb="FFFF0000"/>
      <name val="Times New Roman"/>
      <family val="1"/>
      <charset val="1"/>
    </font>
    <font>
      <b val="true"/>
      <sz val="10"/>
      <color rgb="FFFF0000"/>
      <name val="Times New Roman"/>
      <family val="1"/>
      <charset val="1"/>
    </font>
    <font>
      <sz val="14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i val="true"/>
      <sz val="10"/>
      <color rgb="FFFFFFFF"/>
      <name val="Times New Roman"/>
      <family val="1"/>
      <charset val="1"/>
    </font>
    <font>
      <b val="true"/>
      <sz val="16"/>
      <color rgb="FFFFFFFF"/>
      <name val="Times New Roman"/>
      <family val="1"/>
      <charset val="1"/>
    </font>
    <font>
      <sz val="10"/>
      <color rgb="FFFF0000"/>
      <name val="Times New Roman"/>
      <family val="1"/>
      <charset val="1"/>
    </font>
    <font>
      <u val="single"/>
      <sz val="10"/>
      <color rgb="FFFF0000"/>
      <name val="Times New Roman"/>
      <family val="1"/>
      <charset val="1"/>
    </font>
    <font>
      <i val="true"/>
      <sz val="10"/>
      <color rgb="FFFF0000"/>
      <name val="Times New Roman"/>
      <family val="1"/>
      <charset val="1"/>
    </font>
    <font>
      <b val="true"/>
      <u val="single"/>
      <sz val="10"/>
      <color rgb="FFFF0000"/>
      <name val="Arial"/>
      <family val="2"/>
      <charset val="1"/>
    </font>
    <font>
      <b val="true"/>
      <sz val="20"/>
      <color rgb="FFFF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2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B050"/>
      <name val="Arial"/>
      <family val="2"/>
      <charset val="1"/>
    </font>
    <font>
      <b val="true"/>
      <sz val="11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AC090"/>
        <bgColor rgb="FFF9B073"/>
      </patternFill>
    </fill>
  </fills>
  <borders count="115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ck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ck"/>
      <top style="thin">
        <color rgb="FFFFFFFF"/>
      </top>
      <bottom style="thin">
        <color rgb="FFFFFFFF"/>
      </bottom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ck">
        <color rgb="FFFF0000"/>
      </left>
      <right style="thick">
        <color rgb="FFFF0000"/>
      </right>
      <top style="thick">
        <color rgb="FFFF0000"/>
      </top>
      <bottom style="thin"/>
      <diagonal/>
    </border>
    <border diagonalUp="false" diagonalDown="false">
      <left style="thick">
        <color rgb="FFFF0000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>
        <color rgb="FFFF0000"/>
      </right>
      <top style="thin"/>
      <bottom style="thin"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ck">
        <color rgb="FFFF0000"/>
      </left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>
        <color rgb="FFFF0000"/>
      </right>
      <top style="thin"/>
      <bottom/>
      <diagonal/>
    </border>
    <border diagonalUp="false" diagonalDown="false">
      <left style="thick">
        <color rgb="FFFF0000"/>
      </left>
      <right style="thin"/>
      <top style="thin"/>
      <bottom style="thick">
        <color rgb="FFFF0000"/>
      </bottom>
      <diagonal/>
    </border>
    <border diagonalUp="false" diagonalDown="false">
      <left style="thin"/>
      <right style="thin"/>
      <top style="thin"/>
      <bottom style="thick">
        <color rgb="FFFF0000"/>
      </bottom>
      <diagonal/>
    </border>
    <border diagonalUp="false" diagonalDown="false">
      <left style="thin"/>
      <right style="thick">
        <color rgb="FFFF0000"/>
      </right>
      <top style="thin"/>
      <bottom style="thick">
        <color rgb="FFFF0000"/>
      </bottom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ck">
        <color rgb="FFFF000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ck">
        <color rgb="FFFF0000"/>
      </bottom>
      <diagonal/>
    </border>
    <border diagonalUp="false" diagonalDown="false">
      <left/>
      <right style="thin"/>
      <top style="thin"/>
      <bottom style="thick">
        <color rgb="FFFF0000"/>
      </bottom>
      <diagonal/>
    </border>
    <border diagonalUp="false" diagonalDown="false">
      <left style="thin">
        <color rgb="FFFFFFFF"/>
      </left>
      <right style="thick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ck">
        <color rgb="FFFFFFFF"/>
      </left>
      <right/>
      <top style="thick">
        <color rgb="FFFFFFFF"/>
      </top>
      <bottom style="thick"/>
      <diagonal/>
    </border>
    <border diagonalUp="false" diagonalDown="false">
      <left/>
      <right/>
      <top style="thick">
        <color rgb="FFFFFFFF"/>
      </top>
      <bottom/>
      <diagonal/>
    </border>
    <border diagonalUp="false" diagonalDown="false">
      <left/>
      <right style="thick">
        <color rgb="FFFFFFFF"/>
      </right>
      <top style="thick">
        <color rgb="FFFFFFFF"/>
      </top>
      <bottom/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>
        <color rgb="FFFFFFFF"/>
      </left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ck">
        <color rgb="FFFFFFFF"/>
      </left>
      <right/>
      <top style="thin">
        <color rgb="FFFFFFFF"/>
      </top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5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8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9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3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" borderId="1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6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2" borderId="16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8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3" borderId="2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2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2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3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2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2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3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0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5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3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2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0" borderId="3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2" fillId="2" borderId="3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5" borderId="3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3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4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4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0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4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4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4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3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3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8" fillId="3" borderId="2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3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3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9" fillId="3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3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3" borderId="2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3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8" fillId="3" borderId="2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3" borderId="2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3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2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2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3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1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3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0" fillId="3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3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6" borderId="4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6" borderId="4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3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6" borderId="4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0" fillId="0" borderId="2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4" fillId="0" borderId="5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5" fillId="3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3" borderId="21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6" fillId="3" borderId="2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3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3" borderId="5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3" borderId="5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5" fillId="3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3" borderId="2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7" fillId="3" borderId="2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9" fillId="3" borderId="2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3" borderId="5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3" borderId="5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9" fillId="3" borderId="2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9" fillId="3" borderId="2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28" fillId="3" borderId="2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8" fillId="3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8" fillId="3" borderId="2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8" fillId="3" borderId="2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3" borderId="2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3" borderId="2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0" fillId="3" borderId="5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3" borderId="5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3" borderId="3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2" borderId="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5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2" borderId="6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2" borderId="6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2" borderId="6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3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6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3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5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5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2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2" borderId="6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6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6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7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4" fillId="2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2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7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2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4" fillId="2" borderId="7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7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2" borderId="7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7" borderId="7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2" borderId="7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2" borderId="7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7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8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8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4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4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3" borderId="8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3" borderId="2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6" fillId="3" borderId="2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6" fillId="3" borderId="22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6" fillId="3" borderId="2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3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3" borderId="5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3" borderId="5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3" borderId="2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3" borderId="2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3" borderId="29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6" fillId="3" borderId="29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6" fillId="3" borderId="2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3" borderId="5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3" borderId="5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2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5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5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8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0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36" fillId="2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8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8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8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8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8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8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8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8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9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6" fillId="3" borderId="2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3" borderId="3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8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8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9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9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8" borderId="9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9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9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3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9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3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2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74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5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76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79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89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69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2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9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37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95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87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9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87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8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9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5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5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37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9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55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2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10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10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10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4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74" xfId="2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104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79" xfId="2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9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98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5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3" fillId="8" borderId="10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0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0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0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9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3" xfId="20" builtinId="54" customBuiltin="true"/>
    <cellStyle name="Excel Built-in Normal 2" xfId="21" builtinId="54" customBuiltin="true"/>
  </cellStyles>
  <dxfs count="23"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9B073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101520</xdr:colOff>
      <xdr:row>30</xdr:row>
      <xdr:rowOff>20160</xdr:rowOff>
    </xdr:from>
    <xdr:to>
      <xdr:col>27</xdr:col>
      <xdr:colOff>466920</xdr:colOff>
      <xdr:row>55</xdr:row>
      <xdr:rowOff>124560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11257560" y="5049360"/>
          <a:ext cx="8752680" cy="417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130320</xdr:colOff>
      <xdr:row>30</xdr:row>
      <xdr:rowOff>77400</xdr:rowOff>
    </xdr:from>
    <xdr:to>
      <xdr:col>5</xdr:col>
      <xdr:colOff>920160</xdr:colOff>
      <xdr:row>44</xdr:row>
      <xdr:rowOff>69840</xdr:rowOff>
    </xdr:to>
    <xdr:pic>
      <xdr:nvPicPr>
        <xdr:cNvPr id="1" name="Picture 4" descr=""/>
        <xdr:cNvPicPr/>
      </xdr:nvPicPr>
      <xdr:blipFill>
        <a:blip r:embed="rId2"/>
        <a:stretch>
          <a:fillRect/>
        </a:stretch>
      </xdr:blipFill>
      <xdr:spPr>
        <a:xfrm>
          <a:off x="331560" y="5106600"/>
          <a:ext cx="6614640" cy="225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92160</xdr:colOff>
      <xdr:row>49</xdr:row>
      <xdr:rowOff>20160</xdr:rowOff>
    </xdr:from>
    <xdr:to>
      <xdr:col>5</xdr:col>
      <xdr:colOff>929520</xdr:colOff>
      <xdr:row>63</xdr:row>
      <xdr:rowOff>105120</xdr:rowOff>
    </xdr:to>
    <xdr:pic>
      <xdr:nvPicPr>
        <xdr:cNvPr id="2" name="Picture 5" descr=""/>
        <xdr:cNvPicPr/>
      </xdr:nvPicPr>
      <xdr:blipFill>
        <a:blip r:embed="rId3"/>
        <a:stretch>
          <a:fillRect/>
        </a:stretch>
      </xdr:blipFill>
      <xdr:spPr>
        <a:xfrm>
          <a:off x="293400" y="8144640"/>
          <a:ext cx="6662160" cy="2361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9B073"/>
    <pageSetUpPr fitToPage="false"/>
  </sheetPr>
  <dimension ref="B1:R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5" topLeftCell="A16" activePane="bottomLeft" state="frozen"/>
      <selection pane="topLeft" activeCell="A1" activeCellId="0" sqref="A1"/>
      <selection pane="bottomLeft" activeCell="N37" activeCellId="0" sqref="N37"/>
    </sheetView>
  </sheetViews>
  <sheetFormatPr defaultRowHeight="12.75"/>
  <cols>
    <col collapsed="false" hidden="false" max="1025" min="1" style="1" width="9.14285714285714"/>
  </cols>
  <sheetData>
    <row r="1" customFormat="false" ht="12.75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2.7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2.75" hidden="false" customHeight="tru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2.75" hidden="false" customHeight="true" outlineLevel="0" collapsed="false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customFormat="false" ht="12.75" hidden="false" customHeight="true" outlineLevel="0" collapsed="false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customFormat="false" ht="12.75" hidden="false" customHeight="true" outlineLevel="0" collapsed="false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customFormat="false" ht="12.75" hidden="false" customHeight="false" outlineLevel="0" collapsed="false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customFormat="false" ht="12.75" hidden="false" customHeight="false" outlineLevel="0" collapsed="false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customFormat="false" ht="12.75" hidden="false" customHeight="false" outlineLevel="0" collapsed="false">
      <c r="B9" s="4" t="n">
        <f aca="true">TODAY()</f>
        <v>44022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customFormat="false" ht="12.7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customFormat="false" ht="12.75" hidden="false" customHeight="false" outlineLevel="0" collapsed="false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customFormat="false" ht="12.75" hidden="false" customHeight="false" outlineLevel="0" collapsed="false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customFormat="false" ht="12.75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</row>
    <row r="14" customFormat="false" ht="12.75" hidden="false" customHeight="false" outlineLevel="0" collapsed="false">
      <c r="B14" s="6" t="str">
        <f aca="false">IF(_auto_nda_config=0,"","TI Confidential - NDA Restrictions ECCN: 5E991")</f>
        <v/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customFormat="false" ht="12.75" hidden="false" customHeight="false" outlineLevel="0" collapsed="false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customFormat="false" ht="13.5" hidden="false" customHeight="false" outlineLevel="0" collapsed="false">
      <c r="B16" s="0"/>
      <c r="C16" s="0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0"/>
      <c r="R16" s="0"/>
    </row>
    <row r="17" customFormat="false" ht="14.25" hidden="true" customHeight="false" outlineLevel="0" collapsed="false">
      <c r="B17" s="0"/>
      <c r="C17" s="8"/>
      <c r="D17" s="9" t="s">
        <v>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/>
      <c r="R17" s="0"/>
    </row>
    <row r="18" customFormat="false" ht="14.25" hidden="true" customHeight="false" outlineLevel="0" collapsed="false">
      <c r="B18" s="0"/>
      <c r="C18" s="8"/>
      <c r="D18" s="11"/>
      <c r="E18" s="12" t="s">
        <v>3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0"/>
      <c r="R18" s="0"/>
    </row>
    <row r="19" customFormat="false" ht="13.5" hidden="true" customHeight="true" outlineLevel="0" collapsed="false">
      <c r="B19" s="0"/>
      <c r="C19" s="8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7"/>
      <c r="Q19" s="10"/>
      <c r="R19" s="0"/>
    </row>
    <row r="20" customFormat="false" ht="13.5" hidden="true" customHeight="true" outlineLevel="0" collapsed="false">
      <c r="B20" s="0"/>
      <c r="C20" s="8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7"/>
      <c r="Q20" s="10"/>
      <c r="R20" s="0"/>
    </row>
    <row r="21" customFormat="false" ht="14.25" hidden="true" customHeight="false" outlineLevel="0" collapsed="false">
      <c r="B21" s="0"/>
      <c r="C21" s="8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/>
      <c r="Q21" s="10"/>
      <c r="R21" s="0"/>
    </row>
    <row r="22" customFormat="false" ht="17.25" hidden="false" customHeight="false" outlineLevel="0" collapsed="false">
      <c r="B22" s="18"/>
      <c r="C22" s="19"/>
      <c r="D22" s="20" t="s">
        <v>4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1"/>
      <c r="R22" s="18"/>
    </row>
    <row r="23" customFormat="false" ht="13.5" hidden="false" customHeight="false" outlineLevel="0" collapsed="false">
      <c r="B23" s="18"/>
      <c r="C23" s="19"/>
      <c r="D23" s="22" t="s">
        <v>5</v>
      </c>
      <c r="E23" s="22"/>
      <c r="F23" s="22"/>
      <c r="G23" s="22"/>
      <c r="H23" s="23" t="s">
        <v>6</v>
      </c>
      <c r="I23" s="23"/>
      <c r="J23" s="23"/>
      <c r="K23" s="23"/>
      <c r="L23" s="23"/>
      <c r="M23" s="23"/>
      <c r="N23" s="23"/>
      <c r="O23" s="23"/>
      <c r="P23" s="23"/>
      <c r="Q23" s="21"/>
      <c r="R23" s="18"/>
    </row>
    <row r="24" customFormat="false" ht="13.5" hidden="false" customHeight="false" outlineLevel="0" collapsed="false">
      <c r="B24" s="24"/>
      <c r="C24" s="25"/>
      <c r="D24" s="26" t="s">
        <v>7</v>
      </c>
      <c r="E24" s="26"/>
      <c r="F24" s="26"/>
      <c r="G24" s="26"/>
      <c r="H24" s="27" t="s">
        <v>8</v>
      </c>
      <c r="I24" s="27"/>
      <c r="J24" s="27"/>
      <c r="K24" s="27"/>
      <c r="L24" s="27"/>
      <c r="M24" s="27"/>
      <c r="N24" s="27"/>
      <c r="O24" s="27"/>
      <c r="P24" s="27"/>
      <c r="Q24" s="28"/>
      <c r="R24" s="24"/>
    </row>
    <row r="25" customFormat="false" ht="14.25" hidden="false" customHeight="false" outlineLevel="0" collapsed="false">
      <c r="C25" s="29"/>
      <c r="D25" s="20" t="s">
        <v>9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0"/>
    </row>
    <row r="26" customFormat="false" ht="13.5" hidden="false" customHeight="false" outlineLevel="0" collapsed="false">
      <c r="C26" s="30"/>
      <c r="D26" s="31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</row>
    <row r="27" customFormat="false" ht="13.5" hidden="false" customHeight="false" outlineLevel="0" collapsed="false">
      <c r="C27" s="32"/>
      <c r="D27" s="31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</row>
    <row r="28" customFormat="false" ht="13.5" hidden="false" customHeight="false" outlineLevel="0" collapsed="false">
      <c r="C28" s="33"/>
      <c r="D28" s="34" t="s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10"/>
    </row>
    <row r="29" customFormat="false" ht="12.75" hidden="false" customHeight="false" outlineLevel="0" collapsed="false">
      <c r="C29" s="35"/>
      <c r="D29" s="36" t="s">
        <v>11</v>
      </c>
      <c r="E29" s="36"/>
      <c r="F29" s="37" t="s">
        <v>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10"/>
    </row>
    <row r="30" customFormat="false" ht="12.75" hidden="false" customHeight="false" outlineLevel="0" collapsed="false">
      <c r="C30" s="35"/>
      <c r="D30" s="38" t="n">
        <v>1</v>
      </c>
      <c r="E30" s="38"/>
      <c r="F30" s="39" t="s">
        <v>13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10"/>
    </row>
    <row r="31" customFormat="false" ht="38.45" hidden="false" customHeight="true" outlineLevel="0" collapsed="false">
      <c r="C31" s="35"/>
      <c r="D31" s="40" t="s">
        <v>14</v>
      </c>
      <c r="E31" s="40"/>
      <c r="F31" s="41" t="s">
        <v>15</v>
      </c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10"/>
    </row>
    <row r="32" customFormat="false" ht="24" hidden="false" customHeight="true" outlineLevel="0" collapsed="false">
      <c r="C32" s="33"/>
      <c r="D32" s="40" t="s">
        <v>16</v>
      </c>
      <c r="E32" s="40"/>
      <c r="F32" s="42" t="s">
        <v>17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10"/>
    </row>
    <row r="33" customFormat="false" ht="12.75" hidden="false" customHeight="false" outlineLevel="0" collapsed="false">
      <c r="C33" s="43"/>
      <c r="D33" s="40"/>
      <c r="E33" s="40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10"/>
    </row>
    <row r="34" customFormat="false" ht="12.75" hidden="false" customHeight="false" outlineLevel="0" collapsed="false">
      <c r="C34" s="8"/>
      <c r="D34" s="40"/>
      <c r="E34" s="4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10"/>
    </row>
    <row r="35" customFormat="false" ht="12.75" hidden="false" customHeight="true" outlineLevel="0" collapsed="false">
      <c r="C35" s="8"/>
      <c r="D35" s="44"/>
      <c r="E35" s="44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10"/>
    </row>
    <row r="36" customFormat="false" ht="13.5" hidden="false" customHeight="false" outlineLevel="0" collapsed="false"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</sheetData>
  <mergeCells count="27">
    <mergeCell ref="B1:R6"/>
    <mergeCell ref="B7:R8"/>
    <mergeCell ref="B9:R10"/>
    <mergeCell ref="B11:R12"/>
    <mergeCell ref="B14:R15"/>
    <mergeCell ref="D17:P17"/>
    <mergeCell ref="D22:P22"/>
    <mergeCell ref="D23:G23"/>
    <mergeCell ref="H23:P23"/>
    <mergeCell ref="D24:G24"/>
    <mergeCell ref="H24:P24"/>
    <mergeCell ref="D25:P25"/>
    <mergeCell ref="D28:P28"/>
    <mergeCell ref="D29:E29"/>
    <mergeCell ref="F29:P29"/>
    <mergeCell ref="D30:E30"/>
    <mergeCell ref="F30:P30"/>
    <mergeCell ref="D31:E31"/>
    <mergeCell ref="F31:P31"/>
    <mergeCell ref="D32:E32"/>
    <mergeCell ref="F32:P32"/>
    <mergeCell ref="D33:E33"/>
    <mergeCell ref="F33:P33"/>
    <mergeCell ref="D34:E34"/>
    <mergeCell ref="F34:P34"/>
    <mergeCell ref="D35:E35"/>
    <mergeCell ref="F35:P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picture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3" topLeftCell="A37" activePane="bottomLeft" state="frozen"/>
      <selection pane="topLeft" activeCell="A1" activeCellId="0" sqref="A1"/>
      <selection pane="bottomLeft" activeCell="J47" activeCellId="0" sqref="J47"/>
    </sheetView>
  </sheetViews>
  <sheetFormatPr defaultRowHeight="12.75"/>
  <cols>
    <col collapsed="false" hidden="false" max="1" min="1" style="47" width="8.56632653061224"/>
    <col collapsed="false" hidden="false" max="3" min="2" style="47" width="9.14285714285714"/>
    <col collapsed="false" hidden="false" max="4" min="4" style="47" width="42.1428571428571"/>
    <col collapsed="false" hidden="false" max="5" min="5" style="47" width="22.4285714285714"/>
    <col collapsed="false" hidden="false" max="6" min="6" style="47" width="8.4234693877551"/>
    <col collapsed="false" hidden="false" max="7" min="7" style="47" width="39.1377551020408"/>
    <col collapsed="false" hidden="false" max="13" min="8" style="47" width="9.14285714285714"/>
    <col collapsed="false" hidden="false" max="14" min="14" style="47" width="20.7091836734694"/>
    <col collapsed="false" hidden="false" max="15" min="15" style="47" width="21.8571428571429"/>
    <col collapsed="false" hidden="false" max="1025" min="16" style="47" width="9.14285714285714"/>
  </cols>
  <sheetData>
    <row r="1" customFormat="false" ht="12.75" hidden="false" customHeight="true" outlineLevel="0" collapsed="false">
      <c r="A1" s="48"/>
      <c r="B1" s="49"/>
      <c r="C1" s="49"/>
      <c r="D1" s="49"/>
      <c r="E1" s="49"/>
      <c r="F1" s="49"/>
      <c r="G1" s="50"/>
      <c r="H1" s="50"/>
      <c r="I1" s="49"/>
      <c r="J1" s="49"/>
      <c r="K1" s="0"/>
      <c r="L1" s="0"/>
      <c r="M1" s="0"/>
      <c r="N1" s="0"/>
      <c r="O1" s="0"/>
      <c r="P1" s="0"/>
      <c r="Q1" s="0"/>
    </row>
    <row r="2" customFormat="false" ht="12.75" hidden="false" customHeight="true" outlineLevel="0" collapsed="false">
      <c r="A2" s="48"/>
      <c r="B2" s="51"/>
      <c r="C2" s="51"/>
      <c r="D2" s="51"/>
      <c r="E2" s="51"/>
      <c r="F2" s="51"/>
      <c r="G2" s="51"/>
      <c r="H2" s="51"/>
      <c r="I2" s="51"/>
      <c r="J2" s="49"/>
      <c r="K2" s="0"/>
      <c r="L2" s="0"/>
      <c r="M2" s="0"/>
      <c r="N2" s="0"/>
      <c r="O2" s="0"/>
      <c r="P2" s="0"/>
      <c r="Q2" s="0"/>
    </row>
    <row r="3" customFormat="false" ht="12.75" hidden="false" customHeight="true" outlineLevel="0" collapsed="false">
      <c r="A3" s="48"/>
      <c r="B3" s="51"/>
      <c r="C3" s="51"/>
      <c r="D3" s="51"/>
      <c r="E3" s="51"/>
      <c r="F3" s="51"/>
      <c r="G3" s="51"/>
      <c r="H3" s="51"/>
      <c r="I3" s="51"/>
      <c r="J3" s="49"/>
      <c r="K3" s="0"/>
      <c r="L3" s="0"/>
      <c r="M3" s="0"/>
      <c r="N3" s="0"/>
      <c r="O3" s="0"/>
      <c r="P3" s="0"/>
      <c r="Q3" s="0"/>
    </row>
    <row r="4" customFormat="false" ht="12.75" hidden="false" customHeight="true" outlineLevel="0" collapsed="false">
      <c r="A4" s="48"/>
      <c r="B4" s="52" t="s">
        <v>18</v>
      </c>
      <c r="C4" s="52"/>
      <c r="D4" s="52"/>
      <c r="E4" s="52"/>
      <c r="F4" s="52"/>
      <c r="G4" s="52"/>
      <c r="H4" s="52"/>
      <c r="I4" s="52"/>
      <c r="J4" s="53"/>
      <c r="K4" s="0"/>
      <c r="L4" s="0"/>
      <c r="M4" s="0"/>
      <c r="N4" s="0"/>
      <c r="O4" s="0"/>
      <c r="P4" s="0"/>
      <c r="Q4" s="0"/>
    </row>
    <row r="5" customFormat="false" ht="12.75" hidden="false" customHeight="true" outlineLevel="0" collapsed="false">
      <c r="A5" s="48"/>
      <c r="B5" s="52"/>
      <c r="C5" s="52"/>
      <c r="D5" s="52"/>
      <c r="E5" s="52"/>
      <c r="F5" s="52"/>
      <c r="G5" s="52"/>
      <c r="H5" s="52"/>
      <c r="I5" s="52"/>
      <c r="J5" s="53"/>
      <c r="K5" s="0"/>
      <c r="L5" s="0"/>
      <c r="M5" s="0"/>
      <c r="N5" s="0"/>
      <c r="O5" s="0"/>
      <c r="P5" s="0"/>
      <c r="Q5" s="0"/>
    </row>
    <row r="6" customFormat="false" ht="12.75" hidden="false" customHeight="true" outlineLevel="0" collapsed="false">
      <c r="A6" s="48"/>
      <c r="B6" s="52"/>
      <c r="C6" s="52"/>
      <c r="D6" s="52"/>
      <c r="E6" s="52"/>
      <c r="F6" s="52"/>
      <c r="G6" s="52"/>
      <c r="H6" s="52"/>
      <c r="I6" s="52"/>
      <c r="J6" s="53"/>
      <c r="K6" s="0"/>
      <c r="L6" s="0"/>
      <c r="M6" s="0"/>
      <c r="N6" s="0"/>
      <c r="O6" s="0"/>
      <c r="P6" s="0"/>
      <c r="Q6" s="0"/>
    </row>
    <row r="7" customFormat="false" ht="12.75" hidden="false" customHeight="true" outlineLevel="0" collapsed="false">
      <c r="A7" s="48"/>
      <c r="B7" s="54" t="s">
        <v>19</v>
      </c>
      <c r="C7" s="54"/>
      <c r="D7" s="54"/>
      <c r="E7" s="54"/>
      <c r="F7" s="54"/>
      <c r="G7" s="54"/>
      <c r="H7" s="54"/>
      <c r="I7" s="54"/>
      <c r="J7" s="55"/>
      <c r="K7" s="0"/>
      <c r="L7" s="0"/>
      <c r="M7" s="0"/>
      <c r="N7" s="0"/>
      <c r="O7" s="0"/>
      <c r="P7" s="0"/>
      <c r="Q7" s="0"/>
    </row>
    <row r="8" customFormat="false" ht="12.75" hidden="false" customHeight="true" outlineLevel="0" collapsed="false">
      <c r="A8" s="48"/>
      <c r="B8" s="54"/>
      <c r="C8" s="54"/>
      <c r="D8" s="54"/>
      <c r="E8" s="54"/>
      <c r="F8" s="54"/>
      <c r="G8" s="54"/>
      <c r="H8" s="54"/>
      <c r="I8" s="54"/>
      <c r="J8" s="55"/>
      <c r="K8" s="0"/>
      <c r="L8" s="0"/>
      <c r="M8" s="0"/>
      <c r="N8" s="0"/>
      <c r="O8" s="0"/>
      <c r="P8" s="0"/>
      <c r="Q8" s="0"/>
    </row>
    <row r="9" customFormat="false" ht="12.75" hidden="false" customHeight="true" outlineLevel="0" collapsed="false">
      <c r="A9" s="48"/>
      <c r="B9" s="56" t="s">
        <v>20</v>
      </c>
      <c r="C9" s="57" t="s">
        <v>21</v>
      </c>
      <c r="D9" s="57"/>
      <c r="E9" s="58"/>
      <c r="F9" s="58"/>
      <c r="G9" s="59"/>
      <c r="H9" s="59"/>
      <c r="I9" s="60"/>
      <c r="J9" s="61"/>
      <c r="K9" s="0"/>
      <c r="L9" s="0"/>
      <c r="M9" s="0"/>
      <c r="N9" s="0"/>
      <c r="O9" s="0"/>
      <c r="P9" s="0"/>
      <c r="Q9" s="0"/>
    </row>
    <row r="10" customFormat="false" ht="12.75" hidden="false" customHeight="true" outlineLevel="0" collapsed="false">
      <c r="A10" s="62"/>
      <c r="B10" s="63" t="s">
        <v>22</v>
      </c>
      <c r="C10" s="64" t="s">
        <v>23</v>
      </c>
      <c r="D10" s="64"/>
      <c r="E10" s="65"/>
      <c r="F10" s="65"/>
      <c r="G10" s="66"/>
      <c r="H10" s="66"/>
      <c r="I10" s="67"/>
      <c r="J10" s="61"/>
      <c r="K10" s="0"/>
      <c r="L10" s="0"/>
      <c r="M10" s="0"/>
      <c r="N10" s="0"/>
      <c r="O10" s="0"/>
      <c r="P10" s="0"/>
      <c r="Q10" s="0"/>
    </row>
    <row r="11" customFormat="false" ht="12.75" hidden="false" customHeight="true" outlineLevel="0" collapsed="false">
      <c r="A11" s="62"/>
      <c r="B11" s="63"/>
      <c r="C11" s="68" t="s">
        <v>24</v>
      </c>
      <c r="D11" s="64"/>
      <c r="E11" s="65"/>
      <c r="F11" s="65"/>
      <c r="G11" s="66"/>
      <c r="H11" s="66"/>
      <c r="I11" s="67"/>
      <c r="J11" s="61"/>
      <c r="K11" s="0"/>
      <c r="L11" s="0"/>
      <c r="M11" s="0"/>
      <c r="N11" s="0"/>
      <c r="O11" s="0"/>
      <c r="P11" s="0"/>
      <c r="Q11" s="0"/>
    </row>
    <row r="12" customFormat="false" ht="12.75" hidden="false" customHeight="true" outlineLevel="0" collapsed="false">
      <c r="A12" s="62"/>
      <c r="B12" s="69"/>
      <c r="C12" s="70"/>
      <c r="D12" s="71"/>
      <c r="E12" s="72"/>
      <c r="F12" s="72"/>
      <c r="G12" s="73"/>
      <c r="H12" s="73"/>
      <c r="I12" s="74"/>
      <c r="J12" s="61"/>
      <c r="K12" s="0"/>
      <c r="L12" s="0"/>
      <c r="M12" s="0"/>
      <c r="N12" s="0"/>
      <c r="O12" s="0"/>
      <c r="P12" s="0"/>
      <c r="Q12" s="0"/>
    </row>
    <row r="13" customFormat="false" ht="12.75" hidden="false" customHeight="true" outlineLevel="0" collapsed="false">
      <c r="A13" s="62"/>
      <c r="B13" s="75"/>
      <c r="C13" s="75"/>
      <c r="D13" s="75"/>
      <c r="E13" s="75"/>
      <c r="F13" s="75"/>
      <c r="G13" s="76"/>
      <c r="H13" s="76"/>
      <c r="I13" s="75"/>
      <c r="J13" s="49"/>
      <c r="K13" s="0"/>
      <c r="L13" s="0"/>
      <c r="M13" s="0"/>
      <c r="N13" s="0"/>
      <c r="O13" s="0"/>
      <c r="P13" s="0"/>
      <c r="Q13" s="0"/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75" hidden="false" customHeight="false" outlineLevel="0" collapsed="false">
      <c r="A15" s="0"/>
      <c r="B15" s="77" t="s">
        <v>25</v>
      </c>
      <c r="C15" s="77"/>
      <c r="D15" s="77"/>
      <c r="E15" s="77"/>
      <c r="F15" s="77"/>
      <c r="G15" s="77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3.5" hidden="false" customHeight="false" outlineLevel="0" collapsed="false">
      <c r="A16" s="0"/>
      <c r="B16" s="77"/>
      <c r="C16" s="77"/>
      <c r="D16" s="77"/>
      <c r="E16" s="77"/>
      <c r="F16" s="77"/>
      <c r="G16" s="77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4.25" hidden="false" customHeight="false" outlineLevel="0" collapsed="false">
      <c r="A17" s="0"/>
      <c r="B17" s="78"/>
      <c r="C17" s="79" t="s">
        <v>26</v>
      </c>
      <c r="D17" s="80" t="s">
        <v>12</v>
      </c>
      <c r="E17" s="80" t="s">
        <v>27</v>
      </c>
      <c r="F17" s="81" t="s">
        <v>28</v>
      </c>
      <c r="G17" s="82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A18" s="0"/>
      <c r="B18" s="83"/>
      <c r="C18" s="84" t="n">
        <v>0</v>
      </c>
      <c r="D18" s="85" t="s">
        <v>29</v>
      </c>
      <c r="E18" s="86" t="s">
        <v>30</v>
      </c>
      <c r="F18" s="87" t="s">
        <v>31</v>
      </c>
      <c r="G18" s="88" t="s">
        <v>32</v>
      </c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3.5" hidden="false" customHeight="false" outlineLevel="0" collapsed="false">
      <c r="A19" s="0"/>
      <c r="B19" s="0"/>
      <c r="C19" s="89" t="n">
        <v>1</v>
      </c>
      <c r="D19" s="90" t="s">
        <v>33</v>
      </c>
      <c r="E19" s="91" t="s">
        <v>34</v>
      </c>
      <c r="F19" s="92" t="s">
        <v>31</v>
      </c>
      <c r="G19" s="93" t="s">
        <v>35</v>
      </c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A20" s="0"/>
      <c r="B20" s="0"/>
      <c r="C20" s="94" t="n">
        <v>2</v>
      </c>
      <c r="D20" s="95" t="s">
        <v>36</v>
      </c>
      <c r="E20" s="96" t="n">
        <v>303</v>
      </c>
      <c r="F20" s="97" t="s">
        <v>37</v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75" hidden="false" customHeight="false" outlineLevel="0" collapsed="false">
      <c r="A21" s="0"/>
      <c r="B21" s="0"/>
      <c r="C21" s="94" t="n">
        <v>3</v>
      </c>
      <c r="D21" s="95" t="s">
        <v>38</v>
      </c>
      <c r="E21" s="98" t="n">
        <v>16</v>
      </c>
      <c r="F21" s="97" t="s">
        <v>39</v>
      </c>
      <c r="G21" s="93" t="s">
        <v>40</v>
      </c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75" hidden="false" customHeight="false" outlineLevel="0" collapsed="false">
      <c r="A22" s="0"/>
      <c r="B22" s="0"/>
      <c r="C22" s="94" t="n">
        <v>4</v>
      </c>
      <c r="D22" s="95" t="s">
        <v>41</v>
      </c>
      <c r="E22" s="99" t="s">
        <v>42</v>
      </c>
      <c r="F22" s="97" t="s">
        <v>31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</row>
    <row r="23" customFormat="false" ht="13.5" hidden="true" customHeight="false" outlineLevel="0" collapsed="false">
      <c r="A23" s="0"/>
      <c r="B23" s="0"/>
      <c r="C23" s="100" t="n">
        <v>5</v>
      </c>
      <c r="D23" s="101" t="s">
        <v>43</v>
      </c>
      <c r="E23" s="102" t="s">
        <v>44</v>
      </c>
      <c r="F23" s="103" t="s">
        <v>31</v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</row>
    <row r="24" customFormat="false" ht="13.5" hidden="true" customHeight="false" outlineLevel="0" collapsed="false">
      <c r="A24" s="0"/>
      <c r="B24" s="0"/>
      <c r="C24" s="104" t="n">
        <v>6</v>
      </c>
      <c r="D24" s="105" t="s">
        <v>45</v>
      </c>
      <c r="E24" s="106" t="s">
        <v>46</v>
      </c>
      <c r="F24" s="107" t="s">
        <v>31</v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</row>
    <row r="25" customFormat="false" ht="12.8" hidden="true" customHeight="false" outlineLevel="0" collapsed="false">
      <c r="A25" s="0"/>
      <c r="B25" s="0"/>
      <c r="C25" s="94" t="n">
        <v>7</v>
      </c>
      <c r="D25" s="95" t="s">
        <v>47</v>
      </c>
      <c r="E25" s="108" t="s">
        <v>46</v>
      </c>
      <c r="F25" s="97" t="s">
        <v>31</v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</row>
    <row r="26" customFormat="false" ht="13.5" hidden="true" customHeight="false" outlineLevel="0" collapsed="false">
      <c r="A26" s="0"/>
      <c r="B26" s="0"/>
      <c r="C26" s="100" t="n">
        <v>8</v>
      </c>
      <c r="D26" s="101" t="s">
        <v>48</v>
      </c>
      <c r="E26" s="102" t="s">
        <v>46</v>
      </c>
      <c r="F26" s="103" t="s">
        <v>31</v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</row>
    <row r="27" customFormat="false" ht="13.5" hidden="true" customHeight="false" outlineLevel="0" collapsed="false">
      <c r="A27" s="0"/>
      <c r="B27" s="0"/>
      <c r="C27" s="104" t="n">
        <v>6</v>
      </c>
      <c r="D27" s="105" t="s">
        <v>49</v>
      </c>
      <c r="E27" s="109" t="n">
        <v>1</v>
      </c>
      <c r="F27" s="107" t="s">
        <v>31</v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</row>
    <row r="28" customFormat="false" ht="13.5" hidden="true" customHeight="false" outlineLevel="0" collapsed="false">
      <c r="A28" s="0"/>
      <c r="B28" s="0"/>
      <c r="C28" s="110" t="n">
        <v>7</v>
      </c>
      <c r="D28" s="111" t="s">
        <v>50</v>
      </c>
      <c r="E28" s="112" t="n">
        <v>32</v>
      </c>
      <c r="F28" s="113" t="s">
        <v>51</v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</row>
    <row r="29" customFormat="false" ht="13.5" hidden="true" customHeight="false" outlineLevel="0" collapsed="false">
      <c r="A29" s="0"/>
      <c r="B29" s="0"/>
      <c r="C29" s="89" t="n">
        <v>6</v>
      </c>
      <c r="D29" s="90" t="s">
        <v>52</v>
      </c>
      <c r="E29" s="114" t="s">
        <v>53</v>
      </c>
      <c r="F29" s="92" t="s">
        <v>31</v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</row>
    <row r="30" customFormat="false" ht="13.5" hidden="true" customHeight="false" outlineLevel="0" collapsed="false">
      <c r="A30" s="0"/>
      <c r="B30" s="0"/>
      <c r="C30" s="100" t="n">
        <v>7</v>
      </c>
      <c r="D30" s="101" t="s">
        <v>54</v>
      </c>
      <c r="E30" s="115" t="n">
        <v>10</v>
      </c>
      <c r="F30" s="103" t="s">
        <v>31</v>
      </c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2.75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A32" s="0"/>
      <c r="B32" s="77" t="s">
        <v>55</v>
      </c>
      <c r="C32" s="77"/>
      <c r="D32" s="77"/>
      <c r="E32" s="77"/>
      <c r="F32" s="77"/>
      <c r="G32" s="77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A33" s="0"/>
      <c r="B33" s="77"/>
      <c r="C33" s="77"/>
      <c r="D33" s="77"/>
      <c r="E33" s="77"/>
      <c r="F33" s="77"/>
      <c r="G33" s="77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4.45" hidden="false" customHeight="true" outlineLevel="0" collapsed="false">
      <c r="A34" s="0"/>
      <c r="B34" s="78"/>
      <c r="C34" s="79" t="s">
        <v>26</v>
      </c>
      <c r="D34" s="80" t="s">
        <v>12</v>
      </c>
      <c r="E34" s="80" t="s">
        <v>27</v>
      </c>
      <c r="F34" s="81" t="s">
        <v>28</v>
      </c>
      <c r="G34" s="0"/>
      <c r="H34" s="116"/>
      <c r="I34" s="0"/>
      <c r="J34" s="0"/>
      <c r="K34" s="0"/>
      <c r="L34" s="0"/>
      <c r="M34" s="0"/>
      <c r="N34" s="0"/>
      <c r="O34" s="0"/>
      <c r="P34" s="0"/>
      <c r="Q34" s="0"/>
    </row>
    <row r="35" customFormat="false" ht="13.5" hidden="false" customHeight="true" outlineLevel="0" collapsed="false">
      <c r="A35" s="0"/>
      <c r="B35" s="78"/>
      <c r="C35" s="89" t="n">
        <v>6</v>
      </c>
      <c r="D35" s="90" t="s">
        <v>56</v>
      </c>
      <c r="E35" s="117" t="n">
        <v>1600</v>
      </c>
      <c r="F35" s="92" t="s">
        <v>57</v>
      </c>
      <c r="G35" s="118" t="s">
        <v>58</v>
      </c>
      <c r="H35" s="116"/>
      <c r="I35" s="0"/>
      <c r="J35" s="0"/>
      <c r="K35" s="0"/>
      <c r="L35" s="0"/>
      <c r="M35" s="0"/>
      <c r="N35" s="0"/>
      <c r="O35" s="0"/>
      <c r="P35" s="0"/>
      <c r="Q35" s="0"/>
    </row>
    <row r="36" customFormat="false" ht="12.8" hidden="false" customHeight="false" outlineLevel="0" collapsed="false">
      <c r="A36" s="0"/>
      <c r="B36" s="78"/>
      <c r="C36" s="94" t="n">
        <v>7</v>
      </c>
      <c r="D36" s="95" t="s">
        <v>59</v>
      </c>
      <c r="E36" s="96" t="n">
        <v>4</v>
      </c>
      <c r="F36" s="97" t="s">
        <v>60</v>
      </c>
      <c r="G36" s="118"/>
      <c r="H36" s="116"/>
      <c r="I36" s="0"/>
      <c r="J36" s="0"/>
      <c r="K36" s="0"/>
      <c r="L36" s="0"/>
      <c r="M36" s="0"/>
      <c r="N36" s="0"/>
      <c r="O36" s="0"/>
      <c r="P36" s="0"/>
      <c r="Q36" s="0"/>
    </row>
    <row r="37" customFormat="false" ht="12.8" hidden="false" customHeight="false" outlineLevel="0" collapsed="false">
      <c r="A37" s="0"/>
      <c r="B37" s="78"/>
      <c r="C37" s="94" t="n">
        <v>8</v>
      </c>
      <c r="D37" s="95" t="s">
        <v>61</v>
      </c>
      <c r="E37" s="96" t="n">
        <v>15</v>
      </c>
      <c r="F37" s="97" t="s">
        <v>31</v>
      </c>
      <c r="G37" s="118"/>
      <c r="H37" s="116"/>
      <c r="I37" s="0"/>
      <c r="J37" s="0"/>
      <c r="K37" s="0"/>
      <c r="L37" s="0"/>
      <c r="M37" s="0"/>
      <c r="N37" s="0"/>
      <c r="O37" s="0"/>
      <c r="P37" s="0"/>
      <c r="Q37" s="0"/>
    </row>
    <row r="38" customFormat="false" ht="12.8" hidden="false" customHeight="false" outlineLevel="0" collapsed="false">
      <c r="A38" s="0"/>
      <c r="B38" s="78"/>
      <c r="C38" s="94" t="n">
        <v>9</v>
      </c>
      <c r="D38" s="95" t="s">
        <v>62</v>
      </c>
      <c r="E38" s="96" t="n">
        <v>10</v>
      </c>
      <c r="F38" s="97" t="s">
        <v>31</v>
      </c>
      <c r="G38" s="118"/>
      <c r="H38" s="116"/>
      <c r="I38" s="0"/>
      <c r="J38" s="0"/>
      <c r="K38" s="0"/>
      <c r="L38" s="0"/>
      <c r="M38" s="0"/>
      <c r="N38" s="0"/>
      <c r="O38" s="0"/>
      <c r="P38" s="0"/>
      <c r="Q38" s="0"/>
    </row>
    <row r="39" customFormat="false" ht="12.75" hidden="false" customHeight="false" outlineLevel="0" collapsed="false">
      <c r="A39" s="0"/>
      <c r="B39" s="78"/>
      <c r="C39" s="94" t="n">
        <v>10</v>
      </c>
      <c r="D39" s="95" t="s">
        <v>63</v>
      </c>
      <c r="E39" s="96" t="n">
        <v>8</v>
      </c>
      <c r="F39" s="97" t="s">
        <v>31</v>
      </c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</row>
    <row r="40" customFormat="false" ht="12.75" hidden="false" customHeight="true" outlineLevel="0" collapsed="false">
      <c r="A40" s="0"/>
      <c r="B40" s="78"/>
      <c r="C40" s="94" t="n">
        <v>11</v>
      </c>
      <c r="D40" s="95" t="str">
        <f aca="false">CONCATENATE("Speed Bin: CAS Latency @ ", E35, "MT/s data rate")</f>
        <v>Speed Bin: CAS Latency @ 1600MT/s data rate</v>
      </c>
      <c r="E40" s="96" t="n">
        <v>11</v>
      </c>
      <c r="F40" s="97" t="s">
        <v>64</v>
      </c>
      <c r="G40" s="119" t="s">
        <v>65</v>
      </c>
      <c r="H40" s="119"/>
      <c r="I40" s="0"/>
      <c r="J40" s="0"/>
      <c r="K40" s="0"/>
      <c r="L40" s="0"/>
      <c r="M40" s="0"/>
      <c r="N40" s="0"/>
      <c r="O40" s="0"/>
      <c r="P40" s="0"/>
      <c r="Q40" s="0"/>
    </row>
    <row r="41" customFormat="false" ht="12.8" hidden="false" customHeight="false" outlineLevel="0" collapsed="false">
      <c r="A41" s="0"/>
      <c r="B41" s="78"/>
      <c r="C41" s="94" t="n">
        <v>12</v>
      </c>
      <c r="D41" s="95" t="s">
        <v>66</v>
      </c>
      <c r="E41" s="96" t="n">
        <v>16</v>
      </c>
      <c r="F41" s="97" t="s">
        <v>39</v>
      </c>
      <c r="G41" s="119"/>
      <c r="H41" s="119"/>
      <c r="I41" s="0"/>
      <c r="J41" s="0"/>
      <c r="K41" s="0"/>
      <c r="L41" s="0"/>
      <c r="M41" s="0"/>
      <c r="N41" s="0"/>
      <c r="O41" s="0"/>
      <c r="P41" s="0"/>
      <c r="Q41" s="0"/>
    </row>
    <row r="42" customFormat="false" ht="12.8" hidden="false" customHeight="false" outlineLevel="0" collapsed="false">
      <c r="A42" s="0"/>
      <c r="B42" s="83"/>
      <c r="C42" s="100" t="n">
        <v>13</v>
      </c>
      <c r="D42" s="101" t="s">
        <v>67</v>
      </c>
      <c r="E42" s="120" t="n">
        <v>7800</v>
      </c>
      <c r="F42" s="103" t="s">
        <v>68</v>
      </c>
      <c r="G42" s="119"/>
      <c r="H42" s="119"/>
      <c r="I42" s="0"/>
      <c r="J42" s="0"/>
      <c r="K42" s="0"/>
      <c r="L42" s="0"/>
      <c r="M42" s="0"/>
      <c r="N42" s="0"/>
      <c r="O42" s="0"/>
      <c r="P42" s="0"/>
      <c r="Q42" s="0"/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75" hidden="false" customHeight="false" outlineLevel="0" collapsed="false">
      <c r="A44" s="0"/>
      <c r="B44" s="77" t="s">
        <v>69</v>
      </c>
      <c r="C44" s="77"/>
      <c r="D44" s="77"/>
      <c r="E44" s="77"/>
      <c r="F44" s="77"/>
      <c r="G44" s="77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3.5" hidden="false" customHeight="false" outlineLevel="0" collapsed="false">
      <c r="A45" s="0"/>
      <c r="B45" s="77"/>
      <c r="C45" s="77"/>
      <c r="D45" s="77"/>
      <c r="E45" s="77"/>
      <c r="F45" s="77"/>
      <c r="G45" s="77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4.25" hidden="false" customHeight="false" outlineLevel="0" collapsed="false">
      <c r="A46" s="0"/>
      <c r="B46" s="78"/>
      <c r="C46" s="79" t="s">
        <v>26</v>
      </c>
      <c r="D46" s="80" t="s">
        <v>12</v>
      </c>
      <c r="E46" s="80" t="s">
        <v>27</v>
      </c>
      <c r="F46" s="81" t="s">
        <v>28</v>
      </c>
      <c r="G46" s="121" t="s">
        <v>70</v>
      </c>
      <c r="H46" s="0"/>
      <c r="I46" s="0"/>
      <c r="J46" s="0"/>
      <c r="K46" s="0"/>
      <c r="L46" s="0"/>
      <c r="M46" s="0"/>
      <c r="N46" s="122"/>
      <c r="O46" s="0"/>
      <c r="P46" s="0"/>
      <c r="Q46" s="0"/>
    </row>
    <row r="47" customFormat="false" ht="12.8" hidden="false" customHeight="false" outlineLevel="0" collapsed="false">
      <c r="A47" s="0"/>
      <c r="B47" s="78"/>
      <c r="C47" s="89" t="n">
        <v>14</v>
      </c>
      <c r="D47" s="123" t="s">
        <v>71</v>
      </c>
      <c r="E47" s="124" t="s">
        <v>72</v>
      </c>
      <c r="F47" s="92" t="s">
        <v>73</v>
      </c>
      <c r="G47" s="125" t="str">
        <f aca="false">IF(E19="DDR3","RZQ/4","Disable")</f>
        <v>RZQ/4</v>
      </c>
      <c r="H47" s="0"/>
      <c r="I47" s="0"/>
      <c r="J47" s="0"/>
      <c r="K47" s="0"/>
      <c r="L47" s="0"/>
      <c r="M47" s="0"/>
      <c r="N47" s="0"/>
      <c r="O47" s="0"/>
      <c r="P47" s="0"/>
      <c r="Q47" s="0"/>
    </row>
    <row r="48" customFormat="false" ht="12.75" hidden="false" customHeight="false" outlineLevel="0" collapsed="false">
      <c r="A48" s="0"/>
      <c r="B48" s="78"/>
      <c r="C48" s="94" t="n">
        <v>15</v>
      </c>
      <c r="D48" s="126" t="s">
        <v>74</v>
      </c>
      <c r="E48" s="127" t="s">
        <v>72</v>
      </c>
      <c r="F48" s="97" t="s">
        <v>73</v>
      </c>
      <c r="G48" s="128" t="str">
        <f aca="false">IF(E19="DDR3","RZQ/4","NA")</f>
        <v>RZQ/4</v>
      </c>
      <c r="H48" s="0"/>
      <c r="I48" s="0"/>
      <c r="J48" s="0"/>
      <c r="K48" s="0"/>
      <c r="L48" s="0"/>
      <c r="M48" s="0"/>
      <c r="N48" s="0"/>
      <c r="O48" s="0"/>
      <c r="P48" s="0"/>
      <c r="Q48" s="0"/>
    </row>
    <row r="49" customFormat="false" ht="12.8" hidden="false" customHeight="false" outlineLevel="0" collapsed="false">
      <c r="A49" s="0"/>
      <c r="B49" s="78"/>
      <c r="C49" s="100" t="n">
        <v>16</v>
      </c>
      <c r="D49" s="129" t="s">
        <v>75</v>
      </c>
      <c r="E49" s="130" t="s">
        <v>76</v>
      </c>
      <c r="F49" s="103" t="s">
        <v>73</v>
      </c>
      <c r="G49" s="131" t="str">
        <f aca="false">IF(E19="DDR3","RZQ/6","Normal")</f>
        <v>RZQ/6</v>
      </c>
      <c r="H49" s="0"/>
      <c r="I49" s="0"/>
      <c r="J49" s="0"/>
      <c r="K49" s="0"/>
      <c r="L49" s="0"/>
      <c r="M49" s="0"/>
      <c r="N49" s="0"/>
      <c r="O49" s="0"/>
      <c r="P49" s="0"/>
      <c r="Q49" s="0"/>
    </row>
    <row r="50" customFormat="false" ht="13.5" hidden="false" customHeight="false" outlineLevel="0" collapsed="false">
      <c r="A50" s="0"/>
      <c r="B50" s="78"/>
      <c r="C50" s="132" t="s">
        <v>77</v>
      </c>
      <c r="D50" s="133"/>
      <c r="E50" s="133"/>
      <c r="F50" s="133"/>
      <c r="G50" s="133"/>
      <c r="H50" s="0"/>
      <c r="I50" s="0"/>
      <c r="J50" s="0"/>
      <c r="K50" s="0"/>
      <c r="L50" s="0"/>
      <c r="M50" s="0"/>
      <c r="N50" s="0"/>
      <c r="O50" s="0"/>
      <c r="P50" s="0"/>
      <c r="Q50" s="0"/>
    </row>
    <row r="51" customFormat="false" ht="12.8" hidden="false" customHeight="fals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</row>
    <row r="52" customFormat="false" ht="12.75" hidden="false" customHeight="false" outlineLevel="0" collapsed="false">
      <c r="A52" s="0"/>
      <c r="B52" s="77" t="s">
        <v>78</v>
      </c>
      <c r="C52" s="77"/>
      <c r="D52" s="77"/>
      <c r="E52" s="77"/>
      <c r="F52" s="77"/>
      <c r="G52" s="77"/>
      <c r="H52" s="0"/>
      <c r="I52" s="0"/>
      <c r="J52" s="0"/>
      <c r="K52" s="0"/>
      <c r="L52" s="0"/>
      <c r="M52" s="0"/>
      <c r="N52" s="0"/>
      <c r="O52" s="0"/>
      <c r="P52" s="0"/>
      <c r="Q52" s="0"/>
    </row>
    <row r="53" customFormat="false" ht="13.5" hidden="false" customHeight="false" outlineLevel="0" collapsed="false">
      <c r="A53" s="0"/>
      <c r="B53" s="77"/>
      <c r="C53" s="77"/>
      <c r="D53" s="77"/>
      <c r="E53" s="77"/>
      <c r="F53" s="77"/>
      <c r="G53" s="77"/>
      <c r="H53" s="0"/>
      <c r="I53" s="0"/>
      <c r="J53" s="0"/>
      <c r="K53" s="0"/>
      <c r="L53" s="0"/>
      <c r="M53" s="0"/>
      <c r="N53" s="0"/>
      <c r="O53" s="0"/>
      <c r="P53" s="0"/>
      <c r="Q53" s="0"/>
    </row>
    <row r="54" customFormat="false" ht="14.25" hidden="false" customHeight="false" outlineLevel="0" collapsed="false">
      <c r="A54" s="0"/>
      <c r="B54" s="78"/>
      <c r="C54" s="79" t="s">
        <v>26</v>
      </c>
      <c r="D54" s="80" t="s">
        <v>12</v>
      </c>
      <c r="E54" s="80" t="s">
        <v>27</v>
      </c>
      <c r="F54" s="81" t="s">
        <v>28</v>
      </c>
      <c r="G54" s="134" t="s">
        <v>70</v>
      </c>
      <c r="H54" s="0"/>
      <c r="I54" s="0"/>
      <c r="J54" s="0"/>
      <c r="K54" s="0"/>
      <c r="L54" s="0"/>
      <c r="M54" s="0"/>
      <c r="N54" s="122"/>
      <c r="O54" s="0"/>
      <c r="P54" s="0"/>
      <c r="Q54" s="0"/>
    </row>
    <row r="55" customFormat="false" ht="12.8" hidden="false" customHeight="false" outlineLevel="0" collapsed="false">
      <c r="A55" s="0"/>
      <c r="B55" s="78"/>
      <c r="C55" s="89" t="n">
        <v>17</v>
      </c>
      <c r="D55" s="123" t="s">
        <v>79</v>
      </c>
      <c r="E55" s="135" t="n">
        <v>1</v>
      </c>
      <c r="F55" s="92" t="s">
        <v>31</v>
      </c>
      <c r="G55" s="136" t="n">
        <v>1</v>
      </c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4.15" hidden="false" customHeight="false" outlineLevel="0" collapsed="false">
      <c r="A56" s="0"/>
      <c r="B56" s="78"/>
      <c r="C56" s="110" t="n">
        <v>18</v>
      </c>
      <c r="D56" s="126" t="s">
        <v>80</v>
      </c>
      <c r="E56" s="137" t="n">
        <v>1.5</v>
      </c>
      <c r="F56" s="97" t="s">
        <v>81</v>
      </c>
      <c r="G56" s="128" t="str">
        <f aca="false">IF(E19="DDR3","0 to 1.5","0 to 0.75")</f>
        <v>0 to 1.5</v>
      </c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75" hidden="false" customHeight="false" outlineLevel="0" collapsed="false">
      <c r="A57" s="0"/>
      <c r="B57" s="78"/>
      <c r="C57" s="110" t="n">
        <v>19</v>
      </c>
      <c r="D57" s="138" t="s">
        <v>82</v>
      </c>
      <c r="E57" s="137" t="n">
        <v>0.15</v>
      </c>
      <c r="F57" s="113" t="s">
        <v>83</v>
      </c>
      <c r="G57" s="139" t="str">
        <f aca="false">IF(E19="DDR3","0 to 0.15","0 to 0.2")</f>
        <v>0 to 0.15</v>
      </c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A58" s="0"/>
      <c r="B58" s="78"/>
      <c r="C58" s="94" t="n">
        <v>20</v>
      </c>
      <c r="D58" s="138" t="s">
        <v>84</v>
      </c>
      <c r="E58" s="140" t="n">
        <v>1.2</v>
      </c>
      <c r="F58" s="113" t="s">
        <v>85</v>
      </c>
      <c r="G58" s="141" t="s">
        <v>86</v>
      </c>
      <c r="H58" s="0"/>
      <c r="I58" s="0"/>
      <c r="J58" s="0"/>
      <c r="K58" s="0"/>
      <c r="L58" s="0"/>
      <c r="M58" s="0"/>
      <c r="N58" s="0"/>
      <c r="O58" s="0"/>
      <c r="P58" s="0"/>
      <c r="Q58" s="0"/>
    </row>
    <row r="59" customFormat="false" ht="13.5" hidden="false" customHeight="false" outlineLevel="0" collapsed="false">
      <c r="A59" s="0"/>
      <c r="B59" s="78"/>
      <c r="C59" s="142" t="n">
        <v>21</v>
      </c>
      <c r="D59" s="129" t="s">
        <v>87</v>
      </c>
      <c r="E59" s="143" t="n">
        <v>10</v>
      </c>
      <c r="F59" s="103" t="s">
        <v>88</v>
      </c>
      <c r="G59" s="131" t="s">
        <v>89</v>
      </c>
      <c r="H59" s="0"/>
      <c r="I59" s="0"/>
      <c r="J59" s="0"/>
      <c r="K59" s="0"/>
      <c r="L59" s="0"/>
      <c r="M59" s="0"/>
      <c r="N59" s="0"/>
      <c r="O59" s="0"/>
      <c r="P59" s="0"/>
      <c r="Q59" s="0"/>
    </row>
    <row r="60" customFormat="false" ht="13.5" hidden="false" customHeight="false" outlineLevel="0" collapsed="false">
      <c r="A60" s="0"/>
      <c r="B60" s="144"/>
      <c r="C60" s="132" t="s">
        <v>77</v>
      </c>
      <c r="D60" s="145"/>
      <c r="E60" s="145"/>
      <c r="F60" s="145"/>
      <c r="G60" s="145"/>
      <c r="H60" s="0"/>
      <c r="I60" s="0"/>
      <c r="J60" s="0"/>
      <c r="K60" s="0"/>
      <c r="L60" s="0"/>
      <c r="M60" s="0"/>
      <c r="N60" s="0"/>
      <c r="O60" s="0"/>
      <c r="P60" s="0"/>
      <c r="Q60" s="0"/>
    </row>
    <row r="61" customFormat="false" ht="12.75" hidden="false" customHeight="false" outlineLevel="0" collapsed="false">
      <c r="A61" s="0"/>
      <c r="B61" s="146"/>
      <c r="C61" s="147"/>
      <c r="D61" s="148"/>
      <c r="E61" s="148"/>
      <c r="F61" s="148"/>
      <c r="G61" s="149"/>
      <c r="H61" s="0"/>
      <c r="I61" s="0"/>
      <c r="J61" s="0"/>
      <c r="K61" s="0"/>
      <c r="L61" s="0"/>
      <c r="M61" s="0"/>
      <c r="N61" s="0"/>
      <c r="O61" s="0"/>
      <c r="P61" s="0"/>
      <c r="Q61" s="0"/>
    </row>
    <row r="62" customFormat="false" ht="12.75" hidden="false" customHeight="false" outlineLevel="0" collapsed="false">
      <c r="A62" s="0"/>
      <c r="B62" s="146"/>
      <c r="C62" s="147"/>
      <c r="D62" s="148"/>
      <c r="E62" s="148"/>
      <c r="F62" s="148"/>
      <c r="G62" s="149"/>
      <c r="H62" s="0"/>
      <c r="I62" s="0"/>
      <c r="J62" s="0"/>
      <c r="K62" s="0"/>
      <c r="L62" s="0"/>
      <c r="M62" s="0"/>
      <c r="N62" s="0"/>
      <c r="O62" s="0"/>
      <c r="P62" s="0"/>
      <c r="Q62" s="0"/>
    </row>
    <row r="63" customFormat="false" ht="12.75" hidden="false" customHeight="false" outlineLevel="0" collapsed="false">
      <c r="A63" s="0"/>
      <c r="B63" s="150" t="s">
        <v>90</v>
      </c>
      <c r="C63" s="150"/>
      <c r="D63" s="150"/>
      <c r="E63" s="150"/>
      <c r="F63" s="150"/>
      <c r="G63" s="150"/>
      <c r="H63" s="0"/>
      <c r="I63" s="0"/>
      <c r="J63" s="0"/>
      <c r="K63" s="0"/>
      <c r="L63" s="0"/>
      <c r="M63" s="0"/>
      <c r="N63" s="0"/>
      <c r="O63" s="0"/>
      <c r="P63" s="0"/>
      <c r="Q63" s="0"/>
    </row>
    <row r="64" customFormat="false" ht="13.5" hidden="false" customHeight="false" outlineLevel="0" collapsed="false">
      <c r="A64" s="0"/>
      <c r="B64" s="150"/>
      <c r="C64" s="150"/>
      <c r="D64" s="150"/>
      <c r="E64" s="150"/>
      <c r="F64" s="150"/>
      <c r="G64" s="150"/>
      <c r="H64" s="0"/>
      <c r="I64" s="0"/>
      <c r="J64" s="0"/>
      <c r="K64" s="0"/>
      <c r="L64" s="0"/>
      <c r="M64" s="0"/>
      <c r="N64" s="0"/>
      <c r="O64" s="0"/>
      <c r="P64" s="0"/>
      <c r="Q64" s="0"/>
    </row>
    <row r="65" customFormat="false" ht="14.25" hidden="false" customHeight="false" outlineLevel="0" collapsed="false">
      <c r="A65" s="0"/>
      <c r="B65" s="151"/>
      <c r="C65" s="79" t="s">
        <v>26</v>
      </c>
      <c r="D65" s="80" t="s">
        <v>12</v>
      </c>
      <c r="E65" s="80" t="s">
        <v>27</v>
      </c>
      <c r="F65" s="80" t="s">
        <v>28</v>
      </c>
      <c r="G65" s="81" t="s">
        <v>91</v>
      </c>
      <c r="H65" s="0"/>
      <c r="I65" s="0"/>
      <c r="J65" s="0"/>
      <c r="K65" s="0"/>
      <c r="L65" s="0"/>
      <c r="M65" s="0"/>
      <c r="N65" s="0"/>
      <c r="O65" s="0"/>
      <c r="P65" s="0"/>
      <c r="Q65" s="0"/>
    </row>
    <row r="66" customFormat="false" ht="13.5" hidden="false" customHeight="false" outlineLevel="0" collapsed="false">
      <c r="A66" s="0"/>
      <c r="B66" s="151"/>
      <c r="C66" s="89" t="n">
        <v>22</v>
      </c>
      <c r="D66" s="123" t="s">
        <v>92</v>
      </c>
      <c r="E66" s="124" t="s">
        <v>93</v>
      </c>
      <c r="F66" s="92" t="s">
        <v>73</v>
      </c>
      <c r="G66" s="152" t="s">
        <v>93</v>
      </c>
      <c r="H66" s="0"/>
      <c r="I66" s="0"/>
      <c r="J66" s="0"/>
      <c r="K66" s="0"/>
      <c r="L66" s="0"/>
      <c r="M66" s="0"/>
      <c r="N66" s="0"/>
      <c r="O66" s="0"/>
      <c r="P66" s="0"/>
      <c r="Q66" s="0"/>
    </row>
    <row r="67" customFormat="false" ht="12.75" hidden="false" customHeight="false" outlineLevel="0" collapsed="false">
      <c r="A67" s="0"/>
      <c r="B67" s="151"/>
      <c r="C67" s="94" t="n">
        <v>23</v>
      </c>
      <c r="D67" s="126" t="s">
        <v>94</v>
      </c>
      <c r="E67" s="127" t="s">
        <v>95</v>
      </c>
      <c r="F67" s="97" t="s">
        <v>31</v>
      </c>
      <c r="G67" s="153" t="str">
        <f aca="false">IF($E$19="DDR3","Slow: SR[4:3] = 0b01","Fast: SR[4:3] = 0b10")</f>
        <v>Slow: SR[4:3] = 0b01</v>
      </c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75" hidden="false" customHeight="false" outlineLevel="0" collapsed="false">
      <c r="A68" s="0"/>
      <c r="B68" s="151"/>
      <c r="C68" s="94" t="n">
        <v>24</v>
      </c>
      <c r="D68" s="126" t="s">
        <v>96</v>
      </c>
      <c r="E68" s="127" t="s">
        <v>95</v>
      </c>
      <c r="F68" s="97"/>
      <c r="G68" s="153" t="str">
        <f aca="false">IF($E$19="DDR3","Slow: SR[4:3] = 0b01","Fast: SR[4:3] = 0b10")</f>
        <v>Slow: SR[4:3] = 0b01</v>
      </c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75" hidden="false" customHeight="false" outlineLevel="0" collapsed="false">
      <c r="A69" s="0"/>
      <c r="B69" s="151"/>
      <c r="C69" s="94" t="n">
        <v>25</v>
      </c>
      <c r="D69" s="126" t="s">
        <v>97</v>
      </c>
      <c r="E69" s="127" t="s">
        <v>95</v>
      </c>
      <c r="F69" s="97" t="s">
        <v>31</v>
      </c>
      <c r="G69" s="153" t="str">
        <f aca="false">IF($E$19="DDR3","Slow: SR[4:3] = 0b01","Fast: SR[4:3] = 0b10")</f>
        <v>Slow: SR[4:3] = 0b01</v>
      </c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75" hidden="false" customHeight="false" outlineLevel="0" collapsed="false">
      <c r="A70" s="0"/>
      <c r="B70" s="151"/>
      <c r="C70" s="94" t="n">
        <v>26</v>
      </c>
      <c r="D70" s="126" t="s">
        <v>98</v>
      </c>
      <c r="E70" s="137" t="n">
        <v>44</v>
      </c>
      <c r="F70" s="97" t="s">
        <v>73</v>
      </c>
      <c r="G70" s="153" t="n">
        <v>44</v>
      </c>
      <c r="H70" s="0"/>
      <c r="I70" s="0"/>
      <c r="J70" s="0"/>
      <c r="K70" s="0"/>
      <c r="L70" s="0"/>
      <c r="M70" s="0"/>
      <c r="N70" s="0"/>
      <c r="O70" s="0"/>
      <c r="P70" s="0"/>
      <c r="Q70" s="0"/>
    </row>
    <row r="71" customFormat="false" ht="12.75" hidden="false" customHeight="false" outlineLevel="0" collapsed="false">
      <c r="A71" s="0"/>
      <c r="B71" s="151"/>
      <c r="C71" s="110" t="n">
        <v>27</v>
      </c>
      <c r="D71" s="126" t="s">
        <v>99</v>
      </c>
      <c r="E71" s="140" t="n">
        <v>50</v>
      </c>
      <c r="F71" s="113" t="s">
        <v>73</v>
      </c>
      <c r="G71" s="141" t="n">
        <v>50</v>
      </c>
      <c r="H71" s="0"/>
      <c r="I71" s="0"/>
      <c r="J71" s="0"/>
      <c r="K71" s="0"/>
      <c r="L71" s="0"/>
      <c r="M71" s="0"/>
      <c r="N71" s="0"/>
      <c r="O71" s="0"/>
      <c r="P71" s="0"/>
      <c r="Q71" s="0"/>
    </row>
    <row r="72" customFormat="false" ht="13.5" hidden="false" customHeight="false" outlineLevel="0" collapsed="false">
      <c r="A72" s="0"/>
      <c r="B72" s="151"/>
      <c r="C72" s="110" t="n">
        <v>28</v>
      </c>
      <c r="D72" s="129" t="s">
        <v>100</v>
      </c>
      <c r="E72" s="140" t="n">
        <v>44</v>
      </c>
      <c r="F72" s="113" t="s">
        <v>73</v>
      </c>
      <c r="G72" s="141" t="n">
        <v>44</v>
      </c>
      <c r="H72" s="0"/>
      <c r="I72" s="0"/>
      <c r="J72" s="0"/>
      <c r="K72" s="0"/>
      <c r="L72" s="0"/>
      <c r="M72" s="0"/>
      <c r="N72" s="0"/>
      <c r="O72" s="0"/>
      <c r="P72" s="0"/>
      <c r="Q72" s="0"/>
    </row>
    <row r="73" customFormat="false" ht="14.25" hidden="false" customHeight="false" outlineLevel="0" collapsed="false">
      <c r="A73" s="0"/>
      <c r="B73" s="151"/>
      <c r="C73" s="100" t="n">
        <v>29</v>
      </c>
      <c r="D73" s="129" t="s">
        <v>101</v>
      </c>
      <c r="E73" s="143" t="n">
        <v>50</v>
      </c>
      <c r="F73" s="103" t="s">
        <v>73</v>
      </c>
      <c r="G73" s="131" t="n">
        <v>50</v>
      </c>
      <c r="H73" s="0"/>
      <c r="I73" s="0"/>
      <c r="J73" s="0"/>
      <c r="K73" s="0"/>
      <c r="L73" s="0"/>
      <c r="M73" s="0"/>
      <c r="N73" s="0"/>
      <c r="O73" s="0"/>
      <c r="P73" s="0"/>
      <c r="Q73" s="0"/>
    </row>
    <row r="74" customFormat="false" ht="13.5" hidden="false" customHeight="false" outlineLevel="0" collapsed="false">
      <c r="A74" s="0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</row>
    <row r="75" customFormat="false" ht="12.75" hidden="false" customHeight="false" outlineLevel="0" collapsed="false">
      <c r="A75" s="0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</row>
    <row r="76" customFormat="false" ht="12.75" hidden="false" customHeight="false" outlineLevel="0" collapsed="false">
      <c r="A76" s="0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</row>
    <row r="77" customFormat="false" ht="12.7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</row>
    <row r="78" customFormat="false" ht="12.75" hidden="tru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</row>
    <row r="79" customFormat="false" ht="12.75" hidden="true" customHeight="false" outlineLevel="0" collapsed="false">
      <c r="A79" s="0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75" hidden="true" customHeight="false" outlineLevel="0" collapsed="false">
      <c r="A80" s="0"/>
      <c r="B80" s="0"/>
      <c r="C80" s="0"/>
      <c r="D80" s="0"/>
      <c r="E80" s="0"/>
      <c r="F80" s="0"/>
      <c r="G80" s="0"/>
      <c r="H80" s="0"/>
      <c r="I80" s="0"/>
      <c r="J80" s="0"/>
      <c r="K80" s="122" t="s">
        <v>102</v>
      </c>
      <c r="L80" s="122" t="n">
        <v>1</v>
      </c>
      <c r="M80" s="122" t="n">
        <v>8</v>
      </c>
      <c r="N80" s="122" t="n">
        <v>0.5</v>
      </c>
      <c r="O80" s="0"/>
      <c r="P80" s="0"/>
      <c r="Q80" s="0"/>
    </row>
    <row r="81" customFormat="false" ht="12.75" hidden="true" customHeight="false" outlineLevel="0" collapsed="false">
      <c r="A81" s="0"/>
      <c r="B81" s="0"/>
      <c r="C81" s="0"/>
      <c r="D81" s="0"/>
      <c r="E81" s="0"/>
      <c r="F81" s="0"/>
      <c r="G81" s="0"/>
      <c r="H81" s="0"/>
      <c r="I81" s="0"/>
      <c r="J81" s="0"/>
      <c r="K81" s="122" t="s">
        <v>93</v>
      </c>
      <c r="L81" s="122" t="n">
        <v>2</v>
      </c>
      <c r="M81" s="122" t="n">
        <v>9</v>
      </c>
      <c r="N81" s="122" t="n">
        <v>1</v>
      </c>
      <c r="O81" s="0"/>
      <c r="P81" s="0"/>
      <c r="Q81" s="0"/>
    </row>
    <row r="82" customFormat="false" ht="12.75" hidden="true" customHeight="fals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122" t="s">
        <v>103</v>
      </c>
      <c r="L82" s="122" t="n">
        <v>4</v>
      </c>
      <c r="M82" s="122" t="n">
        <v>10</v>
      </c>
      <c r="N82" s="122" t="n">
        <v>2</v>
      </c>
      <c r="O82" s="0"/>
      <c r="P82" s="0"/>
      <c r="Q82" s="0"/>
    </row>
    <row r="83" customFormat="false" ht="12.75" hidden="true" customHeight="fals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122" t="n">
        <v>8</v>
      </c>
      <c r="M83" s="122" t="n">
        <v>11</v>
      </c>
      <c r="N83" s="122" t="n">
        <v>4</v>
      </c>
      <c r="O83" s="0"/>
      <c r="P83" s="0"/>
      <c r="Q83" s="0"/>
    </row>
    <row r="84" customFormat="false" ht="12.75" hidden="tru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N84" s="122" t="n">
        <v>8</v>
      </c>
      <c r="O84" s="0"/>
      <c r="P84" s="0"/>
      <c r="Q84" s="0"/>
    </row>
    <row r="85" customFormat="false" ht="12.75" hidden="true" customHeight="false" outlineLevel="0" collapsed="false">
      <c r="A85" s="0"/>
      <c r="B85" s="0"/>
      <c r="C85" s="122" t="str">
        <f aca="false">IF(E19="DDR3","DDR3_L","LPDDR2")</f>
        <v>DDR3_L</v>
      </c>
      <c r="D85" s="0"/>
      <c r="E85" s="0"/>
      <c r="F85" s="0"/>
      <c r="G85" s="0"/>
      <c r="H85" s="0"/>
      <c r="I85" s="0"/>
      <c r="J85" s="0"/>
      <c r="K85" s="0"/>
      <c r="L85" s="0"/>
      <c r="N85" s="0"/>
      <c r="O85" s="0"/>
      <c r="P85" s="0"/>
      <c r="Q85" s="0"/>
    </row>
    <row r="86" customFormat="false" ht="12.75" hidden="true" customHeight="false" outlineLevel="0" collapsed="false">
      <c r="A86" s="0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N86" s="0"/>
      <c r="O86" s="0"/>
      <c r="P86" s="0"/>
      <c r="Q86" s="0"/>
    </row>
    <row r="87" customFormat="false" ht="12.75" hidden="true" customHeight="false" outlineLevel="0" collapsed="false">
      <c r="A87" s="0"/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N87" s="0"/>
      <c r="O87" s="0"/>
      <c r="P87" s="0"/>
      <c r="Q87" s="0"/>
    </row>
    <row r="88" customFormat="false" ht="12.75" hidden="true" customHeight="false" outlineLevel="0" collapsed="false">
      <c r="A88" s="0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N88" s="0"/>
      <c r="O88" s="0"/>
      <c r="P88" s="0"/>
      <c r="Q88" s="0"/>
    </row>
    <row r="89" customFormat="false" ht="12.75" hidden="tru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N89" s="0"/>
      <c r="O89" s="0"/>
      <c r="P89" s="0"/>
      <c r="Q89" s="0"/>
    </row>
    <row r="90" customFormat="false" ht="12.75" hidden="true" customHeight="false" outlineLevel="0" collapsed="false">
      <c r="A90" s="0"/>
      <c r="B90" s="0"/>
      <c r="C90" s="0"/>
      <c r="D90" s="0"/>
      <c r="E90" s="0"/>
      <c r="F90" s="0"/>
      <c r="G90" s="122" t="str">
        <f aca="false">IF(E19="DDR3","DDR3_DYN_ODT","LPDDR2_DYN_ODT")</f>
        <v>DDR3_DYN_ODT</v>
      </c>
      <c r="H90" s="0"/>
      <c r="I90" s="0"/>
      <c r="J90" s="0"/>
      <c r="K90" s="0"/>
      <c r="L90" s="0"/>
      <c r="N90" s="0"/>
      <c r="O90" s="0"/>
      <c r="P90" s="0"/>
      <c r="Q90" s="0"/>
    </row>
    <row r="91" customFormat="false" ht="12.75" hidden="true" customHeight="false" outlineLevel="0" collapsed="false">
      <c r="A91" s="0"/>
      <c r="B91" s="0"/>
      <c r="C91" s="122" t="n">
        <v>1066</v>
      </c>
      <c r="D91" s="0"/>
      <c r="E91" s="154" t="str">
        <f aca="false">IF(E19="DDR3","DDR3_Width","LPDDR2_Width")</f>
        <v>DDR3_Width</v>
      </c>
      <c r="F91" s="0"/>
      <c r="G91" s="155" t="s">
        <v>46</v>
      </c>
      <c r="H91" s="155" t="s">
        <v>104</v>
      </c>
      <c r="I91" s="155" t="s">
        <v>105</v>
      </c>
      <c r="J91" s="0"/>
      <c r="K91" s="0"/>
      <c r="L91" s="0"/>
      <c r="N91" s="0"/>
      <c r="O91" s="0"/>
      <c r="P91" s="0"/>
      <c r="Q91" s="0"/>
    </row>
    <row r="92" customFormat="false" ht="12.75" hidden="true" customHeight="false" outlineLevel="0" collapsed="false">
      <c r="A92" s="122" t="n">
        <v>16</v>
      </c>
      <c r="B92" s="155" t="s">
        <v>34</v>
      </c>
      <c r="C92" s="122" t="n">
        <v>1333</v>
      </c>
      <c r="D92" s="156" t="s">
        <v>106</v>
      </c>
      <c r="E92" s="122" t="n">
        <v>8</v>
      </c>
      <c r="F92" s="122" t="n">
        <v>9</v>
      </c>
      <c r="G92" s="122" t="s">
        <v>102</v>
      </c>
      <c r="H92" s="122" t="s">
        <v>72</v>
      </c>
      <c r="I92" s="122" t="s">
        <v>76</v>
      </c>
      <c r="J92" s="122" t="n">
        <v>80</v>
      </c>
      <c r="K92" s="0"/>
      <c r="L92" s="155" t="s">
        <v>107</v>
      </c>
      <c r="N92" s="0"/>
      <c r="O92" s="0"/>
      <c r="P92" s="0"/>
      <c r="Q92" s="0"/>
    </row>
    <row r="93" customFormat="false" ht="12.75" hidden="true" customHeight="false" outlineLevel="0" collapsed="false">
      <c r="A93" s="122" t="n">
        <v>32</v>
      </c>
      <c r="B93" s="155" t="s">
        <v>108</v>
      </c>
      <c r="C93" s="122" t="n">
        <v>1600</v>
      </c>
      <c r="D93" s="156" t="s">
        <v>109</v>
      </c>
      <c r="E93" s="122" t="n">
        <v>16</v>
      </c>
      <c r="F93" s="122" t="n">
        <v>10</v>
      </c>
      <c r="G93" s="122" t="s">
        <v>72</v>
      </c>
      <c r="H93" s="122" t="s">
        <v>110</v>
      </c>
      <c r="I93" s="122" t="s">
        <v>111</v>
      </c>
      <c r="J93" s="122" t="n">
        <v>67</v>
      </c>
      <c r="K93" s="0"/>
      <c r="L93" s="155" t="s">
        <v>53</v>
      </c>
      <c r="N93" s="0"/>
      <c r="O93" s="0"/>
      <c r="P93" s="0"/>
      <c r="Q93" s="0"/>
    </row>
    <row r="94" customFormat="false" ht="12.75" hidden="true" customHeight="false" outlineLevel="0" collapsed="false">
      <c r="B94" s="0"/>
      <c r="C94" s="122" t="n">
        <v>1866</v>
      </c>
      <c r="D94" s="156" t="s">
        <v>95</v>
      </c>
      <c r="E94" s="122" t="n">
        <v>32</v>
      </c>
      <c r="F94" s="122" t="n">
        <v>11</v>
      </c>
      <c r="G94" s="122" t="s">
        <v>110</v>
      </c>
      <c r="H94" s="122" t="s">
        <v>76</v>
      </c>
      <c r="I94" s="0"/>
      <c r="J94" s="122" t="n">
        <v>57</v>
      </c>
      <c r="K94" s="0"/>
      <c r="L94" s="0"/>
      <c r="N94" s="0"/>
      <c r="O94" s="0"/>
      <c r="P94" s="0"/>
      <c r="Q94" s="0"/>
    </row>
    <row r="95" customFormat="false" ht="12.75" hidden="true" customHeight="false" outlineLevel="0" collapsed="false">
      <c r="B95" s="0"/>
      <c r="C95" s="122" t="n">
        <v>2133</v>
      </c>
      <c r="D95" s="156" t="s">
        <v>112</v>
      </c>
      <c r="E95" s="0"/>
      <c r="F95" s="122" t="n">
        <v>12</v>
      </c>
      <c r="G95" s="0"/>
      <c r="H95" s="122" t="s">
        <v>113</v>
      </c>
      <c r="I95" s="0"/>
      <c r="J95" s="122" t="n">
        <v>50</v>
      </c>
      <c r="K95" s="0"/>
      <c r="L95" s="0"/>
      <c r="N95" s="0"/>
      <c r="O95" s="0"/>
      <c r="P95" s="0"/>
      <c r="Q95" s="0"/>
    </row>
    <row r="96" customFormat="false" ht="12.75" hidden="true" customHeight="false" outlineLevel="0" collapsed="false">
      <c r="B96" s="0"/>
      <c r="C96" s="0"/>
      <c r="D96" s="0"/>
      <c r="E96" s="0"/>
      <c r="F96" s="122" t="n">
        <v>13</v>
      </c>
      <c r="G96" s="0"/>
      <c r="H96" s="122" t="s">
        <v>114</v>
      </c>
      <c r="I96" s="0"/>
      <c r="J96" s="122" t="n">
        <v>44</v>
      </c>
      <c r="K96" s="0"/>
      <c r="L96" s="0"/>
      <c r="N96" s="0"/>
      <c r="O96" s="0"/>
      <c r="P96" s="0"/>
      <c r="Q96" s="0"/>
    </row>
    <row r="97" customFormat="false" ht="12.75" hidden="true" customHeight="false" outlineLevel="0" collapsed="false">
      <c r="B97" s="0"/>
      <c r="C97" s="0"/>
      <c r="D97" s="0"/>
      <c r="E97" s="0"/>
      <c r="F97" s="122" t="n">
        <v>14</v>
      </c>
      <c r="G97" s="0"/>
      <c r="H97" s="0"/>
      <c r="I97" s="0"/>
      <c r="J97" s="122" t="n">
        <v>40</v>
      </c>
      <c r="K97" s="0"/>
      <c r="L97" s="0"/>
      <c r="N97" s="157" t="str">
        <f aca="false">IF(E19="DDR3","DDR3_ZQ_Tsens_Min","LPDDR2_ZQ_Tsens_Min")</f>
        <v>DDR3_ZQ_Tsens_Min</v>
      </c>
      <c r="O97" s="157" t="str">
        <f aca="false">IF(E19="DDR3","DDR3_ZQ_Tsens_Max","LPDDR2_ZQ_Tsens_Max")</f>
        <v>DDR3_ZQ_Tsens_Max</v>
      </c>
      <c r="P97" s="122" t="n">
        <f aca="false">IF(AND(E19="LPDDR2",E56&gt;0.75),1,0)</f>
        <v>0</v>
      </c>
      <c r="Q97" s="122" t="n">
        <v>0</v>
      </c>
    </row>
    <row r="98" customFormat="false" ht="12.75" hidden="true" customHeight="false" outlineLevel="0" collapsed="false">
      <c r="B98" s="157" t="n">
        <v>533</v>
      </c>
      <c r="C98" s="122" t="str">
        <f aca="false">IF(E19="DDR3","DDR3_Min","LPDDR2_Min")</f>
        <v>DDR3_Min</v>
      </c>
      <c r="D98" s="154" t="str">
        <f aca="false">IF(E19="DDR3","DDR3_Max","LPDDR2_Max")</f>
        <v>DDR3_Max</v>
      </c>
      <c r="E98" s="0"/>
      <c r="F98" s="122" t="n">
        <v>15</v>
      </c>
      <c r="G98" s="0"/>
      <c r="H98" s="0"/>
      <c r="I98" s="0"/>
      <c r="J98" s="122" t="n">
        <v>36</v>
      </c>
      <c r="K98" s="0"/>
      <c r="L98" s="0"/>
      <c r="N98" s="157" t="n">
        <v>0</v>
      </c>
      <c r="O98" s="157" t="n">
        <v>1.5</v>
      </c>
      <c r="P98" s="0"/>
      <c r="Q98" s="122" t="n">
        <v>1</v>
      </c>
    </row>
    <row r="99" customFormat="false" ht="12.75" hidden="true" customHeight="false" outlineLevel="0" collapsed="false">
      <c r="B99" s="157" t="n">
        <v>667</v>
      </c>
      <c r="C99" s="122" t="n">
        <v>303</v>
      </c>
      <c r="D99" s="122" t="n">
        <v>400</v>
      </c>
      <c r="E99" s="0"/>
      <c r="F99" s="122" t="n">
        <v>16</v>
      </c>
      <c r="G99" s="0"/>
      <c r="H99" s="0"/>
      <c r="I99" s="0"/>
      <c r="J99" s="122" t="n">
        <v>33</v>
      </c>
      <c r="K99" s="0"/>
      <c r="L99" s="0"/>
      <c r="N99" s="157" t="n">
        <v>0</v>
      </c>
      <c r="O99" s="157" t="n">
        <v>0.75</v>
      </c>
      <c r="P99" s="0"/>
    </row>
    <row r="100" customFormat="false" ht="12.75" hidden="true" customHeight="false" outlineLevel="0" collapsed="false">
      <c r="B100" s="157" t="n">
        <v>800</v>
      </c>
      <c r="C100" s="122" t="n">
        <v>133</v>
      </c>
      <c r="D100" s="122" t="n">
        <v>266</v>
      </c>
      <c r="E100" s="0"/>
      <c r="F100" s="0"/>
      <c r="G100" s="0"/>
      <c r="H100" s="0"/>
      <c r="I100" s="0"/>
      <c r="J100" s="0"/>
      <c r="K100" s="0"/>
      <c r="L100" s="0"/>
      <c r="N100" s="157"/>
      <c r="O100" s="157"/>
      <c r="P100" s="0"/>
    </row>
    <row r="101" customFormat="false" ht="12.75" hidden="true" customHeight="false" outlineLevel="0" collapsed="false">
      <c r="B101" s="157" t="n">
        <v>933</v>
      </c>
      <c r="C101" s="0"/>
      <c r="D101" s="0"/>
      <c r="E101" s="0"/>
      <c r="F101" s="0"/>
      <c r="G101" s="0"/>
      <c r="H101" s="0"/>
      <c r="I101" s="0"/>
      <c r="J101" s="0"/>
      <c r="K101" s="0"/>
      <c r="L101" s="0"/>
      <c r="N101" s="157"/>
      <c r="O101" s="157"/>
      <c r="P101" s="0"/>
    </row>
    <row r="102" customFormat="false" ht="12.75" hidden="true" customHeight="false" outlineLevel="0" collapsed="false">
      <c r="B102" s="157" t="n">
        <v>1066</v>
      </c>
      <c r="C102" s="122" t="n">
        <f aca="false">IF(E19="DDR3",IF(AND(E20&gt;=303,E20&lt;=400),1,0),IF(AND(E20&gt;=133,E20&lt;=266),1,0))</f>
        <v>1</v>
      </c>
      <c r="D102" s="122" t="n">
        <f aca="false">IF(AND(E19="DDR3",E35=533),1,IF(AND(E19="DDR3",E35=667),1,IF(AND(E19="DDR3",E35=933),1,IF(AND(E19="LPDDR2",E35=1333),1,IF(AND(E19="LPDDR2",E35=1600),1,IF(AND(E19="LPDDR2",E35=1866),1,IF(AND(E19="LPDDR2",E35=2133),1,0)))))))</f>
        <v>0</v>
      </c>
      <c r="E102" s="122" t="n">
        <f aca="false">IF(AND(E19="DDR3",E22="Single Ended"),1,0)</f>
        <v>0</v>
      </c>
      <c r="F102" s="122" t="n">
        <f aca="false">IF(AND(E19="DDR3",E23="Dual Rank"),1,0)</f>
        <v>0</v>
      </c>
      <c r="G102" s="122" t="n">
        <f aca="false">IF(AND(E19="DDR3",E41=32),1,IF(AND(E19="LPDDR2",E41=8),1,0))</f>
        <v>0</v>
      </c>
      <c r="H102" s="122" t="n">
        <f aca="false">IF(AND(E19="DDR3",E27=1),1,IF(AND(E19="DDR3",E27=2),1,IF(AND(E19="DDR3",E27=4),1,IF(AND(E19="DDR3",E27=8),1,IF(AND(E19="LPDDR2",E27="NA"),1,0)))))</f>
        <v>1</v>
      </c>
      <c r="I102" s="122" t="n">
        <f aca="false">IF(AND(E19="DDR3",E28=32),1,IF(AND(E19="DDR3",E28=64),1,IF(AND(E19="DDR3",E28=128),1,IF(AND(E19="DDR3",E28=256),1,IF(AND(E19="DDR3",E28=512),1,IF(AND(E19="DDR3",E28=1024),1,IF(AND(E19="DDR3",E28=2048),1,IF(AND(E19="DDR3",E28=4096),1,IF(AND(E19="LPDDR2",E28="NA"),1,0)))))))))</f>
        <v>1</v>
      </c>
      <c r="J102" s="122" t="n">
        <f aca="false">IF(AND(E19="DDR3",E24=0),1,IF(AND(E19="DDR3",E24=1),1,IF(AND(E19="LPDDR2",E24="NA"),1,0)))</f>
        <v>0</v>
      </c>
      <c r="K102" s="122" t="n">
        <f aca="false">IF(AND(E19="DDR3",E25="MR1"),1,IF(AND(E19="DDR3",E25="MR2"),1,IF(AND(E19="DDR3",E25="MR10"),1,IF(AND(E19="LPDDR2",E25="NA"),1,0))))</f>
        <v>0</v>
      </c>
      <c r="L102" s="122" t="n">
        <f aca="false">IF(AND(E19="DDR3",E26=2),1,IF(AND(E19="DDR3",E26=67),1,IF(AND(E19="DDR3",E26=86),1,IF(AND(E19="LPDDR2",E26="NA"),1,0))))</f>
        <v>0</v>
      </c>
      <c r="N102" s="157" t="str">
        <f aca="false">IF(E19="DDR3","DDR3_ZQ_Vsens_Min","LPDDR2_ZQ_Vsens_Min")</f>
        <v>DDR3_ZQ_Vsens_Min</v>
      </c>
      <c r="O102" s="157" t="str">
        <f aca="false">IF(E19="DDR3","DDR3_ZQ_Vsens_Max","LPDDR2_ZQ_Vsens_Max")</f>
        <v>DDR3_ZQ_Vsens_Max</v>
      </c>
      <c r="P102" s="122" t="n">
        <f aca="false">IF(AND(E19="DDR3",E57&gt;0.15),1,0)</f>
        <v>0</v>
      </c>
    </row>
    <row r="103" customFormat="false" ht="12.75" hidden="true" customHeight="false" outlineLevel="0" collapsed="false">
      <c r="C103" s="0"/>
      <c r="D103" s="0"/>
      <c r="E103" s="0"/>
      <c r="F103" s="0"/>
      <c r="G103" s="0"/>
      <c r="H103" s="0"/>
      <c r="I103" s="0"/>
      <c r="J103" s="0"/>
      <c r="K103" s="0"/>
      <c r="N103" s="157" t="n">
        <v>0</v>
      </c>
      <c r="O103" s="158" t="n">
        <v>0.15</v>
      </c>
    </row>
    <row r="104" customFormat="false" ht="12.75" hidden="true" customHeight="false" outlineLevel="0" collapsed="false">
      <c r="C104" s="122" t="str">
        <f aca="false">IF(E19="DDR3","DDR3_DQS","LPDDR2_DQS")</f>
        <v>DDR3_DQS</v>
      </c>
      <c r="D104" s="157" t="str">
        <f aca="false">IF(E19="DDR3","DDR3_CS","LPDDR2_CS")</f>
        <v>DDR3_CS</v>
      </c>
      <c r="E104" s="157" t="str">
        <f aca="false">IF(E19="DDR3","DDR3_NVM_RDB","LPDDR2_NVM_RDB")</f>
        <v>DDR3_NVM_RDB</v>
      </c>
      <c r="F104" s="122" t="str">
        <f aca="false">IF(E19="DDR3","DDR3_NVM_RDB_Size","LPDDR2_NVM_RDB_Size")</f>
        <v>DDR3_NVM_RDB_Size</v>
      </c>
      <c r="G104" s="0"/>
      <c r="H104" s="0"/>
      <c r="I104" s="122" t="n">
        <v>5</v>
      </c>
      <c r="J104" s="0"/>
      <c r="K104" s="0"/>
      <c r="N104" s="157" t="n">
        <v>0</v>
      </c>
      <c r="O104" s="157" t="n">
        <v>0.2</v>
      </c>
    </row>
    <row r="105" customFormat="false" ht="12.75" hidden="true" customHeight="false" outlineLevel="0" collapsed="false">
      <c r="C105" s="155" t="s">
        <v>42</v>
      </c>
      <c r="D105" s="158" t="s">
        <v>44</v>
      </c>
      <c r="E105" s="157" t="s">
        <v>46</v>
      </c>
      <c r="F105" s="154" t="s">
        <v>46</v>
      </c>
      <c r="G105" s="0"/>
      <c r="H105" s="0"/>
      <c r="I105" s="122" t="n">
        <v>6</v>
      </c>
      <c r="J105" s="0"/>
      <c r="K105" s="0"/>
      <c r="N105" s="157"/>
      <c r="O105" s="157"/>
    </row>
    <row r="106" customFormat="false" ht="12.75" hidden="true" customHeight="false" outlineLevel="0" collapsed="false">
      <c r="C106" s="155" t="s">
        <v>115</v>
      </c>
      <c r="D106" s="158" t="s">
        <v>44</v>
      </c>
      <c r="E106" s="157" t="n">
        <v>1</v>
      </c>
      <c r="F106" s="122" t="n">
        <v>32</v>
      </c>
      <c r="G106" s="0"/>
      <c r="H106" s="0"/>
      <c r="I106" s="122" t="n">
        <v>7</v>
      </c>
      <c r="J106" s="0"/>
      <c r="K106" s="0"/>
      <c r="N106" s="157"/>
      <c r="O106" s="157"/>
    </row>
    <row r="107" customFormat="false" ht="12.75" hidden="true" customHeight="false" outlineLevel="0" collapsed="false">
      <c r="C107" s="155" t="s">
        <v>42</v>
      </c>
      <c r="D107" s="158" t="s">
        <v>116</v>
      </c>
      <c r="E107" s="157" t="n">
        <v>2</v>
      </c>
      <c r="F107" s="122" t="n">
        <v>64</v>
      </c>
      <c r="G107" s="0"/>
      <c r="H107" s="0"/>
      <c r="I107" s="122" t="n">
        <v>8</v>
      </c>
      <c r="J107" s="0"/>
      <c r="K107" s="0"/>
      <c r="N107" s="157"/>
      <c r="O107" s="157"/>
    </row>
    <row r="108" customFormat="false" ht="12.75" hidden="true" customHeight="false" outlineLevel="0" collapsed="false">
      <c r="D108" s="0"/>
      <c r="E108" s="157" t="n">
        <v>4</v>
      </c>
      <c r="F108" s="122" t="n">
        <v>128</v>
      </c>
      <c r="G108" s="0"/>
      <c r="H108" s="0"/>
      <c r="I108" s="122" t="n">
        <v>9</v>
      </c>
      <c r="J108" s="0"/>
      <c r="K108" s="0"/>
      <c r="N108" s="157"/>
      <c r="O108" s="157"/>
    </row>
    <row r="109" customFormat="false" ht="12.75" hidden="true" customHeight="false" outlineLevel="0" collapsed="false">
      <c r="D109" s="0"/>
      <c r="E109" s="157" t="n">
        <v>8</v>
      </c>
      <c r="F109" s="122" t="n">
        <v>256</v>
      </c>
      <c r="G109" s="0"/>
      <c r="H109" s="0"/>
      <c r="I109" s="122" t="n">
        <v>10</v>
      </c>
      <c r="J109" s="0"/>
      <c r="K109" s="0"/>
      <c r="N109" s="157"/>
      <c r="O109" s="157"/>
    </row>
    <row r="110" customFormat="false" ht="12.75" hidden="true" customHeight="false" outlineLevel="0" collapsed="false">
      <c r="D110" s="157" t="str">
        <f aca="false">IF(E19="DDR3","DDR3_Refresh","LPDDR2_Refresh")</f>
        <v>DDR3_Refresh</v>
      </c>
      <c r="E110" s="0"/>
      <c r="F110" s="122" t="n">
        <v>512</v>
      </c>
      <c r="G110" s="0"/>
      <c r="H110" s="0"/>
      <c r="I110" s="122" t="n">
        <v>11</v>
      </c>
      <c r="J110" s="0"/>
      <c r="K110" s="0"/>
      <c r="N110" s="157"/>
      <c r="O110" s="157"/>
    </row>
    <row r="111" customFormat="false" ht="12.75" hidden="true" customHeight="false" outlineLevel="0" collapsed="false">
      <c r="D111" s="158" t="s">
        <v>46</v>
      </c>
      <c r="E111" s="0"/>
      <c r="F111" s="122" t="n">
        <v>1024</v>
      </c>
      <c r="G111" s="0"/>
      <c r="H111" s="0"/>
      <c r="I111" s="122" t="n">
        <v>12</v>
      </c>
      <c r="J111" s="0"/>
      <c r="K111" s="0"/>
      <c r="N111" s="157"/>
      <c r="O111" s="157"/>
    </row>
    <row r="112" customFormat="false" ht="12.75" hidden="true" customHeight="false" outlineLevel="0" collapsed="false">
      <c r="D112" s="157" t="n">
        <v>0</v>
      </c>
      <c r="E112" s="0"/>
      <c r="F112" s="122" t="n">
        <v>2048</v>
      </c>
      <c r="G112" s="0"/>
      <c r="H112" s="0"/>
      <c r="I112" s="122" t="n">
        <v>13</v>
      </c>
      <c r="J112" s="0"/>
      <c r="K112" s="0"/>
      <c r="N112" s="157"/>
      <c r="O112" s="157"/>
    </row>
    <row r="113" customFormat="false" ht="12.75" hidden="true" customHeight="false" outlineLevel="0" collapsed="false">
      <c r="D113" s="157" t="n">
        <v>1</v>
      </c>
      <c r="E113" s="0"/>
      <c r="F113" s="122" t="n">
        <v>4096</v>
      </c>
      <c r="G113" s="0"/>
      <c r="H113" s="0"/>
      <c r="I113" s="122" t="n">
        <v>14</v>
      </c>
      <c r="J113" s="0"/>
      <c r="K113" s="0"/>
      <c r="N113" s="157"/>
      <c r="O113" s="157"/>
    </row>
    <row r="114" customFormat="false" ht="12.75" hidden="true" customHeight="false" outlineLevel="0" collapsed="false">
      <c r="D114" s="0"/>
      <c r="E114" s="0"/>
      <c r="F114" s="0"/>
      <c r="G114" s="0"/>
      <c r="H114" s="0"/>
      <c r="I114" s="0"/>
      <c r="J114" s="0"/>
      <c r="K114" s="0"/>
      <c r="N114" s="157"/>
      <c r="O114" s="157"/>
    </row>
    <row r="115" customFormat="false" ht="12.75" hidden="true" customHeight="false" outlineLevel="0" collapsed="false">
      <c r="D115" s="0"/>
      <c r="E115" s="154" t="str">
        <f aca="false">IF(E19="DDR3",IF(E35=800,"CL_800",IF(E35=1066,"CL_1066",IF(E35=1333,"CL_1333",IF(E35=1600,"CL_1600",IF(E35=1866,"CL_1866","CL_2133"))))),"NA")</f>
        <v>CL_1600</v>
      </c>
      <c r="F115" s="122" t="n">
        <f aca="false">IF(E19="DDR3",IF(AND(E35=800,E40=5),0,IF(AND(E35=800,E40=6),0,IF(AND(E35=1066,E40=6),0,IF(AND(E35=1066,E40=7),0,IF(AND(E35=1066,E40=8),0,IF(AND(E35=1333,E40=7),0,IF(AND(E35=1333,E40=8),0,IF(AND(E35=1333,E40=9),0,IF(AND(E35=1333,E40=10),0,IF(AND(E35=1600,E40=8),0,IF(AND(E35=1600,E40=9),0,IF(AND(E35=1600,E40=10),0,IF(AND(E35=1600,E40=11),0,IF(AND(E35=1866,E40=10),0,IF(AND(E35=1866,E40=11),0,IF(AND(E35=1866,E40=12),0,IF(AND(E35=1866,E40=13),0,IF(AND(E35=2133,E40=11),0,IF(AND(E35=2133,E40=12),0,IF(AND(E35=2133,E40=13),0,IF(AND(E35=2133,E40=14),0,1))))))))))))))))))))),IF(E40="Not Applicable",0,1))</f>
        <v>0</v>
      </c>
      <c r="G115" s="0"/>
      <c r="H115" s="0"/>
      <c r="I115" s="0"/>
      <c r="J115" s="0"/>
      <c r="K115" s="0"/>
      <c r="N115" s="157"/>
      <c r="O115" s="157"/>
    </row>
    <row r="116" customFormat="false" ht="12.75" hidden="true" customHeight="false" outlineLevel="0" collapsed="false">
      <c r="D116" s="157" t="str">
        <f aca="false">IF(E19="DDR3","DDR3_Addr","LPDDR2_Addr")</f>
        <v>DDR3_Addr</v>
      </c>
      <c r="E116" s="0"/>
      <c r="F116" s="0"/>
      <c r="G116" s="0"/>
      <c r="H116" s="0"/>
      <c r="I116" s="0"/>
      <c r="J116" s="0"/>
      <c r="K116" s="0"/>
    </row>
    <row r="117" customFormat="false" ht="12.75" hidden="true" customHeight="false" outlineLevel="0" collapsed="false">
      <c r="D117" s="158" t="s">
        <v>46</v>
      </c>
      <c r="E117" s="122" t="n">
        <v>5</v>
      </c>
      <c r="F117" s="122" t="n">
        <v>6</v>
      </c>
      <c r="G117" s="122" t="n">
        <v>7</v>
      </c>
      <c r="H117" s="122" t="n">
        <v>8</v>
      </c>
      <c r="I117" s="122" t="n">
        <v>10</v>
      </c>
      <c r="J117" s="122" t="n">
        <v>11</v>
      </c>
      <c r="K117" s="155" t="s">
        <v>117</v>
      </c>
    </row>
    <row r="118" customFormat="false" ht="12.75" hidden="true" customHeight="false" outlineLevel="0" collapsed="false">
      <c r="D118" s="158" t="s">
        <v>118</v>
      </c>
      <c r="E118" s="122" t="n">
        <v>6</v>
      </c>
      <c r="F118" s="122" t="n">
        <v>7</v>
      </c>
      <c r="G118" s="122" t="n">
        <v>8</v>
      </c>
      <c r="H118" s="122" t="n">
        <v>9</v>
      </c>
      <c r="I118" s="122" t="n">
        <v>11</v>
      </c>
      <c r="J118" s="122" t="n">
        <v>12</v>
      </c>
    </row>
    <row r="119" customFormat="false" ht="12.75" hidden="true" customHeight="false" outlineLevel="0" collapsed="false">
      <c r="D119" s="158" t="s">
        <v>119</v>
      </c>
      <c r="F119" s="122" t="n">
        <v>8</v>
      </c>
      <c r="G119" s="122" t="n">
        <v>9</v>
      </c>
      <c r="H119" s="122" t="n">
        <v>10</v>
      </c>
      <c r="I119" s="122" t="n">
        <v>12</v>
      </c>
      <c r="J119" s="122" t="n">
        <v>13</v>
      </c>
    </row>
    <row r="120" customFormat="false" ht="12.75" hidden="true" customHeight="false" outlineLevel="0" collapsed="false">
      <c r="D120" s="158" t="s">
        <v>120</v>
      </c>
      <c r="G120" s="122" t="n">
        <v>10</v>
      </c>
      <c r="H120" s="122" t="n">
        <v>11</v>
      </c>
      <c r="I120" s="122" t="n">
        <v>13</v>
      </c>
      <c r="J120" s="122" t="n">
        <v>14</v>
      </c>
    </row>
    <row r="121" customFormat="false" ht="12.75" hidden="true" customHeight="false" outlineLevel="0" collapsed="false">
      <c r="D121" s="0"/>
    </row>
    <row r="122" customFormat="false" ht="12.75" hidden="true" customHeight="false" outlineLevel="0" collapsed="false">
      <c r="D122" s="0"/>
    </row>
    <row r="123" customFormat="false" ht="12.75" hidden="true" customHeight="false" outlineLevel="0" collapsed="false">
      <c r="D123" s="157" t="str">
        <f aca="false">IF(E19="DDR3","DDR3_Data","LPDDR2_Data")</f>
        <v>DDR3_Data</v>
      </c>
    </row>
    <row r="124" customFormat="false" ht="12.75" hidden="true" customHeight="false" outlineLevel="0" collapsed="false">
      <c r="D124" s="158" t="s">
        <v>46</v>
      </c>
    </row>
    <row r="125" customFormat="false" ht="12.75" hidden="true" customHeight="false" outlineLevel="0" collapsed="false">
      <c r="D125" s="158" t="n">
        <v>2</v>
      </c>
    </row>
    <row r="126" customFormat="false" ht="12.75" hidden="true" customHeight="false" outlineLevel="0" collapsed="false">
      <c r="D126" s="158" t="n">
        <v>67</v>
      </c>
    </row>
    <row r="127" customFormat="false" ht="12.75" hidden="true" customHeight="false" outlineLevel="0" collapsed="false">
      <c r="D127" s="158" t="n">
        <v>86</v>
      </c>
    </row>
  </sheetData>
  <sheetProtection sheet="true" password="d9ff" objects="true" scenarios="true"/>
  <mergeCells count="11">
    <mergeCell ref="B2:I2"/>
    <mergeCell ref="B3:I3"/>
    <mergeCell ref="B4:I6"/>
    <mergeCell ref="B7:I8"/>
    <mergeCell ref="B15:G16"/>
    <mergeCell ref="B32:G33"/>
    <mergeCell ref="G35:G38"/>
    <mergeCell ref="G40:H42"/>
    <mergeCell ref="B44:G45"/>
    <mergeCell ref="B52:G53"/>
    <mergeCell ref="B63:G64"/>
  </mergeCells>
  <conditionalFormatting sqref="E47">
    <cfRule type="cellIs" priority="2" operator="notEqual" aboveAverage="0" equalAverage="0" bottom="0" percent="0" rank="0" text="" dxfId="0">
      <formula>G47</formula>
    </cfRule>
  </conditionalFormatting>
  <conditionalFormatting sqref="E48">
    <cfRule type="cellIs" priority="3" operator="notEqual" aboveAverage="0" equalAverage="0" bottom="0" percent="0" rank="0" text="" dxfId="0">
      <formula>G48</formula>
    </cfRule>
  </conditionalFormatting>
  <conditionalFormatting sqref="E49">
    <cfRule type="cellIs" priority="4" operator="notEqual" aboveAverage="0" equalAverage="0" bottom="0" percent="0" rank="0" text="" dxfId="1">
      <formula>$G$49</formula>
    </cfRule>
  </conditionalFormatting>
  <conditionalFormatting sqref="E72">
    <cfRule type="cellIs" priority="5" operator="notEqual" aboveAverage="0" equalAverage="0" bottom="0" percent="0" rank="0" text="" dxfId="2">
      <formula>$G$72</formula>
    </cfRule>
  </conditionalFormatting>
  <conditionalFormatting sqref="E66">
    <cfRule type="cellIs" priority="6" operator="notEqual" aboveAverage="0" equalAverage="0" bottom="0" percent="0" rank="0" text="" dxfId="3">
      <formula>$G$66</formula>
    </cfRule>
  </conditionalFormatting>
  <conditionalFormatting sqref="E67:E68">
    <cfRule type="cellIs" priority="7" operator="notEqual" aboveAverage="0" equalAverage="0" bottom="0" percent="0" rank="0" text="" dxfId="4">
      <formula>$G$67</formula>
    </cfRule>
  </conditionalFormatting>
  <conditionalFormatting sqref="E69">
    <cfRule type="cellIs" priority="8" operator="notEqual" aboveAverage="0" equalAverage="0" bottom="0" percent="0" rank="0" text="" dxfId="5">
      <formula>$G$69</formula>
    </cfRule>
  </conditionalFormatting>
  <conditionalFormatting sqref="E73">
    <cfRule type="cellIs" priority="9" operator="notEqual" aboveAverage="0" equalAverage="0" bottom="0" percent="0" rank="0" text="" dxfId="6">
      <formula>$G$73</formula>
    </cfRule>
  </conditionalFormatting>
  <conditionalFormatting sqref="E20">
    <cfRule type="expression" priority="10" aboveAverage="0" equalAverage="0" bottom="0" percent="0" rank="0" text="" dxfId="7">
      <formula>$C$102=0</formula>
    </cfRule>
  </conditionalFormatting>
  <conditionalFormatting sqref="E35">
    <cfRule type="expression" priority="11" aboveAverage="0" equalAverage="0" bottom="0" percent="0" rank="0" text="" dxfId="8">
      <formula>D102=1</formula>
    </cfRule>
  </conditionalFormatting>
  <conditionalFormatting sqref="E22">
    <cfRule type="expression" priority="12" aboveAverage="0" equalAverage="0" bottom="0" percent="0" rank="0" text="" dxfId="9">
      <formula>E102=1</formula>
    </cfRule>
  </conditionalFormatting>
  <conditionalFormatting sqref="E23">
    <cfRule type="expression" priority="13" aboveAverage="0" equalAverage="0" bottom="0" percent="0" rank="0" text="" dxfId="10">
      <formula>F102=1</formula>
    </cfRule>
  </conditionalFormatting>
  <conditionalFormatting sqref="E41:E42">
    <cfRule type="expression" priority="14" aboveAverage="0" equalAverage="0" bottom="0" percent="0" rank="0" text="" dxfId="11">
      <formula>$G$102=1</formula>
    </cfRule>
  </conditionalFormatting>
  <conditionalFormatting sqref="E27">
    <cfRule type="expression" priority="15" aboveAverage="0" equalAverage="0" bottom="0" percent="0" rank="0" text="" dxfId="12">
      <formula>H102=1</formula>
    </cfRule>
  </conditionalFormatting>
  <conditionalFormatting sqref="E24">
    <cfRule type="expression" priority="16" aboveAverage="0" equalAverage="0" bottom="0" percent="0" rank="0" text="" dxfId="13">
      <formula>J102=1</formula>
    </cfRule>
  </conditionalFormatting>
  <conditionalFormatting sqref="E25">
    <cfRule type="expression" priority="17" aboveAverage="0" equalAverage="0" bottom="0" percent="0" rank="0" text="" dxfId="14">
      <formula>K102=1</formula>
    </cfRule>
  </conditionalFormatting>
  <conditionalFormatting sqref="E26">
    <cfRule type="expression" priority="18" aboveAverage="0" equalAverage="0" bottom="0" percent="0" rank="0" text="" dxfId="15">
      <formula>L102=1</formula>
    </cfRule>
  </conditionalFormatting>
  <conditionalFormatting sqref="E28">
    <cfRule type="expression" priority="19" aboveAverage="0" equalAverage="0" bottom="0" percent="0" rank="0" text="" dxfId="16">
      <formula>I102=1</formula>
    </cfRule>
  </conditionalFormatting>
  <conditionalFormatting sqref="E56">
    <cfRule type="expression" priority="20" aboveAverage="0" equalAverage="0" bottom="0" percent="0" rank="0" text="" dxfId="17">
      <formula>P97=1</formula>
    </cfRule>
  </conditionalFormatting>
  <conditionalFormatting sqref="E57">
    <cfRule type="expression" priority="21" aboveAverage="0" equalAverage="0" bottom="0" percent="0" rank="0" text="" dxfId="18">
      <formula>P102=1</formula>
    </cfRule>
  </conditionalFormatting>
  <conditionalFormatting sqref="E40">
    <cfRule type="expression" priority="22" aboveAverage="0" equalAverage="0" bottom="0" percent="0" rank="0" text="" dxfId="19">
      <formula>F115=1</formula>
    </cfRule>
  </conditionalFormatting>
  <conditionalFormatting sqref="E71">
    <cfRule type="cellIs" priority="23" operator="notEqual" aboveAverage="0" equalAverage="0" bottom="0" percent="0" rank="0" text="" dxfId="20">
      <formula>$G$71</formula>
    </cfRule>
  </conditionalFormatting>
  <conditionalFormatting sqref="E70">
    <cfRule type="cellIs" priority="24" operator="notEqual" aboveAverage="0" equalAverage="0" bottom="0" percent="0" rank="0" text="" dxfId="21">
      <formula>$G$70</formula>
    </cfRule>
  </conditionalFormatting>
  <dataValidations count="28">
    <dataValidation allowBlank="true" error="Frequency is beyond the datasheet limits of the selected SOC as of April, 2015. Refer to the latest datasheet for valid frequencies." operator="between" showDropDown="false" showErrorMessage="true" showInputMessage="true" sqref="E20" type="list">
      <formula1>"303,400"</formula1>
      <formula2>0</formula2>
    </dataValidation>
    <dataValidation allowBlank="true" operator="between" showDropDown="false" showErrorMessage="true" showInputMessage="true" sqref="E41" type="list">
      <formula1>INDIRECT(#REF!)</formula1>
      <formula2>0</formula2>
    </dataValidation>
    <dataValidation allowBlank="true" operator="between" showDropDown="false" showErrorMessage="true" showInputMessage="true" sqref="E49" type="list">
      <formula1>$I$91:$I$93</formula1>
      <formula2>0</formula2>
    </dataValidation>
    <dataValidation allowBlank="true" operator="between" showDropDown="false" showErrorMessage="true" showInputMessage="true" sqref="E48" type="list">
      <formula1>INDIRECT(#REF!)</formula1>
      <formula2>0</formula2>
    </dataValidation>
    <dataValidation allowBlank="true" operator="between" showDropDown="false" showErrorMessage="true" showInputMessage="true" sqref="E47" type="list">
      <formula1>$H$91:$H$96</formula1>
      <formula2>0</formula2>
    </dataValidation>
    <dataValidation allowBlank="true" operator="between" showDropDown="false" showErrorMessage="true" showInputMessage="true" sqref="E70:E73" type="list">
      <formula1>$J$92:$J$99</formula1>
      <formula2>0</formula2>
    </dataValidation>
    <dataValidation allowBlank="true" operator="between" showDropDown="false" showErrorMessage="true" showInputMessage="true" sqref="E67:E69" type="list">
      <formula1>$D$92:$D$95</formula1>
      <formula2>0</formula2>
    </dataValidation>
    <dataValidation allowBlank="true" operator="between" showDropDown="false" showErrorMessage="true" showInputMessage="true" sqref="E66" type="list">
      <formula1>$K$80:$K$82</formula1>
      <formula2>0</formula2>
    </dataValidation>
    <dataValidation allowBlank="true" operator="between" showDropDown="false" showErrorMessage="true" showInputMessage="true" sqref="E35" type="list">
      <formula1>INDIRECT($C$85)</formula1>
      <formula2>0</formula2>
    </dataValidation>
    <dataValidation allowBlank="true" operator="between" showDropDown="false" showErrorMessage="true" showInputMessage="true" sqref="E37" type="list">
      <formula1>$F$92:$F$99</formula1>
      <formula2>0</formula2>
    </dataValidation>
    <dataValidation allowBlank="true" operator="between" showDropDown="false" showErrorMessage="true" showInputMessage="true" sqref="E39" type="list">
      <formula1>$L$80:$L$83</formula1>
      <formula2>0</formula2>
    </dataValidation>
    <dataValidation allowBlank="true" operator="between" showDropDown="false" showErrorMessage="true" showInputMessage="true" sqref="E38" type="list">
      <formula1>$M$80:$M$83</formula1>
      <formula2>0</formula2>
    </dataValidation>
    <dataValidation allowBlank="true" operator="between" showDropDown="false" showErrorMessage="true" showInputMessage="true" sqref="E36" type="list">
      <formula1>$N$80:$N$84</formula1>
      <formula2>0</formula2>
    </dataValidation>
    <dataValidation allowBlank="true" error="Please ensure the part number is correct, and that the value entered is within the datasheet limits!" operator="between" showDropDown="false" showErrorMessage="true" showInputMessage="true" sqref="E22" type="list">
      <formula1>INDIRECT($C$104)</formula1>
      <formula2>0</formula2>
    </dataValidation>
    <dataValidation allowBlank="true" error="Please ensure the part number is correct, and that the value entered is within the datasheet limits!" operator="between" showDropDown="false" showErrorMessage="true" showInputMessage="true" sqref="E23" type="list">
      <formula1>INDIRECT($D$104)</formula1>
      <formula2>0</formula2>
    </dataValidation>
    <dataValidation allowBlank="true" error="Please ensure the part number is correct, and that the value entered is within the datasheet limits!" operator="between" showDropDown="false" showErrorMessage="true" showInputMessage="true" sqref="E27" type="list">
      <formula1>INDIRECT($E$104)</formula1>
      <formula2>0</formula2>
    </dataValidation>
    <dataValidation allowBlank="true" error="Please ensure the part number is correct, and that the value entered is within the datasheet limits!" operator="between" showDropDown="false" showErrorMessage="true" showInputMessage="true" sqref="E28" type="list">
      <formula1>INDIRECT($F$104)</formula1>
      <formula2>0</formula2>
    </dataValidation>
    <dataValidation allowBlank="true" error="Please ensure the part number is correct, and that the value entered is within the datasheet limits!" operator="between" showDropDown="false" showErrorMessage="true" showInputMessage="true" sqref="E24" type="list">
      <formula1>INDIRECT($D$110)</formula1>
      <formula2>0</formula2>
    </dataValidation>
    <dataValidation allowBlank="true" error="Please ensure the part number is correct, and that the value entered is within the datasheet limits!" operator="between" showDropDown="false" showErrorMessage="true" showInputMessage="true" sqref="E25" type="list">
      <formula1>INDIRECT($D$116)</formula1>
      <formula2>0</formula2>
    </dataValidation>
    <dataValidation allowBlank="true" error="Please ensure the part number is correct, and that the value entered is within the datasheet limits!" operator="between" showDropDown="false" showErrorMessage="true" showInputMessage="true" sqref="E26" type="list">
      <formula1>INDIRECT($D$123)</formula1>
      <formula2>0</formula2>
    </dataValidation>
    <dataValidation allowBlank="true" operator="between" showDropDown="false" showErrorMessage="true" showInputMessage="true" sqref="E29" type="list">
      <formula1>$L$92:$L$93</formula1>
      <formula2>0</formula2>
    </dataValidation>
    <dataValidation allowBlank="true" operator="between" showDropDown="false" showErrorMessage="true" showInputMessage="true" sqref="E56" type="decimal">
      <formula1>INDIRECT(#REF!)</formula1>
      <formula2>INDIRECT(#REF!)</formula2>
    </dataValidation>
    <dataValidation allowBlank="true" operator="between" showDropDown="false" showErrorMessage="true" showInputMessage="true" sqref="E57" type="decimal">
      <formula1>INDIRECT(#REF!)</formula1>
      <formula2>INDIRECT(#REF!)</formula2>
    </dataValidation>
    <dataValidation allowBlank="true" operator="between" showDropDown="false" showErrorMessage="true" showInputMessage="true" sqref="E55" type="list">
      <formula1>$Q$97:$Q$98</formula1>
      <formula2>0</formula2>
    </dataValidation>
    <dataValidation allowBlank="true" operator="between" showDropDown="false" showErrorMessage="true" showInputMessage="true" sqref="E58" type="decimal">
      <formula1>0</formula1>
      <formula2>1.2</formula2>
    </dataValidation>
    <dataValidation allowBlank="true" operator="between" showDropDown="false" showErrorMessage="true" showInputMessage="true" sqref="E59" type="decimal">
      <formula1>0</formula1>
      <formula2>15</formula2>
    </dataValidation>
    <dataValidation allowBlank="true" operator="between" showDropDown="false" showErrorMessage="true" showInputMessage="true" sqref="E42" type="whole">
      <formula1>0</formula1>
      <formula2>7800</formula2>
    </dataValidation>
    <dataValidation allowBlank="true" operator="between" showDropDown="false" showErrorMessage="true" showInputMessage="true" sqref="E40" type="list">
      <formula1>INDIRECT($E$115)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0" topLeftCell="A21" activePane="bottomLeft" state="frozen"/>
      <selection pane="topLeft" activeCell="A1" activeCellId="0" sqref="A1"/>
      <selection pane="bottomLeft" activeCell="F51" activeCellId="0" sqref="F51"/>
    </sheetView>
  </sheetViews>
  <sheetFormatPr defaultRowHeight="12.75"/>
  <cols>
    <col collapsed="false" hidden="false" max="1" min="1" style="122" width="4.57142857142857"/>
    <col collapsed="false" hidden="false" max="2" min="2" style="122" width="9.14285714285714"/>
    <col collapsed="false" hidden="false" max="3" min="3" style="122" width="13.2857142857143"/>
    <col collapsed="false" hidden="false" max="4" min="4" style="122" width="53.5714285714286"/>
    <col collapsed="false" hidden="false" max="5" min="5" style="122" width="9.4234693877551"/>
    <col collapsed="false" hidden="false" max="6" min="6" style="122" width="9.14285714285714"/>
    <col collapsed="false" hidden="false" max="7" min="7" style="122" width="9.28571428571429"/>
    <col collapsed="false" hidden="false" max="8" min="8" style="122" width="13.1377551020408"/>
    <col collapsed="false" hidden="false" max="9" min="9" style="122" width="27.2857142857143"/>
    <col collapsed="false" hidden="false" max="10" min="10" style="122" width="9.14285714285714"/>
    <col collapsed="false" hidden="false" max="11" min="11" style="122" width="14.0051020408163"/>
    <col collapsed="false" hidden="false" max="1025" min="12" style="122" width="9.14285714285714"/>
  </cols>
  <sheetData>
    <row r="1" customFormat="false" ht="12.75" hidden="false" customHeight="true" outlineLevel="0" collapsed="false">
      <c r="A1" s="49"/>
      <c r="B1" s="49"/>
      <c r="C1" s="53"/>
      <c r="D1" s="53"/>
      <c r="E1" s="53"/>
      <c r="F1" s="53"/>
      <c r="G1" s="53"/>
      <c r="H1" s="53"/>
      <c r="I1" s="53"/>
      <c r="J1" s="53"/>
      <c r="K1" s="53"/>
      <c r="L1" s="0"/>
      <c r="M1" s="0"/>
      <c r="N1" s="0"/>
    </row>
    <row r="2" customFormat="false" ht="12.75" hidden="false" customHeight="true" outlineLevel="0" collapsed="false">
      <c r="A2" s="49"/>
      <c r="B2" s="51"/>
      <c r="C2" s="51"/>
      <c r="D2" s="51"/>
      <c r="E2" s="51"/>
      <c r="F2" s="51"/>
      <c r="G2" s="51"/>
      <c r="H2" s="51"/>
      <c r="I2" s="51"/>
      <c r="J2" s="51"/>
      <c r="K2" s="51"/>
      <c r="L2" s="0"/>
      <c r="M2" s="0"/>
      <c r="N2" s="0"/>
    </row>
    <row r="3" customFormat="false" ht="12.75" hidden="false" customHeight="true" outlineLevel="0" collapsed="false">
      <c r="A3" s="49"/>
      <c r="B3" s="51"/>
      <c r="C3" s="51"/>
      <c r="D3" s="51"/>
      <c r="E3" s="51"/>
      <c r="F3" s="51"/>
      <c r="G3" s="51"/>
      <c r="H3" s="51"/>
      <c r="I3" s="51"/>
      <c r="J3" s="51"/>
      <c r="K3" s="51"/>
      <c r="L3" s="0"/>
      <c r="M3" s="0"/>
      <c r="N3" s="0"/>
    </row>
    <row r="4" customFormat="false" ht="12.75" hidden="false" customHeight="true" outlineLevel="0" collapsed="false">
      <c r="A4" s="62"/>
      <c r="B4" s="159" t="s">
        <v>121</v>
      </c>
      <c r="C4" s="159"/>
      <c r="D4" s="159"/>
      <c r="E4" s="159"/>
      <c r="F4" s="159"/>
      <c r="G4" s="159"/>
      <c r="H4" s="159"/>
      <c r="I4" s="159"/>
      <c r="J4" s="159"/>
      <c r="K4" s="159"/>
      <c r="L4" s="0"/>
      <c r="M4" s="0"/>
      <c r="N4" s="0"/>
    </row>
    <row r="5" customFormat="false" ht="12.75" hidden="false" customHeight="true" outlineLevel="0" collapsed="false">
      <c r="A5" s="48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0"/>
      <c r="M5" s="0"/>
      <c r="N5" s="0"/>
    </row>
    <row r="6" customFormat="false" ht="12.75" hidden="false" customHeight="true" outlineLevel="0" collapsed="false">
      <c r="A6" s="48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0"/>
      <c r="M6" s="0"/>
      <c r="N6" s="0"/>
    </row>
    <row r="7" customFormat="false" ht="12.75" hidden="false" customHeight="true" outlineLevel="0" collapsed="false">
      <c r="A7" s="48"/>
      <c r="B7" s="54" t="s">
        <v>19</v>
      </c>
      <c r="C7" s="54"/>
      <c r="D7" s="54"/>
      <c r="E7" s="54"/>
      <c r="F7" s="54"/>
      <c r="G7" s="54"/>
      <c r="H7" s="54"/>
      <c r="I7" s="54"/>
      <c r="J7" s="54"/>
      <c r="K7" s="54"/>
      <c r="L7" s="0"/>
      <c r="M7" s="0"/>
      <c r="N7" s="0"/>
    </row>
    <row r="8" customFormat="false" ht="12.75" hidden="false" customHeight="true" outlineLevel="0" collapsed="false">
      <c r="A8" s="48"/>
      <c r="B8" s="54"/>
      <c r="C8" s="54"/>
      <c r="D8" s="54"/>
      <c r="E8" s="54"/>
      <c r="F8" s="54"/>
      <c r="G8" s="54"/>
      <c r="H8" s="54"/>
      <c r="I8" s="54"/>
      <c r="J8" s="54"/>
      <c r="K8" s="54"/>
      <c r="L8" s="0"/>
      <c r="M8" s="0"/>
      <c r="N8" s="0"/>
    </row>
    <row r="9" customFormat="false" ht="12.75" hidden="false" customHeight="true" outlineLevel="0" collapsed="false">
      <c r="A9" s="48"/>
      <c r="B9" s="56" t="s">
        <v>20</v>
      </c>
      <c r="C9" s="160" t="s">
        <v>122</v>
      </c>
      <c r="D9" s="161"/>
      <c r="E9" s="161"/>
      <c r="F9" s="161"/>
      <c r="G9" s="161"/>
      <c r="H9" s="161"/>
      <c r="I9" s="161"/>
      <c r="J9" s="161"/>
      <c r="K9" s="162"/>
      <c r="L9" s="0"/>
      <c r="M9" s="0"/>
      <c r="N9" s="0"/>
    </row>
    <row r="10" customFormat="false" ht="12.75" hidden="false" customHeight="true" outlineLevel="0" collapsed="false">
      <c r="A10" s="48"/>
      <c r="B10" s="56" t="s">
        <v>22</v>
      </c>
      <c r="C10" s="58" t="s">
        <v>123</v>
      </c>
      <c r="D10" s="163"/>
      <c r="E10" s="164"/>
      <c r="F10" s="164"/>
      <c r="G10" s="164"/>
      <c r="H10" s="164"/>
      <c r="I10" s="164"/>
      <c r="J10" s="164"/>
      <c r="K10" s="165"/>
      <c r="L10" s="0"/>
      <c r="M10" s="0"/>
      <c r="N10" s="0"/>
    </row>
    <row r="11" customFormat="false" ht="12.75" hidden="false" customHeight="true" outlineLevel="0" collapsed="false">
      <c r="A11" s="48"/>
      <c r="B11" s="166"/>
      <c r="C11" s="167"/>
      <c r="D11" s="168"/>
      <c r="E11" s="164"/>
      <c r="F11" s="164"/>
      <c r="G11" s="164"/>
      <c r="H11" s="164"/>
      <c r="I11" s="164"/>
      <c r="J11" s="164"/>
      <c r="K11" s="165"/>
      <c r="L11" s="0"/>
      <c r="M11" s="0"/>
      <c r="N11" s="0"/>
    </row>
    <row r="12" customFormat="false" ht="12.75" hidden="false" customHeight="true" outlineLevel="0" collapsed="false">
      <c r="A12" s="48"/>
      <c r="B12" s="166"/>
      <c r="C12" s="169" t="s">
        <v>124</v>
      </c>
      <c r="D12" s="168"/>
      <c r="E12" s="170"/>
      <c r="F12" s="164"/>
      <c r="G12" s="164"/>
      <c r="H12" s="164"/>
      <c r="I12" s="164"/>
      <c r="J12" s="164"/>
      <c r="K12" s="165"/>
      <c r="L12" s="0"/>
      <c r="M12" s="0"/>
      <c r="N12" s="0"/>
    </row>
    <row r="13" customFormat="false" ht="12.75" hidden="false" customHeight="true" outlineLevel="0" collapsed="false">
      <c r="A13" s="48"/>
      <c r="B13" s="166"/>
      <c r="C13" s="168" t="s">
        <v>20</v>
      </c>
      <c r="D13" s="163" t="s">
        <v>125</v>
      </c>
      <c r="E13" s="170"/>
      <c r="F13" s="164"/>
      <c r="G13" s="164"/>
      <c r="H13" s="164"/>
      <c r="I13" s="164"/>
      <c r="J13" s="164"/>
      <c r="K13" s="165"/>
      <c r="L13" s="0"/>
      <c r="M13" s="0"/>
      <c r="N13" s="0"/>
    </row>
    <row r="14" customFormat="false" ht="12.75" hidden="false" customHeight="true" outlineLevel="0" collapsed="false">
      <c r="A14" s="48"/>
      <c r="B14" s="166"/>
      <c r="C14" s="168" t="s">
        <v>22</v>
      </c>
      <c r="D14" s="163" t="s">
        <v>126</v>
      </c>
      <c r="E14" s="164"/>
      <c r="F14" s="164"/>
      <c r="G14" s="164"/>
      <c r="H14" s="164"/>
      <c r="I14" s="164"/>
      <c r="J14" s="164"/>
      <c r="K14" s="165"/>
      <c r="L14" s="0"/>
      <c r="M14" s="0"/>
      <c r="N14" s="0"/>
    </row>
    <row r="15" customFormat="false" ht="12.75" hidden="false" customHeight="true" outlineLevel="0" collapsed="false">
      <c r="A15" s="48"/>
      <c r="B15" s="171"/>
      <c r="C15" s="168" t="s">
        <v>127</v>
      </c>
      <c r="D15" s="172" t="s">
        <v>128</v>
      </c>
      <c r="E15" s="173"/>
      <c r="F15" s="173"/>
      <c r="G15" s="173"/>
      <c r="H15" s="173"/>
      <c r="I15" s="173"/>
      <c r="J15" s="173"/>
      <c r="K15" s="174"/>
      <c r="L15" s="0"/>
      <c r="M15" s="0"/>
      <c r="N15" s="0"/>
    </row>
    <row r="16" customFormat="false" ht="12.75" hidden="false" customHeight="true" outlineLevel="0" collapsed="false">
      <c r="A16" s="48"/>
      <c r="B16" s="171"/>
      <c r="C16" s="168" t="s">
        <v>129</v>
      </c>
      <c r="D16" s="172" t="s">
        <v>130</v>
      </c>
      <c r="E16" s="173"/>
      <c r="F16" s="173"/>
      <c r="G16" s="173"/>
      <c r="H16" s="173"/>
      <c r="I16" s="173"/>
      <c r="J16" s="173"/>
      <c r="K16" s="174"/>
      <c r="L16" s="0"/>
      <c r="M16" s="0"/>
      <c r="N16" s="0"/>
    </row>
    <row r="17" customFormat="false" ht="12.75" hidden="false" customHeight="true" outlineLevel="0" collapsed="false">
      <c r="A17" s="48"/>
      <c r="B17" s="171"/>
      <c r="C17" s="175"/>
      <c r="D17" s="172"/>
      <c r="E17" s="173"/>
      <c r="F17" s="173"/>
      <c r="G17" s="173"/>
      <c r="H17" s="173"/>
      <c r="I17" s="173"/>
      <c r="J17" s="173"/>
      <c r="K17" s="174"/>
      <c r="L17" s="0"/>
      <c r="M17" s="0"/>
      <c r="N17" s="0"/>
    </row>
    <row r="18" customFormat="false" ht="12.75" hidden="false" customHeight="true" outlineLevel="0" collapsed="false">
      <c r="A18" s="48"/>
      <c r="B18" s="171"/>
      <c r="C18" s="68" t="s">
        <v>24</v>
      </c>
      <c r="D18" s="172"/>
      <c r="E18" s="173"/>
      <c r="F18" s="173"/>
      <c r="G18" s="173"/>
      <c r="H18" s="173"/>
      <c r="I18" s="173"/>
      <c r="J18" s="173"/>
      <c r="K18" s="174"/>
      <c r="L18" s="0"/>
      <c r="M18" s="0"/>
      <c r="N18" s="0"/>
    </row>
    <row r="19" customFormat="false" ht="12.75" hidden="false" customHeight="true" outlineLevel="0" collapsed="false">
      <c r="A19" s="48"/>
      <c r="B19" s="176"/>
      <c r="C19" s="177"/>
      <c r="D19" s="177"/>
      <c r="E19" s="177"/>
      <c r="F19" s="177"/>
      <c r="G19" s="177"/>
      <c r="H19" s="178"/>
      <c r="I19" s="178"/>
      <c r="J19" s="178"/>
      <c r="K19" s="179"/>
      <c r="L19" s="0"/>
      <c r="M19" s="0"/>
      <c r="N19" s="0"/>
    </row>
    <row r="20" customFormat="false" ht="12.7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2.7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</row>
    <row r="22" customFormat="false" ht="12.75" hidden="false" customHeight="false" outlineLevel="0" collapsed="false">
      <c r="A22" s="0"/>
      <c r="B22" s="180" t="s">
        <v>131</v>
      </c>
      <c r="C22" s="181" t="s">
        <v>132</v>
      </c>
      <c r="D22" s="181"/>
      <c r="E22" s="181"/>
      <c r="F22" s="181"/>
      <c r="G22" s="181"/>
      <c r="H22" s="181"/>
      <c r="I22" s="181"/>
      <c r="J22" s="0"/>
      <c r="K22" s="0"/>
      <c r="L22" s="0"/>
      <c r="M22" s="0"/>
      <c r="N22" s="0"/>
    </row>
    <row r="23" customFormat="false" ht="12.75" hidden="false" customHeight="false" outlineLevel="0" collapsed="false">
      <c r="A23" s="0"/>
      <c r="B23" s="180"/>
      <c r="C23" s="181"/>
      <c r="D23" s="181"/>
      <c r="E23" s="181"/>
      <c r="F23" s="181"/>
      <c r="G23" s="181"/>
      <c r="H23" s="181"/>
      <c r="I23" s="181"/>
      <c r="J23" s="0"/>
      <c r="K23" s="0"/>
      <c r="L23" s="0"/>
      <c r="M23" s="0"/>
      <c r="N23" s="0"/>
    </row>
    <row r="24" customFormat="false" ht="13.5" hidden="false" customHeight="false" outlineLevel="0" collapsed="false">
      <c r="A24" s="0"/>
      <c r="B24" s="151"/>
      <c r="C24" s="182"/>
      <c r="D24" s="183"/>
      <c r="E24" s="184" t="s">
        <v>133</v>
      </c>
      <c r="F24" s="184"/>
      <c r="G24" s="183"/>
      <c r="H24" s="183"/>
      <c r="I24" s="183"/>
      <c r="J24" s="0"/>
      <c r="K24" s="0"/>
      <c r="L24" s="0"/>
      <c r="M24" s="0"/>
      <c r="N24" s="0"/>
    </row>
    <row r="25" customFormat="false" ht="13.5" hidden="false" customHeight="false" outlineLevel="0" collapsed="false">
      <c r="A25" s="0"/>
      <c r="B25" s="78"/>
      <c r="C25" s="185" t="s">
        <v>134</v>
      </c>
      <c r="D25" s="186" t="s">
        <v>12</v>
      </c>
      <c r="E25" s="187" t="s">
        <v>135</v>
      </c>
      <c r="F25" s="187"/>
      <c r="G25" s="188" t="s">
        <v>136</v>
      </c>
      <c r="H25" s="188"/>
      <c r="I25" s="189" t="str">
        <f aca="false">CONCATENATE("JEDEC tCK cycles (",'Step1-System Details'!E19,"-",'Step1-System Details'!E35," @ ",'Step1-System Details'!E20," MHz)")</f>
        <v>JEDEC tCK cycles (DDR3-1600 @ 303 MHz)</v>
      </c>
      <c r="J25" s="0"/>
      <c r="K25" s="0"/>
      <c r="L25" s="0"/>
      <c r="M25" s="0"/>
      <c r="N25" s="0"/>
    </row>
    <row r="26" customFormat="false" ht="13.5" hidden="false" customHeight="false" outlineLevel="0" collapsed="false">
      <c r="A26" s="0"/>
      <c r="B26" s="78"/>
      <c r="C26" s="185"/>
      <c r="D26" s="186"/>
      <c r="E26" s="190" t="s">
        <v>137</v>
      </c>
      <c r="F26" s="190" t="s">
        <v>68</v>
      </c>
      <c r="G26" s="190" t="s">
        <v>27</v>
      </c>
      <c r="H26" s="191" t="s">
        <v>28</v>
      </c>
      <c r="I26" s="189"/>
      <c r="J26" s="0"/>
      <c r="K26" s="0"/>
      <c r="L26" s="0"/>
      <c r="M26" s="0"/>
      <c r="N26" s="0"/>
    </row>
    <row r="27" customFormat="false" ht="13.5" hidden="false" customHeight="false" outlineLevel="0" collapsed="false">
      <c r="A27" s="0"/>
      <c r="B27" s="78"/>
      <c r="C27" s="192" t="s">
        <v>138</v>
      </c>
      <c r="D27" s="193" t="s">
        <v>139</v>
      </c>
      <c r="E27" s="194" t="n">
        <v>6</v>
      </c>
      <c r="F27" s="195"/>
      <c r="G27" s="196" t="n">
        <f aca="false">E27</f>
        <v>6</v>
      </c>
      <c r="H27" s="107" t="s">
        <v>137</v>
      </c>
      <c r="I27" s="197"/>
      <c r="J27" s="0"/>
      <c r="K27" s="0"/>
      <c r="L27" s="0"/>
      <c r="M27" s="0"/>
      <c r="N27" s="0"/>
    </row>
    <row r="28" customFormat="false" ht="12.75" hidden="false" customHeight="false" outlineLevel="0" collapsed="false">
      <c r="A28" s="0"/>
      <c r="B28" s="78"/>
      <c r="C28" s="198" t="s">
        <v>140</v>
      </c>
      <c r="D28" s="199" t="s">
        <v>141</v>
      </c>
      <c r="E28" s="127" t="n">
        <v>5</v>
      </c>
      <c r="F28" s="200"/>
      <c r="G28" s="196" t="n">
        <f aca="false">E28</f>
        <v>5</v>
      </c>
      <c r="H28" s="97" t="s">
        <v>137</v>
      </c>
      <c r="I28" s="201"/>
      <c r="J28" s="0"/>
      <c r="K28" s="0"/>
      <c r="L28" s="0"/>
      <c r="M28" s="0"/>
      <c r="N28" s="0"/>
    </row>
    <row r="29" customFormat="false" ht="12.75" hidden="true" customHeight="false" outlineLevel="0" collapsed="false">
      <c r="A29" s="0"/>
      <c r="B29" s="78"/>
      <c r="C29" s="198" t="s">
        <v>142</v>
      </c>
      <c r="D29" s="199" t="s">
        <v>143</v>
      </c>
      <c r="E29" s="202" t="n">
        <v>11</v>
      </c>
      <c r="F29" s="200"/>
      <c r="G29" s="200" t="n">
        <f aca="false">MIN(E29,7)</f>
        <v>7</v>
      </c>
      <c r="H29" s="97" t="s">
        <v>137</v>
      </c>
      <c r="I29" s="201"/>
      <c r="J29" s="0"/>
      <c r="K29" s="0"/>
      <c r="L29" s="0"/>
      <c r="M29" s="0"/>
      <c r="N29" s="0"/>
    </row>
    <row r="30" customFormat="false" ht="12.75" hidden="false" customHeight="false" outlineLevel="0" collapsed="false">
      <c r="A30" s="0"/>
      <c r="B30" s="78"/>
      <c r="C30" s="203" t="s">
        <v>144</v>
      </c>
      <c r="D30" s="126" t="s">
        <v>145</v>
      </c>
      <c r="E30" s="200"/>
      <c r="F30" s="204" t="n">
        <v>13.75</v>
      </c>
      <c r="G30" s="196" t="n">
        <f aca="false">IF('Step1-System Details'!$E$19="DDR3",(CEILING((F30/$A$223),1,1)-1),(MAX(E30,(CEILING((F30/$A$223),1,1)))-1))</f>
        <v>4</v>
      </c>
      <c r="H30" s="97" t="s">
        <v>137</v>
      </c>
      <c r="I30" s="201" t="n">
        <f aca="false">IF('Step1-System Details'!$E$19="DDR3",IF('Step1-System Details'!$E$35=2133,D226,IF('Step1-System Details'!$E$35=1866,E226,IF('Step1-System Details'!$E$35=1600,F226,IF('Step1-System Details'!$E$35=1333,G226,IF('Step1-System Details'!$E$35=1066,H226,IF('Step1-System Details'!$E$35=800,I226,"")))))),IF('Step1-System Details'!$E$35=1066,J226,IF('Step1-System Details'!$E$35=933,K226,IF('Step1-System Details'!$E$35=800,L226,IF('Step1-System Details'!$E$35=667,M226,IF('Step1-System Details'!$E$35=533,N226,""))))))</f>
        <v>5</v>
      </c>
      <c r="J30" s="0"/>
      <c r="K30" s="0"/>
      <c r="L30" s="0"/>
      <c r="M30" s="0"/>
      <c r="N30" s="0"/>
    </row>
    <row r="31" customFormat="false" ht="12.8" hidden="false" customHeight="false" outlineLevel="0" collapsed="false">
      <c r="A31" s="0"/>
      <c r="B31" s="78"/>
      <c r="C31" s="203" t="s">
        <v>146</v>
      </c>
      <c r="D31" s="126" t="s">
        <v>147</v>
      </c>
      <c r="E31" s="200"/>
      <c r="F31" s="204" t="n">
        <v>13.75</v>
      </c>
      <c r="G31" s="196" t="n">
        <f aca="false">IF('Step1-System Details'!$E$19="DDR3",(CEILING((F31/$A$223),1,1)-1),(MAX(E31,(CEILING((F31/$A$223),1,1)))-1))</f>
        <v>4</v>
      </c>
      <c r="H31" s="97" t="s">
        <v>137</v>
      </c>
      <c r="I31" s="201" t="n">
        <f aca="false">IF('Step1-System Details'!$E$19="DDR3",IF('Step1-System Details'!$E$35=2133,D227,IF('Step1-System Details'!$E$35=1866,E227,IF('Step1-System Details'!$E$35=1600,F227,IF('Step1-System Details'!$E$35=1333,G227,IF('Step1-System Details'!$E$35=1066,H227,IF('Step1-System Details'!$E$35=800,I227,"")))))),IF('Step1-System Details'!$E$35=1066,J227,IF('Step1-System Details'!$E$35=933,K227,IF('Step1-System Details'!$E$35=800,L227,IF('Step1-System Details'!$E$35=667,M227,IF('Step1-System Details'!$E$35=533,N227,""))))))</f>
        <v>5</v>
      </c>
      <c r="J31" s="0"/>
      <c r="K31" s="0"/>
      <c r="L31" s="0"/>
      <c r="M31" s="0"/>
      <c r="N31" s="0"/>
    </row>
    <row r="32" customFormat="false" ht="12.75" hidden="false" customHeight="false" outlineLevel="0" collapsed="false">
      <c r="A32" s="0"/>
      <c r="B32" s="78"/>
      <c r="C32" s="203" t="s">
        <v>148</v>
      </c>
      <c r="D32" s="126" t="s">
        <v>149</v>
      </c>
      <c r="E32" s="200"/>
      <c r="F32" s="204" t="n">
        <v>15</v>
      </c>
      <c r="G32" s="196" t="n">
        <f aca="false">IF('Step1-System Details'!$E$19="DDR3",(CEILING((F32/$A$223),1,1)-1),(MAX(E32,(CEILING((F32/$A$223),1,1)))-1))</f>
        <v>4</v>
      </c>
      <c r="H32" s="97" t="s">
        <v>137</v>
      </c>
      <c r="I32" s="201" t="n">
        <f aca="false">IF('Step1-System Details'!$E$19="DDR3",IF('Step1-System Details'!$E$35=2133,D228,IF('Step1-System Details'!$E$35=1866,E228,IF('Step1-System Details'!$E$35=1600,F228,IF('Step1-System Details'!$E$35=1333,G228,IF('Step1-System Details'!$E$35=1066,H228,IF('Step1-System Details'!$E$35=800,I228,"")))))),IF('Step1-System Details'!$E$35=1066,J228,IF('Step1-System Details'!$E$35=933,K228,IF('Step1-System Details'!$E$35=800,L228,IF('Step1-System Details'!$E$35=667,M228,IF('Step1-System Details'!$E$35=533,N228,""))))))</f>
        <v>5</v>
      </c>
      <c r="J32" s="0"/>
      <c r="K32" s="0"/>
      <c r="L32" s="0"/>
      <c r="M32" s="0"/>
      <c r="N32" s="0"/>
    </row>
    <row r="33" customFormat="false" ht="12.75" hidden="false" customHeight="false" outlineLevel="0" collapsed="false">
      <c r="A33" s="0"/>
      <c r="B33" s="78"/>
      <c r="C33" s="203" t="s">
        <v>150</v>
      </c>
      <c r="D33" s="126" t="s">
        <v>151</v>
      </c>
      <c r="E33" s="200"/>
      <c r="F33" s="204" t="n">
        <v>35</v>
      </c>
      <c r="G33" s="196" t="n">
        <f aca="false">IF('Step1-System Details'!$E$19="DDR3",(CEILING((F33/$A$223),1,1)-1),(MAX(E33,(CEILING((F33/$A$223),1,1)))-1))</f>
        <v>10</v>
      </c>
      <c r="H33" s="97" t="s">
        <v>137</v>
      </c>
      <c r="I33" s="201" t="n">
        <f aca="false">IF('Step1-System Details'!$E$19="DDR3",IF('Step1-System Details'!$E$35=2133,D229,IF('Step1-System Details'!$E$35=1866,E229,IF('Step1-System Details'!$E$35=1600,F229,IF('Step1-System Details'!$E$35=1333,G229,IF('Step1-System Details'!$E$35=1066,H229,IF('Step1-System Details'!$E$35=800,I229,"")))))),IF('Step1-System Details'!$E$35=1066,J229,IF('Step1-System Details'!$E$35=933,K229,IF('Step1-System Details'!$E$35=800,L229,IF('Step1-System Details'!$E$35=667,M229,IF('Step1-System Details'!$E$35=533,N229,""))))))</f>
        <v>11</v>
      </c>
      <c r="J33" s="0"/>
      <c r="K33" s="0"/>
      <c r="L33" s="0"/>
      <c r="M33" s="0"/>
      <c r="N33" s="0"/>
    </row>
    <row r="34" customFormat="false" ht="12.75" hidden="false" customHeight="false" outlineLevel="0" collapsed="false">
      <c r="A34" s="0"/>
      <c r="B34" s="78"/>
      <c r="C34" s="203" t="s">
        <v>152</v>
      </c>
      <c r="D34" s="126" t="s">
        <v>153</v>
      </c>
      <c r="E34" s="205"/>
      <c r="F34" s="204" t="n">
        <v>48.75</v>
      </c>
      <c r="G34" s="196" t="n">
        <f aca="false">CEILING((F34/A223),1,1) - 1</f>
        <v>14</v>
      </c>
      <c r="H34" s="97" t="s">
        <v>137</v>
      </c>
      <c r="I34" s="201" t="n">
        <f aca="false">IF('Step1-System Details'!$E$19="DDR3",IF('Step1-System Details'!$E$35=2133,D230,IF('Step1-System Details'!$E$35=1866,E230,IF('Step1-System Details'!$E$35=1600,F230,IF('Step1-System Details'!$E$35=1333,G230,IF('Step1-System Details'!$E$35=1066,H230,IF('Step1-System Details'!$E$35=800,I230,"")))))),IF('Step1-System Details'!$E$35=1066,J230,IF('Step1-System Details'!$E$35=933,K230,IF('Step1-System Details'!$E$35=800,L230,IF('Step1-System Details'!$E$35=667,M230,IF('Step1-System Details'!$E$35=533,N230,""))))))</f>
        <v>15</v>
      </c>
      <c r="J34" s="0"/>
      <c r="K34" s="0"/>
      <c r="L34" s="0"/>
      <c r="M34" s="0"/>
      <c r="N34" s="0"/>
    </row>
    <row r="35" customFormat="false" ht="12.75" hidden="false" customHeight="false" outlineLevel="0" collapsed="false">
      <c r="A35" s="0"/>
      <c r="B35" s="78"/>
      <c r="C35" s="203" t="s">
        <v>154</v>
      </c>
      <c r="D35" s="126" t="s">
        <v>155</v>
      </c>
      <c r="E35" s="200"/>
      <c r="F35" s="204" t="n">
        <v>37.5</v>
      </c>
      <c r="G35" s="196" t="n">
        <f aca="false">IF('Step1-System Details'!$E$19="DDR3",(CEILING((F35/$A$223),1,1)-1),(MAX(E35,(CEILING((F35/$A$223),1,1)))-1))</f>
        <v>11</v>
      </c>
      <c r="H35" s="97" t="s">
        <v>137</v>
      </c>
      <c r="I35" s="201" t="n">
        <f aca="false">IF('Step1-System Details'!$E$19="DDR3",IF('Step1-System Details'!$E$35=2133,D231,IF('Step1-System Details'!$E$35=1866,E231,IF('Step1-System Details'!$E$35=1600,F231,IF('Step1-System Details'!$E$35=1333,G231,IF('Step1-System Details'!$E$35=1066,H231,IF('Step1-System Details'!$E$35=800,I231,"")))))),IF('Step1-System Details'!$E$35=1066,J231,IF('Step1-System Details'!$E$35=933,K231,IF('Step1-System Details'!$E$35=800,L231,IF('Step1-System Details'!$E$35=667,M231,IF('Step1-System Details'!$E$35=533,N231,""))))))</f>
        <v>13</v>
      </c>
      <c r="J35" s="0"/>
      <c r="K35" s="0"/>
      <c r="L35" s="0"/>
      <c r="M35" s="0"/>
      <c r="N35" s="0"/>
    </row>
    <row r="36" customFormat="false" ht="12.8" hidden="false" customHeight="false" outlineLevel="0" collapsed="false">
      <c r="A36" s="0"/>
      <c r="B36" s="78"/>
      <c r="C36" s="203" t="s">
        <v>156</v>
      </c>
      <c r="D36" s="126" t="s">
        <v>157</v>
      </c>
      <c r="E36" s="127" t="n">
        <v>4</v>
      </c>
      <c r="F36" s="204" t="n">
        <v>7.5</v>
      </c>
      <c r="G36" s="196" t="n">
        <f aca="false">MAX( MAX(E36,CEILING(F36/A223,1,1)),CEILING(F35/A223/4,1,1))-1</f>
        <v>3</v>
      </c>
      <c r="H36" s="97" t="s">
        <v>137</v>
      </c>
      <c r="I36" s="201" t="n">
        <f aca="false">IF('Step1-System Details'!$E$19="DDR3",IF('Step1-System Details'!$E$35=2133,D232,IF('Step1-System Details'!$E$35=1866,E232,IF('Step1-System Details'!$E$35=1600,F232,IF('Step1-System Details'!$E$35=1333,G232,IF('Step1-System Details'!$E$35=1066,H232,IF('Step1-System Details'!$E$35=800,I232,"")))))),IF('Step1-System Details'!$E$35=1066,J232,IF('Step1-System Details'!$E$35=933,K232,IF('Step1-System Details'!$E$35=800,L232,IF('Step1-System Details'!$E$35=667,M232,IF('Step1-System Details'!$E$35=533,N232,""))))))</f>
        <v>4</v>
      </c>
      <c r="J36" s="0"/>
      <c r="K36" s="0"/>
      <c r="L36" s="0"/>
      <c r="M36" s="0"/>
      <c r="N36" s="0"/>
    </row>
    <row r="37" customFormat="false" ht="12.75" hidden="false" customHeight="false" outlineLevel="0" collapsed="false">
      <c r="A37" s="0"/>
      <c r="B37" s="78"/>
      <c r="C37" s="203" t="s">
        <v>158</v>
      </c>
      <c r="D37" s="126" t="s">
        <v>159</v>
      </c>
      <c r="E37" s="127" t="n">
        <v>4</v>
      </c>
      <c r="F37" s="204" t="n">
        <v>7.5</v>
      </c>
      <c r="G37" s="196" t="n">
        <f aca="false">MAX(E37,CEILING(F37/A223,1,1)) - 1</f>
        <v>3</v>
      </c>
      <c r="H37" s="97" t="s">
        <v>137</v>
      </c>
      <c r="I37" s="201" t="n">
        <f aca="false">IF('Step1-System Details'!$E$19="DDR3",IF('Step1-System Details'!$E$35=2133,D233,IF('Step1-System Details'!$E$35=1866,E233,IF('Step1-System Details'!$E$35=1600,F233,IF('Step1-System Details'!$E$35=1333,G233,IF('Step1-System Details'!$E$35=1066,H233,IF('Step1-System Details'!$E$35=800,I233,"")))))),IF('Step1-System Details'!$E$35=1066,J233,IF('Step1-System Details'!$E$35=933,K233,IF('Step1-System Details'!$E$35=800,L233,IF('Step1-System Details'!$E$35=667,M233,IF('Step1-System Details'!$E$35=533,N233,""))))))</f>
        <v>4</v>
      </c>
      <c r="J37" s="0"/>
      <c r="K37" s="0"/>
      <c r="L37" s="0"/>
      <c r="M37" s="0"/>
      <c r="N37" s="0"/>
    </row>
    <row r="38" customFormat="false" ht="12.75" hidden="false" customHeight="false" outlineLevel="0" collapsed="false">
      <c r="A38" s="0"/>
      <c r="B38" s="78"/>
      <c r="C38" s="203" t="s">
        <v>160</v>
      </c>
      <c r="D38" s="126" t="s">
        <v>161</v>
      </c>
      <c r="E38" s="127" t="n">
        <v>3</v>
      </c>
      <c r="F38" s="204" t="n">
        <v>6</v>
      </c>
      <c r="G38" s="196" t="n">
        <f aca="false">MAX(E38,CEILING(F38/A223,1,1)) - 1</f>
        <v>2</v>
      </c>
      <c r="H38" s="97" t="s">
        <v>137</v>
      </c>
      <c r="I38" s="201" t="n">
        <f aca="false">IF('Step1-System Details'!$E$19="DDR3",IF('Step1-System Details'!$E$35=2133,D234,IF('Step1-System Details'!$E$35=1866,E234,IF('Step1-System Details'!$E$35=1600,F234,IF('Step1-System Details'!$E$35=1333,G234,IF('Step1-System Details'!$E$35=1066,H234,IF('Step1-System Details'!$E$35=800,I234,"")))))),IF('Step1-System Details'!$E$35=1066,J234,IF('Step1-System Details'!$E$35=933,K234,IF('Step1-System Details'!$E$35=800,L234,IF('Step1-System Details'!$E$35=667,M234,IF('Step1-System Details'!$E$35=533,N234,""))))))</f>
        <v>3</v>
      </c>
      <c r="J38" s="0"/>
      <c r="K38" s="0"/>
      <c r="L38" s="0"/>
      <c r="M38" s="0"/>
      <c r="N38" s="0"/>
    </row>
    <row r="39" customFormat="false" ht="12.75" hidden="true" customHeight="false" outlineLevel="0" collapsed="false">
      <c r="A39" s="0"/>
      <c r="B39" s="78"/>
      <c r="C39" s="203" t="s">
        <v>162</v>
      </c>
      <c r="D39" s="206" t="s">
        <v>163</v>
      </c>
      <c r="E39" s="202" t="n">
        <v>5</v>
      </c>
      <c r="F39" s="108" t="n">
        <v>9</v>
      </c>
      <c r="G39" s="196" t="n">
        <f aca="false">E39</f>
        <v>5</v>
      </c>
      <c r="H39" s="97" t="s">
        <v>137</v>
      </c>
      <c r="I39" s="201"/>
      <c r="J39" s="0"/>
      <c r="K39" s="0"/>
      <c r="L39" s="0"/>
      <c r="M39" s="0"/>
      <c r="N39" s="0"/>
    </row>
    <row r="40" customFormat="false" ht="12.75" hidden="false" customHeight="false" outlineLevel="0" collapsed="false">
      <c r="A40" s="0"/>
      <c r="B40" s="78"/>
      <c r="C40" s="203" t="s">
        <v>164</v>
      </c>
      <c r="D40" s="126" t="s">
        <v>165</v>
      </c>
      <c r="E40" s="127" t="n">
        <v>5</v>
      </c>
      <c r="F40" s="207" t="n">
        <f aca="false">F49+10</f>
        <v>270</v>
      </c>
      <c r="G40" s="196" t="n">
        <f aca="false">MAX(E40,CEILING((F40/A223),1,1)) - 1</f>
        <v>81</v>
      </c>
      <c r="H40" s="97" t="s">
        <v>137</v>
      </c>
      <c r="I40" s="201" t="n">
        <f aca="false">IF('Step1-System Details'!$E$19="DDR3",IF('Step1-System Details'!$E$35=2133,D236,IF('Step1-System Details'!$E$35=1866,E236,IF('Step1-System Details'!$E$35=1600,F236,IF('Step1-System Details'!$E$35=1333,G236,IF('Step1-System Details'!$E$35=1066,H236,IF('Step1-System Details'!$E$35=800,I236,"")))))),IF('Step1-System Details'!$E$35=1066,J236,IF('Step1-System Details'!$E$35=933,K236,IF('Step1-System Details'!$E$35=800,L236,IF('Step1-System Details'!$E$35=667,M236,IF('Step1-System Details'!$E$35=533,N236,""))))))</f>
        <v>82</v>
      </c>
      <c r="J40" s="0"/>
      <c r="K40" s="0"/>
      <c r="L40" s="0"/>
      <c r="M40" s="0"/>
      <c r="N40" s="0"/>
    </row>
    <row r="41" customFormat="false" ht="12.75" hidden="false" customHeight="false" outlineLevel="0" collapsed="false">
      <c r="A41" s="0"/>
      <c r="B41" s="78"/>
      <c r="C41" s="203" t="s">
        <v>166</v>
      </c>
      <c r="D41" s="126" t="s">
        <v>167</v>
      </c>
      <c r="E41" s="127" t="n">
        <v>512</v>
      </c>
      <c r="F41" s="200"/>
      <c r="G41" s="196" t="n">
        <f aca="false">IF('Step1-System Details'!$E$19="DDR3",CEILING(E41,1,1)-1,"NA")</f>
        <v>511</v>
      </c>
      <c r="H41" s="97" t="s">
        <v>137</v>
      </c>
      <c r="I41" s="201" t="n">
        <f aca="false">IF('Step1-System Details'!$E$19="DDR3",IF('Step1-System Details'!$E$35=2133,D237,IF('Step1-System Details'!$E$35=1866,E237,IF('Step1-System Details'!$E$35=1600,F237,IF('Step1-System Details'!$E$35=1333,G237,IF('Step1-System Details'!$E$35=1066,H237,IF('Step1-System Details'!$E$35=800,I237,"")))))),"NA")</f>
        <v>512</v>
      </c>
      <c r="J41" s="0"/>
      <c r="K41" s="0"/>
      <c r="L41" s="0"/>
      <c r="M41" s="0"/>
      <c r="N41" s="0"/>
    </row>
    <row r="42" customFormat="false" ht="12.75" hidden="false" customHeight="false" outlineLevel="0" collapsed="false">
      <c r="A42" s="0"/>
      <c r="B42" s="78"/>
      <c r="C42" s="203" t="s">
        <v>168</v>
      </c>
      <c r="D42" s="126" t="s">
        <v>169</v>
      </c>
      <c r="E42" s="127" t="n">
        <v>4</v>
      </c>
      <c r="F42" s="204" t="n">
        <v>7.5</v>
      </c>
      <c r="G42" s="196" t="n">
        <f aca="false">MAX(E42,CEILING(F42/A223,1,1))-1</f>
        <v>3</v>
      </c>
      <c r="H42" s="97" t="s">
        <v>137</v>
      </c>
      <c r="I42" s="201" t="n">
        <f aca="false">IF('Step1-System Details'!$E$19="DDR3",IF('Step1-System Details'!$E$35=2133,D238,IF('Step1-System Details'!$E$35=1866,E238,IF('Step1-System Details'!$E$35=1600,F238,IF('Step1-System Details'!$E$35=1333,G238,IF('Step1-System Details'!$E$35=1066,H238,IF('Step1-System Details'!$E$35=800,I238,"")))))),IF('Step1-System Details'!$E$35=1066,J238,IF('Step1-System Details'!$E$35=933,K238,IF('Step1-System Details'!$E$35=800,L238,IF('Step1-System Details'!$E$35=667,M238,IF('Step1-System Details'!$E$35=533,N238,""))))))</f>
        <v>4</v>
      </c>
      <c r="J42" s="0"/>
      <c r="K42" s="0"/>
      <c r="L42" s="0"/>
      <c r="M42" s="0"/>
      <c r="N42" s="0"/>
    </row>
    <row r="43" customFormat="false" ht="12.75" hidden="false" customHeight="false" outlineLevel="0" collapsed="false">
      <c r="A43" s="0"/>
      <c r="B43" s="78"/>
      <c r="C43" s="203" t="s">
        <v>170</v>
      </c>
      <c r="D43" s="126" t="s">
        <v>171</v>
      </c>
      <c r="E43" s="127" t="n">
        <v>3</v>
      </c>
      <c r="F43" s="204" t="n">
        <v>5</v>
      </c>
      <c r="G43" s="196" t="n">
        <f aca="false">IF('Step1-System Details'!$E$19="DDR3",(MAX(E43,(CEILING((F43/$A$223),1,1)))-1),E43-1)</f>
        <v>2</v>
      </c>
      <c r="H43" s="97" t="s">
        <v>137</v>
      </c>
      <c r="I43" s="201" t="n">
        <f aca="false">IF('Step1-System Details'!$E$19="DDR3",IF('Step1-System Details'!$E$35=2133,D239,IF('Step1-System Details'!$E$35=1866,E239,IF('Step1-System Details'!$E$35=1600,F239,IF('Step1-System Details'!$E$35=1333,G239,IF('Step1-System Details'!$E$35=1066,H239,IF('Step1-System Details'!$E$35=800,I239,"")))))),IF('Step1-System Details'!$E$35=1066,J239,IF('Step1-System Details'!$E$35=933,K239,IF('Step1-System Details'!$E$35=800,L239,IF('Step1-System Details'!$E$35=667,M239,IF('Step1-System Details'!$E$35=533,N239,""))))))</f>
        <v>3</v>
      </c>
      <c r="J43" s="0"/>
      <c r="K43" s="0"/>
      <c r="L43" s="0"/>
      <c r="M43" s="0"/>
      <c r="N43" s="0"/>
    </row>
    <row r="44" customFormat="false" ht="12.75" hidden="true" customHeight="false" outlineLevel="0" collapsed="false">
      <c r="A44" s="0"/>
      <c r="B44" s="78"/>
      <c r="C44" s="203" t="s">
        <v>172</v>
      </c>
      <c r="D44" s="126"/>
      <c r="E44" s="196"/>
      <c r="F44" s="196"/>
      <c r="G44" s="196" t="n">
        <v>5</v>
      </c>
      <c r="H44" s="97" t="s">
        <v>137</v>
      </c>
      <c r="I44" s="201"/>
      <c r="J44" s="0"/>
      <c r="K44" s="0"/>
      <c r="L44" s="0"/>
      <c r="M44" s="0"/>
      <c r="N44" s="0"/>
    </row>
    <row r="45" customFormat="false" ht="12.75" hidden="true" customHeight="false" outlineLevel="0" collapsed="false">
      <c r="A45" s="0"/>
      <c r="B45" s="78"/>
      <c r="C45" s="203" t="s">
        <v>173</v>
      </c>
      <c r="D45" s="126" t="s">
        <v>174</v>
      </c>
      <c r="E45" s="202" t="n">
        <v>2</v>
      </c>
      <c r="F45" s="196"/>
      <c r="G45" s="200" t="n">
        <v>15</v>
      </c>
      <c r="H45" s="97" t="s">
        <v>137</v>
      </c>
      <c r="I45" s="201"/>
      <c r="J45" s="0"/>
      <c r="K45" s="0"/>
      <c r="L45" s="0"/>
      <c r="M45" s="0"/>
      <c r="N45" s="0"/>
    </row>
    <row r="46" customFormat="false" ht="12.75" hidden="true" customHeight="false" outlineLevel="0" collapsed="false">
      <c r="A46" s="0"/>
      <c r="B46" s="78"/>
      <c r="C46" s="203" t="s">
        <v>175</v>
      </c>
      <c r="D46" s="126" t="s">
        <v>176</v>
      </c>
      <c r="E46" s="208" t="n">
        <v>4</v>
      </c>
      <c r="F46" s="209" t="n">
        <v>8</v>
      </c>
      <c r="G46" s="196" t="n">
        <f aca="false">MAX(E46,CEILING(F46/A223,1,1))-1</f>
        <v>3</v>
      </c>
      <c r="H46" s="97" t="s">
        <v>137</v>
      </c>
      <c r="I46" s="201" t="n">
        <f aca="false">IF('Step1-System Details'!$E$19="DDR3",IF('Step1-System Details'!$E$35=2133,D242,IF('Step1-System Details'!$E$35=1866,E242,IF('Step1-System Details'!$E$35=1600,F242,IF('Step1-System Details'!$E$35=1333,G242,IF('Step1-System Details'!$E$35=1066,H242,IF('Step1-System Details'!$E$35=800,I242,"")))))),IF('Step1-System Details'!$E$35=1066,J242,IF('Step1-System Details'!$E$35=933,K242,IF('Step1-System Details'!$E$35=800,L242,IF('Step1-System Details'!$E$35=667,M242,IF('Step1-System Details'!$E$35=533,N242,""))))))</f>
        <v>4</v>
      </c>
      <c r="J46" s="0"/>
      <c r="K46" s="0"/>
      <c r="L46" s="0"/>
      <c r="M46" s="0"/>
      <c r="N46" s="0"/>
    </row>
    <row r="47" customFormat="false" ht="12.75" hidden="false" customHeight="false" outlineLevel="0" collapsed="false">
      <c r="A47" s="0"/>
      <c r="B47" s="78"/>
      <c r="C47" s="203" t="s">
        <v>177</v>
      </c>
      <c r="D47" s="126" t="s">
        <v>178</v>
      </c>
      <c r="E47" s="127" t="n">
        <v>64</v>
      </c>
      <c r="F47" s="204" t="n">
        <v>80</v>
      </c>
      <c r="G47" s="196" t="n">
        <f aca="false">IF('Step1-System Details'!$E$19="DDR3",MAX(E47,(CEILING((F47/$A$223),1,1)))-1,(CEILING((F47/$A$223),1,1)-1))</f>
        <v>63</v>
      </c>
      <c r="H47" s="97" t="s">
        <v>137</v>
      </c>
      <c r="I47" s="201" t="n">
        <f aca="false">IF('Step1-System Details'!$E$19="DDR3",IF('Step1-System Details'!$E$35=2133,D243,IF('Step1-System Details'!$E$35=1866,E243,IF('Step1-System Details'!$E$35=1600,F243,IF('Step1-System Details'!$E$35=1333,G243,IF('Step1-System Details'!$E$35=1066,H243,IF('Step1-System Details'!$E$35=800,I243,"")))))),IF('Step1-System Details'!$E$35=1066,J243,IF('Step1-System Details'!$E$35=933,K243,IF('Step1-System Details'!$E$35=800,L243,IF('Step1-System Details'!$E$35=667,M243,IF('Step1-System Details'!$E$35=533,N243,""))))))</f>
        <v>64</v>
      </c>
      <c r="J47" s="0"/>
      <c r="K47" s="0"/>
      <c r="L47" s="0"/>
      <c r="M47" s="0"/>
      <c r="N47" s="0"/>
    </row>
    <row r="48" customFormat="false" ht="12.75" hidden="true" customHeight="false" outlineLevel="0" collapsed="false">
      <c r="A48" s="0"/>
      <c r="B48" s="78"/>
      <c r="C48" s="203" t="s">
        <v>179</v>
      </c>
      <c r="D48" s="126" t="s">
        <v>180</v>
      </c>
      <c r="E48" s="205"/>
      <c r="F48" s="108" t="n">
        <v>5.5</v>
      </c>
      <c r="G48" s="196" t="str">
        <f aca="false">IF('Step1-System Details'!E19="DDR3","NA",(CEILING((F48/A223),1,1) - 1))</f>
        <v>NA</v>
      </c>
      <c r="H48" s="97" t="s">
        <v>137</v>
      </c>
      <c r="I48" s="201" t="str">
        <f aca="false">IF('Step1-System Details'!$E$19="DDR3","NA",CEILING(5.5/A223,1,1))</f>
        <v>NA</v>
      </c>
      <c r="J48" s="0"/>
      <c r="K48" s="0"/>
      <c r="L48" s="0"/>
      <c r="M48" s="0"/>
      <c r="N48" s="0"/>
    </row>
    <row r="49" customFormat="false" ht="12.75" hidden="false" customHeight="false" outlineLevel="0" collapsed="false">
      <c r="A49" s="0"/>
      <c r="B49" s="210"/>
      <c r="C49" s="203" t="s">
        <v>181</v>
      </c>
      <c r="D49" s="126" t="s">
        <v>182</v>
      </c>
      <c r="E49" s="205"/>
      <c r="F49" s="204" t="n">
        <v>260</v>
      </c>
      <c r="G49" s="196" t="n">
        <f aca="false">CEILING((F49/A223),1,1) - 1</f>
        <v>78</v>
      </c>
      <c r="H49" s="97" t="s">
        <v>137</v>
      </c>
      <c r="I49" s="201" t="n">
        <f aca="false">IF('Step1-System Details'!$E$19="DDR3",IF('Step1-System Details'!$E$35=2133,D245,IF('Step1-System Details'!$E$35=1866,E245,IF('Step1-System Details'!$E$35=1600,F245,IF('Step1-System Details'!$E$35=1333,G245,IF('Step1-System Details'!$E$35=1066,H245,IF('Step1-System Details'!$E$35=800,I245,"")))))),IF('Step1-System Details'!$E$35=1066,J245,IF('Step1-System Details'!$E$35=933,K245,IF('Step1-System Details'!$E$35=800,L245,IF('Step1-System Details'!$E$35=667,M245,IF('Step1-System Details'!$E$35=533,N245,""))))))</f>
        <v>79</v>
      </c>
      <c r="J49" s="0"/>
      <c r="K49" s="0"/>
      <c r="L49" s="0"/>
      <c r="M49" s="0"/>
      <c r="N49" s="0"/>
    </row>
    <row r="50" customFormat="false" ht="12.75" hidden="true" customHeight="false" outlineLevel="0" collapsed="false">
      <c r="A50" s="0"/>
      <c r="C50" s="211" t="s">
        <v>183</v>
      </c>
      <c r="D50" s="138" t="s">
        <v>184</v>
      </c>
      <c r="E50" s="205"/>
      <c r="F50" s="108" t="n">
        <v>70000</v>
      </c>
      <c r="G50" s="196" t="n">
        <v>15</v>
      </c>
      <c r="H50" s="97" t="s">
        <v>185</v>
      </c>
      <c r="I50" s="201" t="n">
        <f aca="false">IF('Step1-System Details'!$E$19="DDR3",IF('Step1-System Details'!$E$35=2133,D246,IF('Step1-System Details'!$E$35=1866,E246,IF('Step1-System Details'!$E$35=1600,F246,IF('Step1-System Details'!$E$35=1333,G246,IF('Step1-System Details'!$E$35=1066,H246,IF('Step1-System Details'!$E$35=800,I246,"")))))),IF('Step1-System Details'!$E$35=1066,J246,IF('Step1-System Details'!$E$35=933,K246,IF('Step1-System Details'!$E$35=800,L246,IF('Step1-System Details'!$E$35=667,M246,IF('Step1-System Details'!$E$35=533,N246,""))))))</f>
        <v>9</v>
      </c>
      <c r="J50" s="0"/>
      <c r="K50" s="0"/>
      <c r="L50" s="0"/>
      <c r="M50" s="0"/>
      <c r="N50" s="0"/>
    </row>
    <row r="51" customFormat="false" ht="13.5" hidden="false" customHeight="false" outlineLevel="0" collapsed="false">
      <c r="A51" s="0"/>
      <c r="C51" s="212" t="s">
        <v>186</v>
      </c>
      <c r="D51" s="129" t="s">
        <v>187</v>
      </c>
      <c r="E51" s="100"/>
      <c r="F51" s="120" t="n">
        <v>7800</v>
      </c>
      <c r="G51" s="213" t="n">
        <f aca="false">FLOOR(((F51/A223)),1,1)</f>
        <v>2363</v>
      </c>
      <c r="H51" s="103" t="s">
        <v>137</v>
      </c>
      <c r="I51" s="214" t="n">
        <f aca="false">IF('Step1-System Details'!$E$19="DDR3",IF('Step1-System Details'!$E$35=2133,D247,IF('Step1-System Details'!$E$35=1866,E247,IF('Step1-System Details'!$E$35=1600,F247,IF('Step1-System Details'!$E$35=1333,G247,IF('Step1-System Details'!$E$35=1066,H247,IF('Step1-System Details'!$E$35=800,I247,"")))))),IF('Step1-System Details'!$E$35=1066,J247,IF('Step1-System Details'!$E$35=933,K247,IF('Step1-System Details'!$E$35=800,L247,IF('Step1-System Details'!$E$35=667,M247,IF('Step1-System Details'!$E$35=533,N247,""))))))</f>
        <v>2363</v>
      </c>
      <c r="J51" s="0"/>
      <c r="K51" s="0"/>
      <c r="L51" s="0"/>
      <c r="M51" s="0"/>
      <c r="N51" s="0"/>
    </row>
    <row r="52" customFormat="false" ht="13.5" hidden="false" customHeight="false" outlineLevel="0" collapsed="false">
      <c r="A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</row>
    <row r="53" customFormat="false" ht="12.75" hidden="false" customHeight="false" outlineLevel="0" collapsed="false">
      <c r="A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</row>
    <row r="54" customFormat="false" ht="12.75" hidden="false" customHeight="false" outlineLevel="0" collapsed="false">
      <c r="A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</row>
    <row r="55" customFormat="false" ht="12.75" hidden="false" customHeight="false" outlineLevel="0" collapsed="false">
      <c r="A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</row>
    <row r="56" customFormat="false" ht="12.75" hidden="false" customHeight="false" outlineLevel="0" collapsed="false">
      <c r="A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</row>
    <row r="57" customFormat="false" ht="12.75" hidden="false" customHeight="false" outlineLevel="0" collapsed="false">
      <c r="A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</row>
    <row r="58" customFormat="false" ht="12.75" hidden="false" customHeight="false" outlineLevel="0" collapsed="false">
      <c r="A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</row>
    <row r="59" customFormat="false" ht="12.75" hidden="false" customHeight="false" outlineLevel="0" collapsed="false">
      <c r="A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</row>
    <row r="60" customFormat="false" ht="12.75" hidden="false" customHeight="false" outlineLevel="0" collapsed="false">
      <c r="A60" s="0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</row>
    <row r="61" customFormat="false" ht="12.75" hidden="false" customHeight="false" outlineLevel="0" collapsed="false">
      <c r="A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</row>
    <row r="62" customFormat="false" ht="12.75" hidden="false" customHeight="false" outlineLevel="0" collapsed="false">
      <c r="A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</row>
    <row r="63" customFormat="false" ht="12.75" hidden="false" customHeight="false" outlineLevel="0" collapsed="false">
      <c r="A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</row>
    <row r="64" customFormat="false" ht="12.75" hidden="false" customHeight="false" outlineLevel="0" collapsed="false">
      <c r="A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</row>
    <row r="65" customFormat="false" ht="12.75" hidden="false" customHeight="false" outlineLevel="0" collapsed="false">
      <c r="A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</row>
    <row r="66" customFormat="false" ht="12.8" hidden="false" customHeight="false" outlineLevel="0" collapsed="false">
      <c r="A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</row>
    <row r="67" customFormat="false" ht="12.75" hidden="false" customHeight="false" outlineLevel="0" collapsed="false">
      <c r="A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</row>
    <row r="68" customFormat="false" ht="12.75" hidden="false" customHeight="false" outlineLevel="0" collapsed="false">
      <c r="A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</row>
    <row r="69" customFormat="false" ht="12.75" hidden="false" customHeight="false" outlineLevel="0" collapsed="false">
      <c r="A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</row>
    <row r="70" customFormat="false" ht="12.75" hidden="false" customHeight="false" outlineLevel="0" collapsed="false">
      <c r="A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</row>
    <row r="71" customFormat="false" ht="12.75" hidden="false" customHeight="false" outlineLevel="0" collapsed="false">
      <c r="A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</row>
    <row r="72" customFormat="false" ht="12.75" hidden="false" customHeight="false" outlineLevel="0" collapsed="false">
      <c r="A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</row>
    <row r="73" customFormat="false" ht="12.75" hidden="false" customHeight="false" outlineLevel="0" collapsed="false">
      <c r="A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</row>
    <row r="74" customFormat="false" ht="12.75" hidden="false" customHeight="false" outlineLevel="0" collapsed="false">
      <c r="A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</row>
    <row r="75" customFormat="false" ht="12.75" hidden="false" customHeight="false" outlineLevel="0" collapsed="false">
      <c r="A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</row>
    <row r="76" customFormat="false" ht="12.75" hidden="false" customHeight="false" outlineLevel="0" collapsed="false">
      <c r="A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</row>
    <row r="77" customFormat="false" ht="12.75" hidden="false" customHeight="false" outlineLevel="0" collapsed="false">
      <c r="A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</row>
    <row r="78" customFormat="false" ht="12.75" hidden="false" customHeight="false" outlineLevel="0" collapsed="false">
      <c r="A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</row>
    <row r="79" customFormat="false" ht="12.75" hidden="false" customHeight="false" outlineLevel="0" collapsed="false">
      <c r="A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</row>
    <row r="80" customFormat="false" ht="12.75" hidden="false" customHeight="false" outlineLevel="0" collapsed="false">
      <c r="A80" s="0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</row>
    <row r="81" customFormat="false" ht="12.75" hidden="false" customHeight="false" outlineLevel="0" collapsed="false">
      <c r="A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</row>
    <row r="82" customFormat="false" ht="12.75" hidden="false" customHeight="false" outlineLevel="0" collapsed="false">
      <c r="A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</row>
    <row r="83" customFormat="false" ht="12.75" hidden="false" customHeight="false" outlineLevel="0" collapsed="false">
      <c r="A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</row>
    <row r="84" customFormat="false" ht="12.75" hidden="false" customHeight="false" outlineLevel="0" collapsed="false">
      <c r="A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</row>
    <row r="85" customFormat="false" ht="12.75" hidden="false" customHeight="false" outlineLevel="0" collapsed="false">
      <c r="A85" s="0"/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</row>
    <row r="86" customFormat="false" ht="12.75" hidden="false" customHeight="false" outlineLevel="0" collapsed="false">
      <c r="A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</row>
    <row r="87" customFormat="false" ht="12.75" hidden="false" customHeight="false" outlineLevel="0" collapsed="false">
      <c r="A87" s="0"/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</row>
    <row r="88" customFormat="false" ht="12.75" hidden="false" customHeight="false" outlineLevel="0" collapsed="false">
      <c r="A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</row>
    <row r="89" customFormat="false" ht="12.75" hidden="false" customHeight="false" outlineLevel="0" collapsed="false">
      <c r="A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</row>
    <row r="90" customFormat="false" ht="12.75" hidden="false" customHeight="false" outlineLevel="0" collapsed="false">
      <c r="A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</row>
    <row r="91" customFormat="false" ht="12.75" hidden="false" customHeight="false" outlineLevel="0" collapsed="false">
      <c r="A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</row>
    <row r="92" customFormat="false" ht="12.75" hidden="false" customHeight="false" outlineLevel="0" collapsed="false">
      <c r="A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</row>
    <row r="93" customFormat="false" ht="12.75" hidden="false" customHeight="false" outlineLevel="0" collapsed="false">
      <c r="A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</row>
    <row r="94" customFormat="false" ht="12.75" hidden="false" customHeight="false" outlineLevel="0" collapsed="false">
      <c r="A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</row>
    <row r="95" customFormat="false" ht="12.75" hidden="false" customHeight="false" outlineLevel="0" collapsed="false">
      <c r="A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</row>
    <row r="96" customFormat="false" ht="12.75" hidden="false" customHeight="false" outlineLevel="0" collapsed="false">
      <c r="A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</row>
    <row r="97" customFormat="false" ht="12.75" hidden="false" customHeight="false" outlineLevel="0" collapsed="false">
      <c r="A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</row>
    <row r="98" customFormat="false" ht="12.75" hidden="false" customHeight="false" outlineLevel="0" collapsed="false">
      <c r="A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</row>
    <row r="99" customFormat="false" ht="12.75" hidden="false" customHeight="false" outlineLevel="0" collapsed="false">
      <c r="A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</row>
    <row r="100" customFormat="false" ht="12.75" hidden="false" customHeight="false" outlineLevel="0" collapsed="false">
      <c r="A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</row>
    <row r="101" customFormat="false" ht="12.75" hidden="false" customHeight="false" outlineLevel="0" collapsed="false">
      <c r="A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</row>
    <row r="102" customFormat="false" ht="12.75" hidden="false" customHeight="false" outlineLevel="0" collapsed="false">
      <c r="A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</row>
    <row r="103" customFormat="false" ht="12.75" hidden="false" customHeight="false" outlineLevel="0" collapsed="false">
      <c r="A103" s="0"/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</row>
    <row r="104" customFormat="false" ht="12.75" hidden="false" customHeight="false" outlineLevel="0" collapsed="false">
      <c r="A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</row>
    <row r="105" customFormat="false" ht="12.75" hidden="false" customHeight="false" outlineLevel="0" collapsed="false">
      <c r="A105" s="0"/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</row>
    <row r="106" customFormat="false" ht="12.75" hidden="false" customHeight="false" outlineLevel="0" collapsed="false">
      <c r="A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</row>
    <row r="107" customFormat="false" ht="12.75" hidden="false" customHeight="false" outlineLevel="0" collapsed="false">
      <c r="A107" s="0"/>
      <c r="C107" s="0"/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</row>
    <row r="108" customFormat="false" ht="12.75" hidden="false" customHeight="false" outlineLevel="0" collapsed="false">
      <c r="A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</row>
    <row r="109" customFormat="false" ht="12.75" hidden="false" customHeight="false" outlineLevel="0" collapsed="false">
      <c r="A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</row>
    <row r="110" customFormat="false" ht="12.75" hidden="false" customHeight="false" outlineLevel="0" collapsed="false">
      <c r="A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</row>
    <row r="111" customFormat="false" ht="12.75" hidden="false" customHeight="false" outlineLevel="0" collapsed="false">
      <c r="A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</row>
    <row r="112" customFormat="false" ht="12.75" hidden="false" customHeight="false" outlineLevel="0" collapsed="false">
      <c r="A112" s="0"/>
      <c r="C112" s="0"/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</row>
    <row r="113" customFormat="false" ht="12.75" hidden="false" customHeight="false" outlineLevel="0" collapsed="false">
      <c r="A113" s="0"/>
      <c r="C113" s="0"/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</row>
    <row r="114" customFormat="false" ht="12.75" hidden="false" customHeight="false" outlineLevel="0" collapsed="false">
      <c r="A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</row>
    <row r="115" customFormat="false" ht="12.75" hidden="false" customHeight="false" outlineLevel="0" collapsed="false">
      <c r="A115" s="0"/>
      <c r="C115" s="0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</row>
    <row r="116" customFormat="false" ht="12.75" hidden="false" customHeight="false" outlineLevel="0" collapsed="false">
      <c r="A116" s="0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</row>
    <row r="117" customFormat="false" ht="12.75" hidden="false" customHeight="false" outlineLevel="0" collapsed="false">
      <c r="A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</row>
    <row r="118" customFormat="false" ht="12.75" hidden="false" customHeight="false" outlineLevel="0" collapsed="false">
      <c r="A118" s="0"/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</row>
    <row r="119" customFormat="false" ht="12.75" hidden="false" customHeight="false" outlineLevel="0" collapsed="false">
      <c r="A119" s="0"/>
      <c r="C119" s="0"/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</row>
    <row r="120" customFormat="false" ht="12.75" hidden="false" customHeight="false" outlineLevel="0" collapsed="false">
      <c r="A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</row>
    <row r="121" customFormat="false" ht="12.75" hidden="false" customHeight="false" outlineLevel="0" collapsed="false">
      <c r="A121" s="0"/>
      <c r="C121" s="0"/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</row>
    <row r="122" customFormat="false" ht="12.75" hidden="false" customHeight="false" outlineLevel="0" collapsed="false">
      <c r="A122" s="0"/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</row>
    <row r="123" customFormat="false" ht="12.75" hidden="false" customHeight="false" outlineLevel="0" collapsed="false">
      <c r="A123" s="0"/>
      <c r="C123" s="0"/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</row>
    <row r="124" customFormat="false" ht="12.75" hidden="false" customHeight="false" outlineLevel="0" collapsed="false">
      <c r="A124" s="0"/>
      <c r="C124" s="0"/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</row>
    <row r="125" customFormat="false" ht="12.75" hidden="false" customHeight="false" outlineLevel="0" collapsed="false">
      <c r="A125" s="0"/>
      <c r="C125" s="0"/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</row>
    <row r="126" customFormat="false" ht="12.75" hidden="false" customHeight="false" outlineLevel="0" collapsed="false">
      <c r="A126" s="0"/>
      <c r="C126" s="0"/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</row>
    <row r="127" customFormat="false" ht="12.75" hidden="false" customHeight="false" outlineLevel="0" collapsed="false">
      <c r="A127" s="0"/>
      <c r="C127" s="0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</row>
    <row r="128" customFormat="false" ht="12.75" hidden="false" customHeight="false" outlineLevel="0" collapsed="false">
      <c r="A128" s="0"/>
      <c r="C128" s="0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</row>
    <row r="129" customFormat="false" ht="12.75" hidden="false" customHeight="false" outlineLevel="0" collapsed="false">
      <c r="A129" s="0"/>
      <c r="C129" s="0"/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</row>
    <row r="130" customFormat="false" ht="12.75" hidden="false" customHeight="false" outlineLevel="0" collapsed="false">
      <c r="A130" s="0"/>
      <c r="C130" s="0"/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</row>
    <row r="131" customFormat="false" ht="12.75" hidden="false" customHeight="false" outlineLevel="0" collapsed="false">
      <c r="A131" s="0"/>
      <c r="C131" s="0"/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</row>
    <row r="132" customFormat="false" ht="12.75" hidden="false" customHeight="false" outlineLevel="0" collapsed="false">
      <c r="A132" s="0"/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</row>
    <row r="133" customFormat="false" ht="12.75" hidden="false" customHeight="false" outlineLevel="0" collapsed="false">
      <c r="A133" s="0"/>
      <c r="C133" s="0"/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</row>
    <row r="134" customFormat="false" ht="12.75" hidden="false" customHeight="false" outlineLevel="0" collapsed="false">
      <c r="A134" s="0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</row>
    <row r="135" customFormat="false" ht="12.75" hidden="false" customHeight="false" outlineLevel="0" collapsed="false">
      <c r="A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</row>
    <row r="136" customFormat="false" ht="12.75" hidden="false" customHeight="false" outlineLevel="0" collapsed="false">
      <c r="A136" s="0"/>
      <c r="C136" s="0"/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</row>
    <row r="137" customFormat="false" ht="12.75" hidden="false" customHeight="false" outlineLevel="0" collapsed="false">
      <c r="A137" s="0"/>
      <c r="C137" s="0"/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</row>
    <row r="138" customFormat="false" ht="12.75" hidden="false" customHeight="false" outlineLevel="0" collapsed="false">
      <c r="A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</row>
    <row r="139" customFormat="false" ht="12.75" hidden="false" customHeight="false" outlineLevel="0" collapsed="false">
      <c r="A139" s="0"/>
      <c r="C139" s="0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</row>
    <row r="140" customFormat="false" ht="12.75" hidden="false" customHeight="false" outlineLevel="0" collapsed="false">
      <c r="A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</row>
    <row r="141" customFormat="false" ht="12.75" hidden="false" customHeight="false" outlineLevel="0" collapsed="false">
      <c r="A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</row>
    <row r="142" customFormat="false" ht="12.75" hidden="false" customHeight="false" outlineLevel="0" collapsed="false">
      <c r="A142" s="0"/>
      <c r="C142" s="0"/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</row>
    <row r="143" customFormat="false" ht="12.75" hidden="false" customHeight="false" outlineLevel="0" collapsed="false">
      <c r="A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</row>
    <row r="144" customFormat="false" ht="12.75" hidden="false" customHeight="false" outlineLevel="0" collapsed="false">
      <c r="A144" s="0"/>
      <c r="C144" s="0"/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</row>
    <row r="145" customFormat="false" ht="12.75" hidden="false" customHeight="false" outlineLevel="0" collapsed="false">
      <c r="A145" s="0"/>
      <c r="C145" s="0"/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</row>
    <row r="146" customFormat="false" ht="12.75" hidden="false" customHeight="false" outlineLevel="0" collapsed="false">
      <c r="A146" s="0"/>
      <c r="C146" s="0"/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</row>
    <row r="147" customFormat="false" ht="12.75" hidden="false" customHeight="false" outlineLevel="0" collapsed="false">
      <c r="A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</row>
    <row r="148" customFormat="false" ht="12.75" hidden="false" customHeight="false" outlineLevel="0" collapsed="false">
      <c r="A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</row>
    <row r="149" customFormat="false" ht="12.75" hidden="false" customHeight="false" outlineLevel="0" collapsed="false">
      <c r="A149" s="0"/>
      <c r="C149" s="0"/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</row>
    <row r="150" customFormat="false" ht="12.75" hidden="false" customHeight="false" outlineLevel="0" collapsed="false">
      <c r="A150" s="0"/>
      <c r="C150" s="0"/>
      <c r="D150" s="0"/>
      <c r="E150" s="0"/>
      <c r="F150" s="0"/>
      <c r="G150" s="0"/>
      <c r="H150" s="0"/>
      <c r="I150" s="0"/>
      <c r="J150" s="0"/>
      <c r="K150" s="0"/>
      <c r="L150" s="0"/>
      <c r="M150" s="0"/>
      <c r="N150" s="0"/>
    </row>
    <row r="151" customFormat="false" ht="12.75" hidden="false" customHeight="false" outlineLevel="0" collapsed="false">
      <c r="A151" s="0"/>
      <c r="C151" s="0"/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</row>
    <row r="152" customFormat="false" ht="12.75" hidden="false" customHeight="false" outlineLevel="0" collapsed="false">
      <c r="A152" s="0"/>
      <c r="C152" s="0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</row>
    <row r="153" customFormat="false" ht="12.75" hidden="false" customHeight="false" outlineLevel="0" collapsed="false">
      <c r="A153" s="0"/>
      <c r="C153" s="0"/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</row>
    <row r="154" customFormat="false" ht="12.75" hidden="false" customHeight="false" outlineLevel="0" collapsed="false">
      <c r="A154" s="0"/>
      <c r="C154" s="0"/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</row>
    <row r="155" customFormat="false" ht="12.75" hidden="false" customHeight="false" outlineLevel="0" collapsed="false">
      <c r="A155" s="0"/>
      <c r="C155" s="0"/>
      <c r="D155" s="0"/>
      <c r="E155" s="0"/>
      <c r="F155" s="0"/>
      <c r="G155" s="0"/>
      <c r="H155" s="0"/>
      <c r="I155" s="0"/>
      <c r="J155" s="0"/>
      <c r="K155" s="0"/>
      <c r="L155" s="0"/>
      <c r="M155" s="0"/>
      <c r="N155" s="0"/>
    </row>
    <row r="156" customFormat="false" ht="12.75" hidden="false" customHeight="false" outlineLevel="0" collapsed="false">
      <c r="A156" s="0"/>
      <c r="C156" s="0"/>
      <c r="D156" s="0"/>
      <c r="E156" s="0"/>
      <c r="F156" s="0"/>
      <c r="G156" s="0"/>
      <c r="H156" s="0"/>
      <c r="I156" s="0"/>
      <c r="J156" s="0"/>
      <c r="K156" s="0"/>
      <c r="L156" s="0"/>
      <c r="M156" s="0"/>
      <c r="N156" s="0"/>
    </row>
    <row r="157" customFormat="false" ht="12.75" hidden="false" customHeight="false" outlineLevel="0" collapsed="false">
      <c r="A157" s="0"/>
      <c r="C157" s="0"/>
      <c r="D157" s="0"/>
      <c r="E157" s="0"/>
      <c r="F157" s="0"/>
      <c r="G157" s="0"/>
      <c r="H157" s="0"/>
      <c r="I157" s="0"/>
      <c r="J157" s="0"/>
      <c r="K157" s="0"/>
      <c r="L157" s="0"/>
      <c r="M157" s="0"/>
      <c r="N157" s="0"/>
    </row>
    <row r="158" customFormat="false" ht="12.75" hidden="false" customHeight="false" outlineLevel="0" collapsed="false">
      <c r="A158" s="0"/>
      <c r="C158" s="0"/>
      <c r="D158" s="0"/>
      <c r="E158" s="0"/>
      <c r="F158" s="0"/>
      <c r="G158" s="0"/>
      <c r="H158" s="0"/>
      <c r="I158" s="0"/>
      <c r="J158" s="0"/>
      <c r="K158" s="0"/>
      <c r="L158" s="0"/>
      <c r="M158" s="0"/>
      <c r="N158" s="0"/>
    </row>
    <row r="159" customFormat="false" ht="12.75" hidden="false" customHeight="false" outlineLevel="0" collapsed="false">
      <c r="A159" s="0"/>
      <c r="C159" s="0"/>
      <c r="D159" s="0"/>
      <c r="E159" s="0"/>
      <c r="F159" s="0"/>
      <c r="G159" s="0"/>
      <c r="H159" s="0"/>
      <c r="I159" s="0"/>
      <c r="J159" s="0"/>
      <c r="K159" s="0"/>
      <c r="L159" s="0"/>
      <c r="M159" s="0"/>
      <c r="N159" s="0"/>
    </row>
    <row r="160" customFormat="false" ht="12.75" hidden="false" customHeight="false" outlineLevel="0" collapsed="false">
      <c r="A160" s="0"/>
      <c r="C160" s="0"/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</row>
    <row r="161" customFormat="false" ht="12.75" hidden="false" customHeight="false" outlineLevel="0" collapsed="false">
      <c r="A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</row>
    <row r="162" customFormat="false" ht="12.75" hidden="false" customHeight="false" outlineLevel="0" collapsed="false">
      <c r="A162" s="0"/>
      <c r="C162" s="0"/>
      <c r="D162" s="0"/>
      <c r="E162" s="0"/>
      <c r="F162" s="0"/>
      <c r="G162" s="0"/>
      <c r="H162" s="0"/>
      <c r="I162" s="0"/>
      <c r="J162" s="0"/>
      <c r="K162" s="0"/>
      <c r="L162" s="0"/>
      <c r="M162" s="0"/>
      <c r="N162" s="0"/>
    </row>
    <row r="163" customFormat="false" ht="12.75" hidden="false" customHeight="false" outlineLevel="0" collapsed="false">
      <c r="A163" s="0"/>
      <c r="C163" s="0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</row>
    <row r="164" customFormat="false" ht="12.75" hidden="false" customHeight="false" outlineLevel="0" collapsed="false">
      <c r="A164" s="0"/>
      <c r="C164" s="0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</row>
    <row r="165" customFormat="false" ht="12.75" hidden="false" customHeight="false" outlineLevel="0" collapsed="false">
      <c r="A165" s="0"/>
      <c r="C165" s="0"/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</row>
    <row r="166" customFormat="false" ht="12.75" hidden="false" customHeight="false" outlineLevel="0" collapsed="false">
      <c r="A166" s="0"/>
      <c r="C166" s="0"/>
      <c r="D166" s="0"/>
      <c r="E166" s="0"/>
      <c r="F166" s="0"/>
      <c r="G166" s="0"/>
      <c r="H166" s="0"/>
      <c r="I166" s="0"/>
      <c r="J166" s="0"/>
      <c r="K166" s="0"/>
      <c r="L166" s="0"/>
      <c r="M166" s="0"/>
      <c r="N166" s="0"/>
    </row>
    <row r="167" customFormat="false" ht="12.75" hidden="false" customHeight="false" outlineLevel="0" collapsed="false">
      <c r="A167" s="0"/>
      <c r="C167" s="0"/>
      <c r="D167" s="0"/>
      <c r="E167" s="0"/>
      <c r="F167" s="0"/>
      <c r="G167" s="0"/>
      <c r="H167" s="0"/>
      <c r="I167" s="0"/>
      <c r="J167" s="0"/>
      <c r="K167" s="0"/>
      <c r="L167" s="0"/>
      <c r="M167" s="0"/>
      <c r="N167" s="0"/>
    </row>
    <row r="168" customFormat="false" ht="12.75" hidden="false" customHeight="false" outlineLevel="0" collapsed="false">
      <c r="A168" s="0"/>
      <c r="C168" s="0"/>
      <c r="D168" s="0"/>
      <c r="E168" s="0"/>
      <c r="F168" s="0"/>
      <c r="G168" s="0"/>
      <c r="H168" s="0"/>
      <c r="I168" s="0"/>
      <c r="J168" s="0"/>
      <c r="K168" s="0"/>
      <c r="L168" s="0"/>
      <c r="M168" s="0"/>
      <c r="N168" s="0"/>
    </row>
    <row r="169" customFormat="false" ht="12.75" hidden="false" customHeight="false" outlineLevel="0" collapsed="false">
      <c r="A169" s="0"/>
      <c r="C169" s="0"/>
      <c r="D169" s="0"/>
      <c r="E169" s="0"/>
      <c r="F169" s="0"/>
      <c r="G169" s="0"/>
      <c r="H169" s="0"/>
      <c r="I169" s="0"/>
      <c r="J169" s="0"/>
      <c r="K169" s="0"/>
      <c r="L169" s="0"/>
      <c r="M169" s="0"/>
      <c r="N169" s="0"/>
    </row>
    <row r="170" customFormat="false" ht="12.75" hidden="false" customHeight="false" outlineLevel="0" collapsed="false">
      <c r="A170" s="0"/>
      <c r="C170" s="0"/>
      <c r="D170" s="0"/>
      <c r="E170" s="0"/>
      <c r="F170" s="0"/>
      <c r="G170" s="0"/>
      <c r="H170" s="0"/>
      <c r="I170" s="0"/>
      <c r="J170" s="0"/>
      <c r="K170" s="0"/>
      <c r="L170" s="0"/>
      <c r="M170" s="0"/>
      <c r="N170" s="0"/>
    </row>
    <row r="171" customFormat="false" ht="12.75" hidden="false" customHeight="false" outlineLevel="0" collapsed="false">
      <c r="A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0"/>
    </row>
    <row r="172" customFormat="false" ht="12.75" hidden="false" customHeight="false" outlineLevel="0" collapsed="false">
      <c r="A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</row>
    <row r="173" customFormat="false" ht="12.75" hidden="false" customHeight="false" outlineLevel="0" collapsed="false">
      <c r="A173" s="0"/>
      <c r="C173" s="0"/>
      <c r="D173" s="0"/>
      <c r="E173" s="0"/>
      <c r="F173" s="0"/>
      <c r="G173" s="0"/>
      <c r="H173" s="0"/>
      <c r="I173" s="0"/>
      <c r="J173" s="0"/>
      <c r="K173" s="0"/>
      <c r="L173" s="0"/>
      <c r="M173" s="0"/>
      <c r="N173" s="0"/>
    </row>
    <row r="174" customFormat="false" ht="12.75" hidden="false" customHeight="false" outlineLevel="0" collapsed="false">
      <c r="A174" s="0"/>
      <c r="C174" s="0"/>
      <c r="D174" s="0"/>
      <c r="E174" s="0"/>
      <c r="F174" s="0"/>
      <c r="G174" s="0"/>
      <c r="H174" s="0"/>
      <c r="I174" s="0"/>
      <c r="J174" s="0"/>
      <c r="K174" s="0"/>
      <c r="L174" s="0"/>
      <c r="M174" s="0"/>
      <c r="N174" s="0"/>
    </row>
    <row r="175" customFormat="false" ht="12.75" hidden="false" customHeight="false" outlineLevel="0" collapsed="false">
      <c r="A175" s="0"/>
      <c r="C175" s="0"/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</row>
    <row r="176" customFormat="false" ht="12.75" hidden="false" customHeight="false" outlineLevel="0" collapsed="false">
      <c r="A176" s="0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</row>
    <row r="177" customFormat="false" ht="12.75" hidden="false" customHeight="false" outlineLevel="0" collapsed="false">
      <c r="A177" s="0"/>
      <c r="C177" s="0"/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</row>
    <row r="178" customFormat="false" ht="12.75" hidden="false" customHeight="false" outlineLevel="0" collapsed="false">
      <c r="A178" s="0"/>
      <c r="C178" s="0"/>
      <c r="D178" s="0"/>
      <c r="E178" s="0"/>
      <c r="F178" s="0"/>
      <c r="G178" s="0"/>
      <c r="H178" s="0"/>
      <c r="I178" s="0"/>
      <c r="J178" s="0"/>
      <c r="K178" s="0"/>
      <c r="L178" s="0"/>
      <c r="M178" s="0"/>
      <c r="N178" s="0"/>
    </row>
    <row r="179" customFormat="false" ht="12.75" hidden="false" customHeight="false" outlineLevel="0" collapsed="false">
      <c r="A179" s="0"/>
      <c r="C179" s="0"/>
      <c r="D179" s="0"/>
      <c r="E179" s="0"/>
      <c r="F179" s="0"/>
      <c r="G179" s="0"/>
      <c r="H179" s="0"/>
      <c r="I179" s="0"/>
      <c r="J179" s="0"/>
      <c r="K179" s="0"/>
      <c r="L179" s="0"/>
      <c r="M179" s="0"/>
      <c r="N179" s="0"/>
    </row>
    <row r="180" customFormat="false" ht="12.75" hidden="false" customHeight="false" outlineLevel="0" collapsed="false">
      <c r="A180" s="0"/>
      <c r="C180" s="0"/>
      <c r="D180" s="0"/>
      <c r="E180" s="0"/>
      <c r="F180" s="0"/>
      <c r="G180" s="0"/>
      <c r="H180" s="0"/>
      <c r="I180" s="0"/>
      <c r="J180" s="0"/>
      <c r="K180" s="0"/>
      <c r="L180" s="0"/>
      <c r="M180" s="0"/>
      <c r="N180" s="0"/>
    </row>
    <row r="181" customFormat="false" ht="12.75" hidden="false" customHeight="false" outlineLevel="0" collapsed="false">
      <c r="A181" s="0"/>
      <c r="C181" s="0"/>
      <c r="D181" s="0"/>
      <c r="E181" s="0"/>
      <c r="F181" s="0"/>
      <c r="G181" s="0"/>
      <c r="H181" s="0"/>
      <c r="I181" s="0"/>
      <c r="J181" s="0"/>
      <c r="K181" s="0"/>
      <c r="L181" s="0"/>
      <c r="M181" s="0"/>
      <c r="N181" s="0"/>
    </row>
    <row r="182" customFormat="false" ht="12.75" hidden="false" customHeight="false" outlineLevel="0" collapsed="false">
      <c r="A182" s="0"/>
      <c r="C182" s="0"/>
      <c r="D182" s="0"/>
      <c r="E182" s="0"/>
      <c r="F182" s="0"/>
      <c r="G182" s="0"/>
      <c r="H182" s="0"/>
      <c r="I182" s="0"/>
      <c r="J182" s="0"/>
      <c r="K182" s="0"/>
      <c r="L182" s="0"/>
      <c r="M182" s="0"/>
      <c r="N182" s="0"/>
    </row>
    <row r="183" customFormat="false" ht="12.75" hidden="false" customHeight="false" outlineLevel="0" collapsed="false">
      <c r="A183" s="0"/>
      <c r="C183" s="0"/>
      <c r="D183" s="0"/>
      <c r="E183" s="0"/>
      <c r="F183" s="0"/>
      <c r="G183" s="0"/>
      <c r="H183" s="0"/>
      <c r="I183" s="0"/>
      <c r="J183" s="0"/>
      <c r="K183" s="0"/>
      <c r="L183" s="0"/>
      <c r="M183" s="0"/>
      <c r="N183" s="0"/>
    </row>
    <row r="184" customFormat="false" ht="12.75" hidden="false" customHeight="false" outlineLevel="0" collapsed="false">
      <c r="A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</row>
    <row r="185" customFormat="false" ht="12.75" hidden="false" customHeight="false" outlineLevel="0" collapsed="false">
      <c r="A185" s="0"/>
      <c r="C185" s="0"/>
      <c r="D185" s="0"/>
      <c r="E185" s="0"/>
      <c r="F185" s="0"/>
      <c r="G185" s="0"/>
      <c r="H185" s="0"/>
      <c r="I185" s="0"/>
      <c r="J185" s="0"/>
      <c r="K185" s="0"/>
      <c r="L185" s="0"/>
      <c r="M185" s="0"/>
      <c r="N185" s="0"/>
    </row>
    <row r="186" customFormat="false" ht="12.75" hidden="false" customHeight="false" outlineLevel="0" collapsed="false">
      <c r="A186" s="0"/>
      <c r="C186" s="0"/>
      <c r="D186" s="0"/>
      <c r="E186" s="0"/>
      <c r="F186" s="0"/>
      <c r="G186" s="0"/>
      <c r="H186" s="0"/>
      <c r="I186" s="0"/>
      <c r="J186" s="0"/>
      <c r="K186" s="0"/>
      <c r="L186" s="0"/>
      <c r="M186" s="0"/>
      <c r="N186" s="0"/>
    </row>
    <row r="187" customFormat="false" ht="12.75" hidden="false" customHeight="false" outlineLevel="0" collapsed="false">
      <c r="A187" s="0"/>
      <c r="C187" s="0"/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</row>
    <row r="188" customFormat="false" ht="12.75" hidden="false" customHeight="false" outlineLevel="0" collapsed="false">
      <c r="A188" s="0"/>
      <c r="C188" s="0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</row>
    <row r="189" customFormat="false" ht="12.75" hidden="false" customHeight="false" outlineLevel="0" collapsed="false">
      <c r="A189" s="0"/>
      <c r="C189" s="0"/>
      <c r="D189" s="0"/>
      <c r="E189" s="0"/>
      <c r="F189" s="0"/>
      <c r="G189" s="0"/>
      <c r="H189" s="0"/>
      <c r="I189" s="0"/>
      <c r="J189" s="0"/>
      <c r="K189" s="0"/>
      <c r="L189" s="0"/>
      <c r="M189" s="0"/>
      <c r="N189" s="0"/>
    </row>
    <row r="190" customFormat="false" ht="12.75" hidden="false" customHeight="false" outlineLevel="0" collapsed="false">
      <c r="A190" s="0"/>
      <c r="C190" s="0"/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</row>
    <row r="191" customFormat="false" ht="12.75" hidden="false" customHeight="false" outlineLevel="0" collapsed="false">
      <c r="A191" s="0"/>
      <c r="C191" s="0"/>
      <c r="D191" s="0"/>
      <c r="E191" s="0"/>
      <c r="F191" s="0"/>
      <c r="G191" s="0"/>
      <c r="H191" s="0"/>
      <c r="I191" s="0"/>
      <c r="J191" s="0"/>
      <c r="K191" s="0"/>
      <c r="L191" s="0"/>
      <c r="M191" s="0"/>
      <c r="N191" s="0"/>
    </row>
    <row r="192" customFormat="false" ht="12.75" hidden="false" customHeight="false" outlineLevel="0" collapsed="false">
      <c r="A192" s="0"/>
      <c r="C192" s="0"/>
      <c r="D192" s="0"/>
      <c r="E192" s="0"/>
      <c r="F192" s="0"/>
      <c r="G192" s="0"/>
      <c r="H192" s="0"/>
      <c r="I192" s="0"/>
      <c r="J192" s="0"/>
      <c r="K192" s="0"/>
      <c r="L192" s="0"/>
      <c r="M192" s="0"/>
      <c r="N192" s="0"/>
    </row>
    <row r="193" customFormat="false" ht="12.75" hidden="false" customHeight="false" outlineLevel="0" collapsed="false">
      <c r="A193" s="0"/>
      <c r="C193" s="0"/>
      <c r="D193" s="0"/>
      <c r="E193" s="0"/>
      <c r="F193" s="0"/>
      <c r="G193" s="0"/>
      <c r="H193" s="0"/>
      <c r="I193" s="0"/>
      <c r="J193" s="0"/>
      <c r="K193" s="0"/>
      <c r="L193" s="0"/>
      <c r="M193" s="0"/>
      <c r="N193" s="0"/>
    </row>
    <row r="194" customFormat="false" ht="12.75" hidden="false" customHeight="false" outlineLevel="0" collapsed="false">
      <c r="A194" s="0"/>
      <c r="C194" s="0"/>
      <c r="D194" s="0"/>
      <c r="E194" s="0"/>
      <c r="F194" s="0"/>
      <c r="G194" s="0"/>
      <c r="H194" s="0"/>
      <c r="I194" s="0"/>
      <c r="J194" s="0"/>
      <c r="K194" s="0"/>
      <c r="L194" s="0"/>
      <c r="M194" s="0"/>
      <c r="N194" s="0"/>
    </row>
    <row r="195" customFormat="false" ht="12.75" hidden="false" customHeight="false" outlineLevel="0" collapsed="false">
      <c r="A195" s="0"/>
      <c r="C195" s="0"/>
      <c r="D195" s="0"/>
      <c r="E195" s="0"/>
      <c r="F195" s="0"/>
      <c r="G195" s="0"/>
      <c r="H195" s="0"/>
      <c r="I195" s="0"/>
      <c r="J195" s="0"/>
      <c r="K195" s="0"/>
      <c r="L195" s="0"/>
      <c r="M195" s="0"/>
      <c r="N195" s="0"/>
    </row>
    <row r="196" customFormat="false" ht="12.75" hidden="false" customHeight="false" outlineLevel="0" collapsed="false">
      <c r="A196" s="0"/>
      <c r="C196" s="0"/>
      <c r="D196" s="0"/>
      <c r="E196" s="0"/>
      <c r="F196" s="0"/>
      <c r="G196" s="0"/>
      <c r="H196" s="0"/>
      <c r="I196" s="0"/>
      <c r="J196" s="0"/>
      <c r="K196" s="0"/>
      <c r="L196" s="0"/>
      <c r="M196" s="0"/>
      <c r="N196" s="0"/>
    </row>
    <row r="197" customFormat="false" ht="12.75" hidden="false" customHeight="false" outlineLevel="0" collapsed="false">
      <c r="A197" s="0"/>
      <c r="C197" s="0"/>
      <c r="D197" s="0"/>
      <c r="E197" s="0"/>
      <c r="F197" s="0"/>
      <c r="G197" s="0"/>
      <c r="H197" s="0"/>
      <c r="I197" s="0"/>
      <c r="J197" s="0"/>
      <c r="K197" s="0"/>
      <c r="L197" s="0"/>
      <c r="M197" s="0"/>
      <c r="N197" s="0"/>
    </row>
    <row r="198" customFormat="false" ht="12.75" hidden="false" customHeight="false" outlineLevel="0" collapsed="false">
      <c r="A198" s="0"/>
      <c r="C198" s="0"/>
      <c r="D198" s="0"/>
      <c r="E198" s="0"/>
      <c r="F198" s="0"/>
      <c r="G198" s="0"/>
      <c r="H198" s="0"/>
      <c r="I198" s="0"/>
      <c r="J198" s="0"/>
      <c r="K198" s="0"/>
      <c r="L198" s="0"/>
      <c r="M198" s="0"/>
      <c r="N198" s="0"/>
    </row>
    <row r="199" customFormat="false" ht="12.75" hidden="false" customHeight="false" outlineLevel="0" collapsed="false">
      <c r="A199" s="0"/>
      <c r="C199" s="0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</row>
    <row r="200" customFormat="false" ht="12.75" hidden="false" customHeight="false" outlineLevel="0" collapsed="false">
      <c r="A200" s="0"/>
      <c r="C200" s="0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</row>
    <row r="201" customFormat="false" ht="12.75" hidden="false" customHeight="false" outlineLevel="0" collapsed="false">
      <c r="A201" s="0"/>
      <c r="C201" s="0"/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</row>
    <row r="202" customFormat="false" ht="12.75" hidden="false" customHeight="false" outlineLevel="0" collapsed="false">
      <c r="A202" s="0"/>
      <c r="C202" s="0"/>
      <c r="D202" s="0"/>
      <c r="E202" s="0"/>
      <c r="F202" s="0"/>
      <c r="G202" s="0"/>
      <c r="H202" s="0"/>
      <c r="I202" s="0"/>
      <c r="J202" s="0"/>
      <c r="K202" s="0"/>
      <c r="L202" s="0"/>
      <c r="M202" s="0"/>
      <c r="N202" s="0"/>
    </row>
    <row r="203" customFormat="false" ht="12.75" hidden="false" customHeight="false" outlineLevel="0" collapsed="false">
      <c r="A203" s="0"/>
      <c r="C203" s="0"/>
      <c r="D203" s="0"/>
      <c r="E203" s="0"/>
      <c r="F203" s="0"/>
      <c r="G203" s="0"/>
      <c r="H203" s="0"/>
      <c r="I203" s="0"/>
      <c r="J203" s="0"/>
      <c r="K203" s="0"/>
      <c r="L203" s="0"/>
      <c r="M203" s="0"/>
      <c r="N203" s="0"/>
    </row>
    <row r="204" customFormat="false" ht="12.75" hidden="false" customHeight="false" outlineLevel="0" collapsed="false">
      <c r="A204" s="0"/>
      <c r="C204" s="0"/>
      <c r="D204" s="0"/>
      <c r="E204" s="0"/>
      <c r="F204" s="0"/>
      <c r="G204" s="0"/>
      <c r="H204" s="0"/>
      <c r="I204" s="0"/>
      <c r="J204" s="0"/>
      <c r="K204" s="0"/>
      <c r="L204" s="0"/>
      <c r="M204" s="0"/>
      <c r="N204" s="0"/>
    </row>
    <row r="205" customFormat="false" ht="12.75" hidden="false" customHeight="false" outlineLevel="0" collapsed="false">
      <c r="A205" s="0"/>
      <c r="C205" s="0"/>
      <c r="D205" s="0"/>
      <c r="E205" s="0"/>
      <c r="F205" s="0"/>
      <c r="G205" s="0"/>
      <c r="H205" s="0"/>
      <c r="I205" s="0"/>
      <c r="J205" s="0"/>
      <c r="K205" s="0"/>
      <c r="L205" s="0"/>
      <c r="M205" s="0"/>
      <c r="N205" s="0"/>
    </row>
    <row r="206" customFormat="false" ht="12.75" hidden="false" customHeight="false" outlineLevel="0" collapsed="false">
      <c r="A206" s="0"/>
      <c r="C206" s="0"/>
      <c r="D206" s="0"/>
      <c r="E206" s="0"/>
      <c r="F206" s="0"/>
      <c r="G206" s="0"/>
      <c r="H206" s="0"/>
      <c r="I206" s="0"/>
      <c r="J206" s="0"/>
      <c r="K206" s="0"/>
      <c r="L206" s="0"/>
      <c r="M206" s="0"/>
      <c r="N206" s="0"/>
    </row>
    <row r="207" customFormat="false" ht="12.75" hidden="false" customHeight="false" outlineLevel="0" collapsed="false">
      <c r="A207" s="0"/>
      <c r="C207" s="0"/>
      <c r="D207" s="0"/>
      <c r="E207" s="0"/>
      <c r="F207" s="0"/>
      <c r="G207" s="0"/>
      <c r="H207" s="0"/>
      <c r="I207" s="0"/>
      <c r="J207" s="0"/>
      <c r="K207" s="0"/>
      <c r="L207" s="0"/>
      <c r="M207" s="0"/>
      <c r="N207" s="0"/>
    </row>
    <row r="208" customFormat="false" ht="12.75" hidden="false" customHeight="false" outlineLevel="0" collapsed="false">
      <c r="A208" s="0"/>
      <c r="C208" s="0"/>
      <c r="D208" s="0"/>
      <c r="E208" s="0"/>
      <c r="F208" s="0"/>
      <c r="G208" s="0"/>
      <c r="H208" s="0"/>
      <c r="I208" s="0"/>
      <c r="J208" s="0"/>
      <c r="K208" s="0"/>
      <c r="L208" s="0"/>
      <c r="M208" s="0"/>
      <c r="N208" s="0"/>
    </row>
    <row r="209" customFormat="false" ht="12.75" hidden="false" customHeight="false" outlineLevel="0" collapsed="false">
      <c r="A209" s="0"/>
      <c r="C209" s="0"/>
      <c r="D209" s="0"/>
      <c r="E209" s="0"/>
      <c r="F209" s="0"/>
      <c r="G209" s="0"/>
      <c r="H209" s="0"/>
      <c r="I209" s="0"/>
      <c r="J209" s="0"/>
      <c r="K209" s="0"/>
      <c r="L209" s="0"/>
      <c r="M209" s="0"/>
      <c r="N209" s="0"/>
    </row>
    <row r="210" customFormat="false" ht="12.75" hidden="false" customHeight="false" outlineLevel="0" collapsed="false">
      <c r="A210" s="0"/>
      <c r="C210" s="0"/>
      <c r="D210" s="0"/>
      <c r="E210" s="0"/>
      <c r="F210" s="0"/>
      <c r="G210" s="0"/>
      <c r="H210" s="0"/>
      <c r="I210" s="0"/>
      <c r="J210" s="0"/>
      <c r="K210" s="0"/>
      <c r="L210" s="0"/>
      <c r="M210" s="0"/>
      <c r="N210" s="0"/>
    </row>
    <row r="211" customFormat="false" ht="12.75" hidden="false" customHeight="false" outlineLevel="0" collapsed="false">
      <c r="A211" s="0"/>
      <c r="C211" s="0"/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</row>
    <row r="212" customFormat="false" ht="12.75" hidden="false" customHeight="false" outlineLevel="0" collapsed="false">
      <c r="A212" s="0"/>
      <c r="C212" s="0"/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</row>
    <row r="213" customFormat="false" ht="12.75" hidden="false" customHeight="false" outlineLevel="0" collapsed="false">
      <c r="A213" s="0"/>
      <c r="C213" s="0"/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</row>
    <row r="214" customFormat="false" ht="12.75" hidden="false" customHeight="false" outlineLevel="0" collapsed="false">
      <c r="A214" s="0"/>
      <c r="C214" s="0"/>
      <c r="D214" s="0"/>
      <c r="E214" s="0"/>
      <c r="F214" s="0"/>
      <c r="G214" s="0"/>
      <c r="H214" s="0"/>
      <c r="I214" s="0"/>
      <c r="J214" s="0"/>
      <c r="K214" s="0"/>
      <c r="L214" s="0"/>
      <c r="M214" s="0"/>
      <c r="N214" s="0"/>
    </row>
    <row r="215" customFormat="false" ht="12.75" hidden="false" customHeight="false" outlineLevel="0" collapsed="false">
      <c r="A215" s="0"/>
      <c r="C215" s="0"/>
      <c r="D215" s="0"/>
      <c r="E215" s="0"/>
      <c r="F215" s="0"/>
      <c r="G215" s="0"/>
      <c r="H215" s="0"/>
      <c r="I215" s="0"/>
      <c r="J215" s="0"/>
      <c r="K215" s="0"/>
      <c r="L215" s="0"/>
      <c r="M215" s="0"/>
      <c r="N215" s="0"/>
    </row>
    <row r="216" customFormat="false" ht="12.75" hidden="false" customHeight="false" outlineLevel="0" collapsed="false">
      <c r="A216" s="0"/>
      <c r="C216" s="0"/>
      <c r="D216" s="0"/>
      <c r="E216" s="0"/>
      <c r="F216" s="0"/>
      <c r="G216" s="0"/>
      <c r="H216" s="0"/>
      <c r="I216" s="0"/>
      <c r="J216" s="0"/>
      <c r="K216" s="0"/>
      <c r="L216" s="0"/>
      <c r="M216" s="0"/>
      <c r="N216" s="0"/>
    </row>
    <row r="217" customFormat="false" ht="12.75" hidden="false" customHeight="false" outlineLevel="0" collapsed="false">
      <c r="A217" s="0"/>
      <c r="C217" s="0"/>
      <c r="D217" s="0"/>
      <c r="E217" s="0"/>
      <c r="F217" s="0"/>
      <c r="G217" s="0"/>
      <c r="H217" s="0"/>
      <c r="I217" s="0"/>
      <c r="J217" s="0"/>
      <c r="K217" s="0"/>
      <c r="L217" s="0"/>
      <c r="M217" s="0"/>
      <c r="N217" s="0"/>
    </row>
    <row r="218" customFormat="false" ht="12.75" hidden="false" customHeight="false" outlineLevel="0" collapsed="false">
      <c r="A218" s="0"/>
      <c r="C218" s="0"/>
      <c r="D218" s="0"/>
      <c r="E218" s="0"/>
      <c r="F218" s="0"/>
      <c r="G218" s="0"/>
      <c r="H218" s="0"/>
      <c r="I218" s="0"/>
      <c r="J218" s="0"/>
      <c r="K218" s="0"/>
      <c r="L218" s="0"/>
      <c r="M218" s="0"/>
      <c r="N218" s="0"/>
    </row>
    <row r="219" customFormat="false" ht="12.75" hidden="false" customHeight="false" outlineLevel="0" collapsed="false">
      <c r="A219" s="0"/>
      <c r="C219" s="0"/>
      <c r="D219" s="0"/>
      <c r="E219" s="0"/>
      <c r="F219" s="0"/>
      <c r="G219" s="0"/>
      <c r="H219" s="0"/>
      <c r="I219" s="0"/>
      <c r="J219" s="0"/>
      <c r="K219" s="0"/>
      <c r="L219" s="0"/>
      <c r="M219" s="0"/>
      <c r="N219" s="0"/>
    </row>
    <row r="220" customFormat="false" ht="12.75" hidden="false" customHeight="false" outlineLevel="0" collapsed="false">
      <c r="A220" s="0"/>
      <c r="C220" s="0"/>
      <c r="D220" s="0"/>
      <c r="E220" s="0"/>
      <c r="F220" s="0"/>
      <c r="G220" s="0"/>
      <c r="H220" s="0"/>
      <c r="I220" s="0"/>
      <c r="J220" s="0"/>
      <c r="K220" s="0"/>
      <c r="L220" s="0"/>
      <c r="M220" s="0"/>
      <c r="N220" s="0"/>
    </row>
    <row r="221" customFormat="false" ht="12.75" hidden="true" customHeight="false" outlineLevel="0" collapsed="false">
      <c r="A221" s="0"/>
      <c r="C221" s="0"/>
      <c r="D221" s="0"/>
      <c r="E221" s="0"/>
      <c r="F221" s="0"/>
      <c r="G221" s="0"/>
      <c r="H221" s="0"/>
      <c r="I221" s="0"/>
      <c r="J221" s="0"/>
      <c r="K221" s="0"/>
      <c r="L221" s="0"/>
      <c r="M221" s="0"/>
      <c r="N221" s="0"/>
    </row>
    <row r="222" customFormat="false" ht="12.75" hidden="true" customHeight="false" outlineLevel="0" collapsed="false">
      <c r="A222" s="0"/>
      <c r="C222" s="155" t="s">
        <v>134</v>
      </c>
      <c r="D222" s="215" t="s">
        <v>188</v>
      </c>
      <c r="E222" s="215" t="s">
        <v>189</v>
      </c>
      <c r="F222" s="215" t="s">
        <v>190</v>
      </c>
      <c r="G222" s="215" t="s">
        <v>191</v>
      </c>
      <c r="H222" s="215" t="s">
        <v>192</v>
      </c>
      <c r="I222" s="158" t="s">
        <v>193</v>
      </c>
      <c r="J222" s="155" t="s">
        <v>194</v>
      </c>
      <c r="K222" s="155" t="s">
        <v>195</v>
      </c>
      <c r="L222" s="155" t="s">
        <v>196</v>
      </c>
      <c r="M222" s="155" t="s">
        <v>197</v>
      </c>
      <c r="N222" s="155" t="s">
        <v>198</v>
      </c>
    </row>
    <row r="223" customFormat="false" ht="12.75" hidden="true" customHeight="false" outlineLevel="0" collapsed="false">
      <c r="A223" s="216" t="n">
        <f aca="false">(1/'Step1-System Details'!E20)*1000</f>
        <v>3.3003300330033</v>
      </c>
      <c r="C223" s="155" t="s">
        <v>138</v>
      </c>
      <c r="D223" s="154"/>
      <c r="E223" s="154"/>
      <c r="F223" s="154"/>
      <c r="G223" s="154"/>
      <c r="H223" s="154"/>
      <c r="I223" s="157"/>
      <c r="J223" s="0"/>
      <c r="K223" s="0"/>
      <c r="L223" s="0"/>
      <c r="M223" s="0"/>
      <c r="N223" s="0"/>
    </row>
    <row r="224" customFormat="false" ht="12.75" hidden="true" customHeight="false" outlineLevel="0" collapsed="false">
      <c r="C224" s="155" t="s">
        <v>140</v>
      </c>
      <c r="D224" s="154"/>
      <c r="E224" s="154"/>
      <c r="F224" s="154"/>
      <c r="G224" s="154"/>
      <c r="H224" s="154"/>
      <c r="I224" s="157"/>
      <c r="J224" s="0"/>
      <c r="K224" s="0"/>
      <c r="L224" s="0"/>
      <c r="M224" s="0"/>
      <c r="N224" s="0"/>
    </row>
    <row r="225" customFormat="false" ht="12.75" hidden="true" customHeight="false" outlineLevel="0" collapsed="false">
      <c r="C225" s="155" t="s">
        <v>142</v>
      </c>
      <c r="D225" s="154"/>
      <c r="E225" s="154"/>
      <c r="F225" s="154"/>
      <c r="G225" s="154"/>
      <c r="H225" s="154"/>
      <c r="I225" s="157"/>
      <c r="J225" s="0"/>
      <c r="K225" s="0"/>
      <c r="L225" s="0"/>
      <c r="M225" s="0"/>
      <c r="N225" s="0"/>
    </row>
    <row r="226" customFormat="false" ht="12.75" hidden="true" customHeight="false" outlineLevel="0" collapsed="false">
      <c r="C226" s="122" t="s">
        <v>144</v>
      </c>
      <c r="D226" s="154" t="n">
        <f aca="false">CEILING(IF(Speed_Bin_CL=11,10.285/$A$223,IF(Speed_Bin_CL=12,11.22/$A$223,IF(Speed_Bin_CL=13,12.155/$A$223,13.09/$A$223))),1,1)</f>
        <v>4</v>
      </c>
      <c r="E226" s="154" t="n">
        <f aca="false">CEILING(IF(Speed_Bin_CL=10,10.7/$A$223,IF(Speed_Bin_CL=11,11.77/$A$223,IF(Speed_Bin_CL=12,12.84/$A$223,13.91/$A$223))),1,1)</f>
        <v>4</v>
      </c>
      <c r="F226" s="154" t="n">
        <f aca="false">CEILING(IF(Speed_Bin_CL=8,10/$A$223,IF(Speed_Bin_CL=9,11.25/$A$223,IF(Speed_Bin_CL=10,12.5/$A$223,13.75/$A$223))),1,1)</f>
        <v>5</v>
      </c>
      <c r="G226" s="154" t="n">
        <f aca="false">CEILING(IF(Speed_Bin_CL=7,10.5/$A$223,IF(Speed_Bin_CL=8,12/$A$223,IF(Speed_Bin_CL=9,13.5/$A$223,15/$A$223))),1,1)</f>
        <v>5</v>
      </c>
      <c r="H226" s="154" t="n">
        <f aca="false">CEILING(IF(Speed_Bin_CL=6,11.25/$A$223,IF(Speed_Bin_CL=7,13.125/$A$223,15/$A$223)),1,1)</f>
        <v>5</v>
      </c>
      <c r="I226" s="157" t="n">
        <f aca="false">CEILING(IF(Speed_Bin_CL=5,12.5/$A$223,15/$A$223),1,1)</f>
        <v>5</v>
      </c>
      <c r="J226" s="122" t="n">
        <f aca="false">IF('Step1-System Details'!$E$39=8,MAX(3,CEILING((21/$A$223),1,1)),MAX(3,CEILING((18/$A$223),1,1)))</f>
        <v>7</v>
      </c>
      <c r="K226" s="122" t="n">
        <f aca="false">IF('Step1-System Details'!$E$39=8,MAX(3,CEILING((21/$A$223),1,1)),MAX(3,CEILING((18/$A$223),1,1)))</f>
        <v>7</v>
      </c>
      <c r="L226" s="122" t="n">
        <f aca="false">IF('Step1-System Details'!$E$39=8,MAX(3,CEILING((21/$A$223),1,1)),MAX(3,CEILING((18/$A$223),1,1)))</f>
        <v>7</v>
      </c>
      <c r="M226" s="122" t="n">
        <f aca="false">IF('Step1-System Details'!$E$39=8,MAX(3,CEILING((21/$A$223),1,1)),MAX(3,CEILING((18/$A$223),1,1)))</f>
        <v>7</v>
      </c>
      <c r="N226" s="122" t="n">
        <f aca="false">IF('Step1-System Details'!$E$39=8,MAX(3,CEILING((21/$A$223),1,1)),MAX(3,CEILING((18/$A$223),1,1)))</f>
        <v>7</v>
      </c>
    </row>
    <row r="227" customFormat="false" ht="12.75" hidden="true" customHeight="false" outlineLevel="0" collapsed="false">
      <c r="C227" s="122" t="s">
        <v>146</v>
      </c>
      <c r="D227" s="154" t="n">
        <f aca="false">CEILING(IF(Speed_Bin_CL=11,10.285/$A$223,IF(Speed_Bin_CL=12,11.22/$A$223,IF(Speed_Bin_CL=13,12.155/$A$223,13.09/$A$223))),1,1)</f>
        <v>4</v>
      </c>
      <c r="E227" s="154" t="n">
        <f aca="false">CEILING(IF(Speed_Bin_CL=10,10.7/$A$223,IF(Speed_Bin_CL=11,11.77/$A$223,IF(Speed_Bin_CL=12,12.84/$A$223,13.91/$A$223))),1,1)</f>
        <v>4</v>
      </c>
      <c r="F227" s="154" t="n">
        <f aca="false">CEILING(IF(Speed_Bin_CL=8,10/$A$223,IF(Speed_Bin_CL=9,11.25/$A$223,IF(Speed_Bin_CL=10,12.5/$A$223,13.75/$A$223))),1,1)</f>
        <v>5</v>
      </c>
      <c r="G227" s="154" t="n">
        <f aca="false">CEILING(IF(Speed_Bin_CL=7,10.5/$A$223,IF(Speed_Bin_CL=8,12/$A$223,IF(Speed_Bin_CL=9,13.5/$A$223,15/$A$223))),1,1)</f>
        <v>5</v>
      </c>
      <c r="H227" s="154" t="n">
        <f aca="false">CEILING(IF(Speed_Bin_CL=6,11.25/$A$223,IF(Speed_Bin_CL=7,13.125/$A$223,15/$A$223)),1,1)</f>
        <v>5</v>
      </c>
      <c r="I227" s="157" t="n">
        <f aca="false">CEILING(IF(Speed_Bin_CL=5,12.5/$A$223,15/$A$223),1,1)</f>
        <v>5</v>
      </c>
      <c r="J227" s="122" t="n">
        <f aca="false">MAX(3,CEILING((18/$A$223),1,1))</f>
        <v>6</v>
      </c>
      <c r="K227" s="122" t="n">
        <f aca="false">MAX(3,CEILING((18/$A$223),1,1))</f>
        <v>6</v>
      </c>
      <c r="L227" s="122" t="n">
        <f aca="false">MAX(3,CEILING((18/$A$223),1,1))</f>
        <v>6</v>
      </c>
      <c r="M227" s="122" t="n">
        <f aca="false">MAX(3,CEILING((18/$A$223),1,1))</f>
        <v>6</v>
      </c>
      <c r="N227" s="122" t="n">
        <f aca="false">MAX(3,CEILING((18/$A$223),1,1))</f>
        <v>6</v>
      </c>
    </row>
    <row r="228" customFormat="false" ht="12.75" hidden="true" customHeight="false" outlineLevel="0" collapsed="false">
      <c r="C228" s="122" t="s">
        <v>148</v>
      </c>
      <c r="D228" s="154" t="n">
        <f aca="false">CEILING(((15/$A$223)),1,1)</f>
        <v>5</v>
      </c>
      <c r="E228" s="154" t="n">
        <f aca="false">CEILING(((15/$A$223)),1,1)</f>
        <v>5</v>
      </c>
      <c r="F228" s="154" t="n">
        <f aca="false">CEILING(15/$A$223,1,1)</f>
        <v>5</v>
      </c>
      <c r="G228" s="154" t="n">
        <f aca="false">CEILING(15/$A$223,1,1)</f>
        <v>5</v>
      </c>
      <c r="H228" s="154" t="n">
        <f aca="false">CEILING(15/$A$223,1,1)</f>
        <v>5</v>
      </c>
      <c r="I228" s="157" t="n">
        <f aca="false">CEILING(15/$A$223,1,1)</f>
        <v>5</v>
      </c>
      <c r="J228" s="122" t="n">
        <f aca="false">MAX(3,CEILING((15/$A$223),1,1))</f>
        <v>5</v>
      </c>
      <c r="K228" s="122" t="n">
        <f aca="false">MAX(3,CEILING((15/$A$223),1,1))</f>
        <v>5</v>
      </c>
      <c r="L228" s="122" t="n">
        <f aca="false">MAX(3,CEILING((15/$A$223),1,1))</f>
        <v>5</v>
      </c>
      <c r="M228" s="122" t="n">
        <f aca="false">MAX(3,CEILING((15/$A$223),1,1))</f>
        <v>5</v>
      </c>
      <c r="N228" s="122" t="n">
        <f aca="false">MAX(3,CEILING((15/$A$223),1,1))</f>
        <v>5</v>
      </c>
    </row>
    <row r="229" customFormat="false" ht="12.75" hidden="true" customHeight="false" outlineLevel="0" collapsed="false">
      <c r="C229" s="122" t="s">
        <v>150</v>
      </c>
      <c r="D229" s="154" t="n">
        <f aca="false">CEILING(((33/A223)),1,1)</f>
        <v>10</v>
      </c>
      <c r="E229" s="154" t="n">
        <f aca="false">CEILING(((34/$A$223)),1,1)</f>
        <v>11</v>
      </c>
      <c r="F229" s="154" t="n">
        <f aca="false">CEILING(35/$A$223,1,1)</f>
        <v>11</v>
      </c>
      <c r="G229" s="154" t="n">
        <f aca="false">CEILING(36/$A$223,1,1)</f>
        <v>11</v>
      </c>
      <c r="H229" s="154" t="n">
        <f aca="false">CEILING(((37.5/$A$223)),1,1)</f>
        <v>12</v>
      </c>
      <c r="I229" s="157" t="n">
        <f aca="false">CEILING(37.5/$A$223,1,1)</f>
        <v>12</v>
      </c>
      <c r="J229" s="122" t="n">
        <f aca="false">MAX(3,CEILING((42/$A$223),1,1))</f>
        <v>13</v>
      </c>
      <c r="K229" s="122" t="n">
        <f aca="false">MAX(3,CEILING((42/$A$223),1,1))</f>
        <v>13</v>
      </c>
      <c r="L229" s="122" t="n">
        <f aca="false">MAX(3,CEILING((42/$A$223),1,1))</f>
        <v>13</v>
      </c>
      <c r="M229" s="122" t="n">
        <f aca="false">MAX(3,CEILING((42/$A$223),1,1))</f>
        <v>13</v>
      </c>
      <c r="N229" s="122" t="n">
        <f aca="false">MAX(3,CEILING((42/$A$223),1,1))</f>
        <v>13</v>
      </c>
    </row>
    <row r="230" customFormat="false" ht="12.75" hidden="true" customHeight="false" outlineLevel="0" collapsed="false">
      <c r="C230" s="122" t="s">
        <v>152</v>
      </c>
      <c r="D230" s="154" t="n">
        <f aca="false">CEILING(IF(Speed_Bin_CL=11,43.285/$A$223,IF(Speed_Bin_CL=12,44.22/$A$223,IF(Speed_Bin_CL=13,45.155/$A$223,46.09/$A$223))),1,1)</f>
        <v>14</v>
      </c>
      <c r="E230" s="154" t="n">
        <f aca="false">CEILING(IF(Speed_Bin_CL=10,44.7/$A$223,IF(Speed_Bin_CL=11,45.77/$A$223,IF(Speed_Bin_CL=12,46.84/$A$223,47.91/$A$223))),1,1)</f>
        <v>14</v>
      </c>
      <c r="F230" s="154" t="n">
        <f aca="false">CEILING(IF(Speed_Bin_CL=8,45/$A$223,IF(Speed_Bin_CL=9,46.25/$A$223,IF(Speed_Bin_CL=10,47.5/$A$223,48.75/$A$223))),1,1)</f>
        <v>15</v>
      </c>
      <c r="G230" s="154" t="n">
        <f aca="false">CEILING(IF(Speed_Bin_CL=7,46.5/$A$223,IF(Speed_Bin_CL=8,48/$A$223,IF(Speed_Bin_CL=9,49.5/$A$223,51/$A$223))),1,1)</f>
        <v>16</v>
      </c>
      <c r="H230" s="154" t="n">
        <f aca="false">CEILING(IF(Speed_Bin_CL=6,48.75/$A$223,IF(Speed_Bin_CL=7,50.625/$A$223,52.5/$A$223)),1,1)</f>
        <v>16</v>
      </c>
      <c r="I230" s="157" t="n">
        <f aca="false">CEILING(IF(Speed_Bin_CL=5,50/$A$223,52.5/$A$223),1,1)</f>
        <v>16</v>
      </c>
      <c r="J230" s="122" t="n">
        <f aca="false">CEILING(SUM(IF('Step1-System Details'!$E$39=8,MAX(3,CEILING(21,1,1)),MAX(3,CEILING(18,1,1))),MAX(3,CEILING(42,1,1)))/$A$223,1,1)</f>
        <v>20</v>
      </c>
      <c r="K230" s="122" t="n">
        <f aca="false">CEILING(SUM(IF('Step1-System Details'!$E$39=8,MAX(3,CEILING(21,1,1)),MAX(3,CEILING(18,1,1))),MAX(3,CEILING(42,1,1)))/$A$223,1,1)</f>
        <v>20</v>
      </c>
      <c r="L230" s="122" t="n">
        <f aca="false">CEILING(SUM(IF('Step1-System Details'!$E$39=8,MAX(3,CEILING(21,1,1)),MAX(3,CEILING(18,1,1))),MAX(3,CEILING(42,1,1)))/$A$223,1,1)</f>
        <v>20</v>
      </c>
      <c r="M230" s="122" t="n">
        <f aca="false">CEILING(SUM(IF('Step1-System Details'!$E$39=8,MAX(3,CEILING(21,1,1)),MAX(3,CEILING(18,1,1))),MAX(3,CEILING(42,1,1)))/$A$223,1,1)</f>
        <v>20</v>
      </c>
      <c r="N230" s="122" t="n">
        <f aca="false">CEILING(SUM(IF('Step1-System Details'!$E$39=8,MAX(3,CEILING(21,1,1)),MAX(3,CEILING(18,1,1))),MAX(3,CEILING(42,1,1)))/$A$223,1,1)</f>
        <v>20</v>
      </c>
    </row>
    <row r="231" customFormat="false" ht="12.75" hidden="true" customHeight="false" outlineLevel="0" collapsed="false">
      <c r="C231" s="155" t="s">
        <v>154</v>
      </c>
      <c r="D231" s="154" t="n">
        <f aca="false">CEILING(IF(2^'Step1-System Details'!E38*'Step1-System Details'!E41/8=2048,35,25)/A223,1,1)</f>
        <v>11</v>
      </c>
      <c r="E231" s="154" t="n">
        <f aca="false">CEILING(IF(2^'Step1-System Details'!$E$38*'Step1-System Details'!$E$41/8=2048,35,27)/A223,1,1)</f>
        <v>11</v>
      </c>
      <c r="F231" s="154" t="n">
        <f aca="false">CEILING(IF(2^'Step1-System Details'!$E$38*'Step1-System Details'!$E$41/8=2048,40,30)/A223,1,1)</f>
        <v>13</v>
      </c>
      <c r="G231" s="154" t="n">
        <f aca="false">CEILING(IF(2^'Step1-System Details'!$E$38*'Step1-System Details'!$E$41/8=2048,45,30)/A223,1,1)</f>
        <v>14</v>
      </c>
      <c r="H231" s="154" t="n">
        <f aca="false">CEILING(IF(2^'Step1-System Details'!$E$38*'Step1-System Details'!$E$41/8=2048,50,37.5)/A223,1,1)</f>
        <v>16</v>
      </c>
      <c r="I231" s="157" t="n">
        <f aca="false">CEILING(IF(2^'Step1-System Details'!$E$38*'Step1-System Details'!$E$41/8=2048,50,40)/A223,1,1)</f>
        <v>16</v>
      </c>
      <c r="J231" s="122" t="n">
        <f aca="false">CEILING(MAX(50,8*$A$223)/$A$223,1,1)</f>
        <v>16</v>
      </c>
      <c r="K231" s="122" t="n">
        <f aca="false">CEILING(MAX(50,8*$A$223)/$A$223,1,1)</f>
        <v>16</v>
      </c>
      <c r="L231" s="122" t="n">
        <f aca="false">CEILING(MAX(50,8*$A$223)/$A$223,1,1)</f>
        <v>16</v>
      </c>
      <c r="M231" s="122" t="n">
        <f aca="false">CEILING(MAX(50,8*$A$223)/$A$223,1,1)</f>
        <v>16</v>
      </c>
      <c r="N231" s="122" t="n">
        <f aca="false">CEILING(MAX(50,8*$A$223)/$A$223,1,1)</f>
        <v>16</v>
      </c>
    </row>
    <row r="232" customFormat="false" ht="12.75" hidden="true" customHeight="false" outlineLevel="0" collapsed="false">
      <c r="C232" s="122" t="s">
        <v>156</v>
      </c>
      <c r="D232" s="154" t="n">
        <f aca="false">CEILING(D231/4,1,1)</f>
        <v>3</v>
      </c>
      <c r="E232" s="154" t="n">
        <f aca="false">CEILING(E231/4,1,1)</f>
        <v>3</v>
      </c>
      <c r="F232" s="154" t="n">
        <f aca="false">CEILING(F231/4,1,1)</f>
        <v>4</v>
      </c>
      <c r="G232" s="154" t="n">
        <f aca="false">CEILING(G231/4,1,1)</f>
        <v>4</v>
      </c>
      <c r="H232" s="154" t="n">
        <f aca="false">CEILING(H231/4,1,1)</f>
        <v>4</v>
      </c>
      <c r="I232" s="157" t="n">
        <f aca="false">CEILING(I231/4,1,1)</f>
        <v>4</v>
      </c>
      <c r="J232" s="122" t="n">
        <f aca="false">CEILING(MAX(10,2*$A$223)/$A$223,1,1)</f>
        <v>4</v>
      </c>
      <c r="K232" s="122" t="n">
        <f aca="false">CEILING(MAX(10,2*$A$223)/$A$223,1,1)</f>
        <v>4</v>
      </c>
      <c r="L232" s="122" t="n">
        <f aca="false">CEILING(MAX(10,2*$A$223)/$A$223,1,1)</f>
        <v>4</v>
      </c>
      <c r="M232" s="122" t="n">
        <f aca="false">CEILING(MAX(10,2*$A$223)/$A$223,1,1)</f>
        <v>4</v>
      </c>
      <c r="N232" s="122" t="n">
        <f aca="false">CEILING(MAX(10,2*$A$223)/$A$223,1,1)</f>
        <v>4</v>
      </c>
    </row>
    <row r="233" customFormat="false" ht="12.75" hidden="true" customHeight="false" outlineLevel="0" collapsed="false">
      <c r="C233" s="122" t="s">
        <v>158</v>
      </c>
      <c r="D233" s="154" t="n">
        <f aca="false">CEILING(((MAX(4*A223,7.5)/A223)),1,1)</f>
        <v>4</v>
      </c>
      <c r="E233" s="154" t="n">
        <f aca="false">CEILING(((MAX(4*A223,7.5)/A223)),1,1)</f>
        <v>4</v>
      </c>
      <c r="F233" s="154" t="n">
        <f aca="false">CEILING(((MAX(4*A223,7.5)/A223)),1,1)</f>
        <v>4</v>
      </c>
      <c r="G233" s="154" t="n">
        <f aca="false">CEILING(((MAX(4*A223,7.5)/A223)),1,1)</f>
        <v>4</v>
      </c>
      <c r="H233" s="154" t="n">
        <f aca="false">CEILING(((MAX(4*A223,7.5)/A223)),1,1)</f>
        <v>4</v>
      </c>
      <c r="I233" s="157" t="n">
        <f aca="false">CEILING(((MAX(4*A223,7.5)/A223)),1,1)</f>
        <v>4</v>
      </c>
      <c r="J233" s="122" t="n">
        <f aca="false">MAX(2,CEILING((7.5/$A$223),1,1))</f>
        <v>3</v>
      </c>
      <c r="K233" s="122" t="n">
        <f aca="false">MAX(2,CEILING((7.5/$A$223),1,1))</f>
        <v>3</v>
      </c>
      <c r="L233" s="122" t="n">
        <f aca="false">MAX(2,CEILING((7.5/$A$223),1,1))</f>
        <v>3</v>
      </c>
      <c r="M233" s="122" t="n">
        <f aca="false">MAX(2,CEILING((7.5/$A$223),1,1))</f>
        <v>3</v>
      </c>
      <c r="N233" s="122" t="n">
        <f aca="false">MAX(2,CEILING((7.5/$A$223),1,1))</f>
        <v>3</v>
      </c>
    </row>
    <row r="234" customFormat="false" ht="12.75" hidden="true" customHeight="false" outlineLevel="0" collapsed="false">
      <c r="C234" s="122" t="s">
        <v>160</v>
      </c>
      <c r="D234" s="154" t="n">
        <f aca="false">CEILING(((MAX(3*A223,6)/A223)),1,1)</f>
        <v>3</v>
      </c>
      <c r="E234" s="154" t="n">
        <f aca="false">CEILING(((MAX(3*A223,6)/A223)),1,1)</f>
        <v>3</v>
      </c>
      <c r="F234" s="154" t="n">
        <f aca="false">CEILING(((MAX(3*A223,6)/A223)),1,1)</f>
        <v>3</v>
      </c>
      <c r="G234" s="154" t="n">
        <f aca="false">CEILING(((MAX(3*A223,6)/A223)),1,1)</f>
        <v>3</v>
      </c>
      <c r="H234" s="154" t="n">
        <f aca="false">CEILING(((MAX(3*A223,7.5)/A223)),1,1)</f>
        <v>3</v>
      </c>
      <c r="I234" s="157" t="n">
        <f aca="false">CEILING(((MAX(3*A223,7.5)/A223)),1,1)</f>
        <v>3</v>
      </c>
      <c r="J234" s="122" t="n">
        <f aca="false">MAX(2,CEILING((7.5/$A$223),1,1))</f>
        <v>3</v>
      </c>
      <c r="K234" s="122" t="n">
        <f aca="false">MAX(2,CEILING((7.5/$A$223),1,1))</f>
        <v>3</v>
      </c>
      <c r="L234" s="122" t="n">
        <f aca="false">MAX(2,CEILING((7.5/$A$223),1,1))</f>
        <v>3</v>
      </c>
      <c r="M234" s="122" t="n">
        <f aca="false">MAX(2,CEILING((7.5/$A$223),1,1))</f>
        <v>3</v>
      </c>
      <c r="N234" s="122" t="n">
        <f aca="false">MAX(2,CEILING((7.5/$A$223),1,1))</f>
        <v>3</v>
      </c>
    </row>
    <row r="235" customFormat="false" ht="12.75" hidden="true" customHeight="false" outlineLevel="0" collapsed="false">
      <c r="C235" s="122" t="s">
        <v>162</v>
      </c>
      <c r="D235" s="154"/>
      <c r="E235" s="154"/>
      <c r="F235" s="154"/>
      <c r="G235" s="154"/>
      <c r="H235" s="154"/>
      <c r="I235" s="157"/>
      <c r="J235" s="0"/>
      <c r="K235" s="0"/>
      <c r="L235" s="0"/>
      <c r="M235" s="0"/>
      <c r="N235" s="0"/>
    </row>
    <row r="236" customFormat="false" ht="12.75" hidden="true" customHeight="false" outlineLevel="0" collapsed="false">
      <c r="C236" s="122" t="s">
        <v>199</v>
      </c>
      <c r="D236" s="154" t="n">
        <f aca="false">MAX(5,CEILING((IF('Step1-System Details'!$E$36=0.5,"90",IF('Step1-System Details'!$E$36=1,"110",IF('Step1-System Details'!$E$36=2,"160",IF('Step1-System Details'!$E$36=4,"260","350"))))+10)/$A$223,1,1))</f>
        <v>82</v>
      </c>
      <c r="E236" s="154" t="n">
        <f aca="false">MAX(5,CEILING((IF('Step1-System Details'!$E$36=0.5,"90",IF('Step1-System Details'!$E$36=1,"110",IF('Step1-System Details'!$E$36=2,"160",IF('Step1-System Details'!$E$36=4,"260","350"))))+10)/$A$223,1,1))</f>
        <v>82</v>
      </c>
      <c r="F236" s="154" t="n">
        <f aca="false">MAX(5,CEILING((IF('Step1-System Details'!$E$36=0.5,"90",IF('Step1-System Details'!$E$36=1,"110",IF('Step1-System Details'!$E$36=2,"160",IF('Step1-System Details'!$E$36=4,"260","350"))))+10)/$A$223,1,1))</f>
        <v>82</v>
      </c>
      <c r="G236" s="154" t="n">
        <f aca="false">MAX(5,CEILING((IF('Step1-System Details'!$E$36=0.5,"90",IF('Step1-System Details'!$E$36=1,"110",IF('Step1-System Details'!$E$36=2,"160",IF('Step1-System Details'!$E$36=4,"260","350"))))+10)/$A$223,1,1))</f>
        <v>82</v>
      </c>
      <c r="H236" s="154" t="n">
        <f aca="false">MAX(5,CEILING((IF('Step1-System Details'!$E$36=0.5,"90",IF('Step1-System Details'!$E$36=1,"110",IF('Step1-System Details'!$E$36=2,"160",IF('Step1-System Details'!$E$36=4,"260","350"))))+10)/$A$223,1,1))</f>
        <v>82</v>
      </c>
      <c r="I236" s="157" t="n">
        <f aca="false">MAX(5,CEILING((IF('Step1-System Details'!$E$36=0.5,"90",IF('Step1-System Details'!$E$36=1,"110",IF('Step1-System Details'!$E$36=2,"160",IF('Step1-System Details'!$E$36=4,"260","350"))))+10)/$A$223,1,1))</f>
        <v>82</v>
      </c>
      <c r="J236" s="122" t="n">
        <f aca="false">CEILING(((IF('Step1-System Details'!E36&lt;=0.5,90+10,IF('Step1-System Details'!E36=1,130+10,IF('Step1-System Details'!E36=2,130+10,IF('Step1-System Details'!E36=4,130+10,210+10))))/A223)),1,1)</f>
        <v>43</v>
      </c>
      <c r="K236" s="122" t="n">
        <f aca="false">CEILING(((IF('Step1-System Details'!E36&lt;=0.5,90+10,IF('Step1-System Details'!E36=1,130+10,IF('Step1-System Details'!E36=2,130+10,IF('Step1-System Details'!E36=4,130+10,210+10))))/A223)),1,1)</f>
        <v>43</v>
      </c>
      <c r="L236" s="122" t="n">
        <f aca="false">CEILING(((IF('Step1-System Details'!E36&lt;=0.5,90+10,IF('Step1-System Details'!E36=1,130+10,IF('Step1-System Details'!E36=2,130+10,IF('Step1-System Details'!E36=4,130+10,210+10))))/A223)),1,1)</f>
        <v>43</v>
      </c>
      <c r="M236" s="122" t="n">
        <f aca="false">CEILING(((IF('Step1-System Details'!E36&lt;=0.5,90+10,IF('Step1-System Details'!E36=1,130+10,IF('Step1-System Details'!E36=2,130+10,IF('Step1-System Details'!E36=4,130+10,210+10))))/A223)),1,1)</f>
        <v>43</v>
      </c>
      <c r="N236" s="122" t="n">
        <f aca="false">CEILING(((IF('Step1-System Details'!E36&lt;=0.5,90+10,IF('Step1-System Details'!E36=1,130+10,IF('Step1-System Details'!E36=2,130+10,IF('Step1-System Details'!E36=4,130+10,210+10))))/A223)),1,1)</f>
        <v>43</v>
      </c>
    </row>
    <row r="237" customFormat="false" ht="12.75" hidden="true" customHeight="false" outlineLevel="0" collapsed="false">
      <c r="C237" s="122" t="s">
        <v>200</v>
      </c>
      <c r="D237" s="154" t="n">
        <f aca="false">512</f>
        <v>512</v>
      </c>
      <c r="E237" s="154" t="n">
        <f aca="false">512</f>
        <v>512</v>
      </c>
      <c r="F237" s="154" t="n">
        <f aca="false">512</f>
        <v>512</v>
      </c>
      <c r="G237" s="154" t="n">
        <f aca="false">512</f>
        <v>512</v>
      </c>
      <c r="H237" s="154" t="n">
        <f aca="false">512</f>
        <v>512</v>
      </c>
      <c r="I237" s="157" t="n">
        <f aca="false">512</f>
        <v>512</v>
      </c>
      <c r="J237" s="0"/>
      <c r="K237" s="0"/>
      <c r="L237" s="0"/>
      <c r="M237" s="0"/>
      <c r="N237" s="0"/>
    </row>
    <row r="238" customFormat="false" ht="12.75" hidden="true" customHeight="false" outlineLevel="0" collapsed="false">
      <c r="C238" s="122" t="s">
        <v>168</v>
      </c>
      <c r="D238" s="154" t="n">
        <f aca="false">CEILING(((MAX(4*A223,7.5)/A223)),1,1)</f>
        <v>4</v>
      </c>
      <c r="E238" s="154" t="n">
        <f aca="false">CEILING(((MAX(4*A223,7.5)/A223)),1,1)</f>
        <v>4</v>
      </c>
      <c r="F238" s="154" t="n">
        <f aca="false">CEILING(((MAX(4*A223,7.5)/A223)),1,1)</f>
        <v>4</v>
      </c>
      <c r="G238" s="154" t="n">
        <f aca="false">CEILING(((MAX(4*A223,7.5)/A223)),1,1)</f>
        <v>4</v>
      </c>
      <c r="H238" s="154" t="n">
        <f aca="false">CEILING(((MAX(4*A223,7.5)/A223)),1,1)</f>
        <v>4</v>
      </c>
      <c r="I238" s="157" t="n">
        <f aca="false">CEILING(((MAX(4*A223,7.5)/A223)),1,1)</f>
        <v>4</v>
      </c>
      <c r="J238" s="122" t="n">
        <f aca="false">MAX(2,CEILING((7.5/$A$223),1,1))</f>
        <v>3</v>
      </c>
      <c r="K238" s="122" t="n">
        <f aca="false">MAX(2,CEILING((7.5/$A$223),1,1))</f>
        <v>3</v>
      </c>
      <c r="L238" s="122" t="n">
        <f aca="false">MAX(2,CEILING((7.5/$A$223),1,1))</f>
        <v>3</v>
      </c>
      <c r="M238" s="122" t="n">
        <f aca="false">MAX(2,CEILING((7.5/$A$223),1,1))</f>
        <v>3</v>
      </c>
      <c r="N238" s="122" t="n">
        <f aca="false">MAX(2,CEILING((7.5/$A$223),1,1))</f>
        <v>3</v>
      </c>
    </row>
    <row r="239" customFormat="false" ht="12.75" hidden="true" customHeight="false" outlineLevel="0" collapsed="false">
      <c r="C239" s="122" t="s">
        <v>170</v>
      </c>
      <c r="D239" s="154" t="n">
        <f aca="false">CEILING(((MAX(3*A223,5)/A223)),1,1)</f>
        <v>3</v>
      </c>
      <c r="E239" s="154" t="n">
        <f aca="false">CEILING(((MAX(3*A223,5)/A223)),1,1)</f>
        <v>3</v>
      </c>
      <c r="F239" s="154" t="n">
        <f aca="false">CEILING(((MAX(3*A223,5)/A223)),1,1)</f>
        <v>3</v>
      </c>
      <c r="G239" s="154" t="n">
        <f aca="false">CEILING(((MAX(3*A223,5.625)/A223)),1,1)</f>
        <v>3</v>
      </c>
      <c r="H239" s="154" t="n">
        <f aca="false">CEILING(((MAX(3*A223,5.625)/A223)),1,1)</f>
        <v>3</v>
      </c>
      <c r="I239" s="157" t="n">
        <f aca="false">CEILING(((MAX(3*A223,7.5)/A223)),1,1)</f>
        <v>3</v>
      </c>
      <c r="J239" s="122" t="n">
        <v>3</v>
      </c>
      <c r="K239" s="122" t="n">
        <v>3</v>
      </c>
      <c r="L239" s="122" t="n">
        <v>3</v>
      </c>
      <c r="M239" s="122" t="n">
        <v>3</v>
      </c>
      <c r="N239" s="122" t="n">
        <v>3</v>
      </c>
    </row>
    <row r="240" customFormat="false" ht="12.75" hidden="true" customHeight="false" outlineLevel="0" collapsed="false">
      <c r="C240" s="122" t="s">
        <v>172</v>
      </c>
      <c r="D240" s="154"/>
      <c r="E240" s="154"/>
      <c r="F240" s="154"/>
      <c r="G240" s="154"/>
      <c r="H240" s="154"/>
      <c r="I240" s="157"/>
      <c r="J240" s="0"/>
      <c r="K240" s="0"/>
      <c r="L240" s="0"/>
      <c r="M240" s="0"/>
      <c r="N240" s="0"/>
    </row>
    <row r="241" customFormat="false" ht="12.75" hidden="true" customHeight="false" outlineLevel="0" collapsed="false">
      <c r="C241" s="122" t="s">
        <v>173</v>
      </c>
      <c r="D241" s="154"/>
      <c r="E241" s="154"/>
      <c r="F241" s="154"/>
      <c r="G241" s="154"/>
      <c r="H241" s="154"/>
      <c r="I241" s="157"/>
      <c r="J241" s="0"/>
      <c r="K241" s="0"/>
      <c r="L241" s="0"/>
      <c r="M241" s="0"/>
      <c r="N241" s="0"/>
    </row>
    <row r="242" customFormat="false" ht="12.75" hidden="true" customHeight="false" outlineLevel="0" collapsed="false">
      <c r="C242" s="122" t="s">
        <v>175</v>
      </c>
      <c r="D242" s="154" t="n">
        <f aca="false">D239+1</f>
        <v>4</v>
      </c>
      <c r="E242" s="154" t="n">
        <f aca="false">E239+1</f>
        <v>4</v>
      </c>
      <c r="F242" s="154" t="n">
        <f aca="false">F239+1</f>
        <v>4</v>
      </c>
      <c r="G242" s="154" t="n">
        <f aca="false">G239+1</f>
        <v>4</v>
      </c>
      <c r="H242" s="154" t="n">
        <f aca="false">H239+1</f>
        <v>4</v>
      </c>
      <c r="I242" s="157" t="n">
        <f aca="false">I239+1</f>
        <v>4</v>
      </c>
      <c r="J242" s="122" t="n">
        <f aca="false">MAX(3,CEILING((15/$A$223),1,1))</f>
        <v>5</v>
      </c>
      <c r="K242" s="122" t="n">
        <f aca="false">MAX(3,CEILING((15/$A$223),1,1))</f>
        <v>5</v>
      </c>
      <c r="L242" s="122" t="n">
        <f aca="false">MAX(3,CEILING((15/$A$223),1,1))</f>
        <v>5</v>
      </c>
      <c r="M242" s="122" t="n">
        <f aca="false">MAX(3,CEILING((15/$A$223),1,1))</f>
        <v>5</v>
      </c>
      <c r="N242" s="122" t="n">
        <f aca="false">MAX(3,CEILING((15/$A$223),1,1))</f>
        <v>5</v>
      </c>
    </row>
    <row r="243" customFormat="false" ht="12.75" hidden="true" customHeight="false" outlineLevel="0" collapsed="false">
      <c r="C243" s="122" t="s">
        <v>177</v>
      </c>
      <c r="D243" s="154" t="n">
        <f aca="false">CEILING(((MAX(64*A223,80)/A223)),1,1)</f>
        <v>64</v>
      </c>
      <c r="E243" s="154" t="n">
        <f aca="false">CEILING(((MAX(64*A223,80)/A223)),1,1)</f>
        <v>64</v>
      </c>
      <c r="F243" s="154" t="n">
        <f aca="false">CEILING(((MAX(64*A223,80)/A223)),1,1)</f>
        <v>64</v>
      </c>
      <c r="G243" s="154" t="n">
        <f aca="false">CEILING(((MAX(64*A223,80)/A223)),1,1)</f>
        <v>64</v>
      </c>
      <c r="H243" s="154" t="n">
        <f aca="false">CEILING(((MAX(64*A223,80)/A223)),1,1)</f>
        <v>64</v>
      </c>
      <c r="I243" s="157" t="n">
        <f aca="false">CEILING(((MAX(64*A223,80)/A223)),1,1)</f>
        <v>64</v>
      </c>
      <c r="J243" s="122" t="n">
        <f aca="false">CEILING(((90/A223)),1,1)</f>
        <v>28</v>
      </c>
      <c r="K243" s="122" t="n">
        <f aca="false">CEILING(((90/A223)),1,1)</f>
        <v>28</v>
      </c>
      <c r="L243" s="122" t="n">
        <f aca="false">CEILING(((90/A223)),1,1)</f>
        <v>28</v>
      </c>
      <c r="M243" s="122" t="n">
        <f aca="false">CEILING(((90/A223)),1,1)</f>
        <v>28</v>
      </c>
      <c r="N243" s="122" t="n">
        <f aca="false">CEILING(((90/A223)),1,1)</f>
        <v>28</v>
      </c>
    </row>
    <row r="244" customFormat="false" ht="12.75" hidden="true" customHeight="false" outlineLevel="0" collapsed="false">
      <c r="C244" s="122" t="s">
        <v>179</v>
      </c>
      <c r="D244" s="154"/>
      <c r="E244" s="154"/>
      <c r="F244" s="154"/>
      <c r="G244" s="154"/>
      <c r="H244" s="154"/>
      <c r="I244" s="157"/>
      <c r="J244" s="0"/>
      <c r="K244" s="0"/>
      <c r="L244" s="0"/>
      <c r="M244" s="0"/>
      <c r="N244" s="0"/>
    </row>
    <row r="245" customFormat="false" ht="12.75" hidden="true" customHeight="false" outlineLevel="0" collapsed="false">
      <c r="C245" s="122" t="s">
        <v>181</v>
      </c>
      <c r="D245" s="154" t="n">
        <f aca="false">CEILING(((IF('Step1-System Details'!E36=0.5,"90",IF('Step1-System Details'!E36=1,"110",IF('Step1-System Details'!E36=2,"160",IF('Step1-System Details'!E36=4,"260","350"))))/A223)),1,1)</f>
        <v>79</v>
      </c>
      <c r="E245" s="154" t="n">
        <f aca="false">CEILING(((IF('Step1-System Details'!E36=0.5,"90",IF('Step1-System Details'!E36=1,"110",IF('Step1-System Details'!E36=2,"160",IF('Step1-System Details'!E36=4,"260","350"))))/A223)),1,1)</f>
        <v>79</v>
      </c>
      <c r="F245" s="154" t="n">
        <f aca="false">CEILING(((IF('Step1-System Details'!E36=0.5,"90",IF('Step1-System Details'!E36=1,"110",IF('Step1-System Details'!E36=2,"160",IF('Step1-System Details'!E36=4,"260","350"))))/A223)),1,1)</f>
        <v>79</v>
      </c>
      <c r="G245" s="154" t="n">
        <f aca="false">CEILING(((IF('Step1-System Details'!E36=0.5,"90",IF('Step1-System Details'!E36=1,"110",IF('Step1-System Details'!E36=2,"160",IF('Step1-System Details'!E36=4,"260","350"))))/A223)),1,1)</f>
        <v>79</v>
      </c>
      <c r="H245" s="154" t="n">
        <f aca="false">CEILING(((IF('Step1-System Details'!E36=0.5,"90",IF('Step1-System Details'!E36=1,"110",IF('Step1-System Details'!E36=2,"160",IF('Step1-System Details'!E36=4,"260","350"))))/A223)),1,1)</f>
        <v>79</v>
      </c>
      <c r="I245" s="157" t="n">
        <f aca="false">CEILING(((IF('Step1-System Details'!E36=0.5,"90",IF('Step1-System Details'!E36=1,"110",IF('Step1-System Details'!E36=2,"160",IF('Step1-System Details'!E36=4,"260","350"))))/A223)),1,1)</f>
        <v>79</v>
      </c>
      <c r="J245" s="122" t="n">
        <f aca="false">CEILING(((IF('Step1-System Details'!E36&lt;=0.5,"90",IF('Step1-System Details'!E36=1,"130",IF('Step1-System Details'!E36=2,"130",IF('Step1-System Details'!E36=4,"130","210"))))/A223)),1,1)</f>
        <v>40</v>
      </c>
      <c r="K245" s="122" t="n">
        <f aca="false">CEILING(((IF('Step1-System Details'!E36&lt;=0.5,"90",IF('Step1-System Details'!E36=1,"130",IF('Step1-System Details'!E36=2,"130",IF('Step1-System Details'!E36=4,"130","210"))))/A223)),1,1)</f>
        <v>40</v>
      </c>
      <c r="L245" s="122" t="n">
        <f aca="false">CEILING(((IF('Step1-System Details'!E36&lt;=0.5,"90",IF('Step1-System Details'!E36=1,"130",IF('Step1-System Details'!E36=2,"130",IF('Step1-System Details'!E36=4,"130","210"))))/A223)),1,1)</f>
        <v>40</v>
      </c>
      <c r="M245" s="122" t="n">
        <f aca="false">CEILING(((IF('Step1-System Details'!E36&lt;=0.5,"90",IF('Step1-System Details'!E36=1,"130",IF('Step1-System Details'!E36=2,"130",IF('Step1-System Details'!E36=4,"130","210"))))/A223)),1,1)</f>
        <v>40</v>
      </c>
      <c r="N245" s="122" t="n">
        <f aca="false">CEILING(((IF('Step1-System Details'!E36&lt;=0.5,"90",IF('Step1-System Details'!E36=1,"130",IF('Step1-System Details'!E36=2,"130",IF('Step1-System Details'!E36=4,"130","210"))))/A223)),1,1)</f>
        <v>40</v>
      </c>
    </row>
    <row r="246" customFormat="false" ht="12.75" hidden="true" customHeight="false" outlineLevel="0" collapsed="false">
      <c r="C246" s="122" t="s">
        <v>183</v>
      </c>
      <c r="D246" s="154" t="n">
        <f aca="false">FLOOR((9*'Step1-System Details'!E42)/('Step1-System Details'!E42),1,1)</f>
        <v>9</v>
      </c>
      <c r="E246" s="154" t="n">
        <f aca="false">FLOOR((9*'Step1-System Details'!E42)/('Step1-System Details'!E42),1,1)</f>
        <v>9</v>
      </c>
      <c r="F246" s="154" t="n">
        <f aca="false">FLOOR((9*'Step1-System Details'!E42)/('Step1-System Details'!E42),1,1)</f>
        <v>9</v>
      </c>
      <c r="G246" s="154" t="n">
        <f aca="false">FLOOR((9*'Step1-System Details'!E42)/('Step1-System Details'!E42),1,1)</f>
        <v>9</v>
      </c>
      <c r="H246" s="154" t="n">
        <f aca="false">FLOOR((9*'Step1-System Details'!E42)/('Step1-System Details'!E42),1,1)</f>
        <v>9</v>
      </c>
      <c r="I246" s="157" t="n">
        <f aca="false">FLOOR((9*'Step1-System Details'!E42)/('Step1-System Details'!E42),1,1)</f>
        <v>9</v>
      </c>
      <c r="J246" s="122" t="n">
        <f aca="false">FLOOR((70000/(J247*$A$223)),1,1)</f>
        <v>8</v>
      </c>
      <c r="K246" s="122" t="n">
        <f aca="false">FLOOR((70000/(K247*$A$223)),1,1)</f>
        <v>8</v>
      </c>
      <c r="L246" s="122" t="n">
        <f aca="false">FLOOR((70000/(L247*$A$223)),1,1)</f>
        <v>8</v>
      </c>
      <c r="M246" s="122" t="n">
        <f aca="false">FLOOR((70000/(M247*$A$223)),1,1)</f>
        <v>8</v>
      </c>
      <c r="N246" s="122" t="n">
        <f aca="false">FLOOR((70000/(N247*$A$223)),1,1)</f>
        <v>8</v>
      </c>
    </row>
    <row r="247" customFormat="false" ht="12.75" hidden="true" customHeight="false" outlineLevel="0" collapsed="false">
      <c r="C247" s="122" t="s">
        <v>186</v>
      </c>
      <c r="D247" s="154" t="n">
        <f aca="false">FLOOR((('Step1-System Details'!E42/A223)),1,1)</f>
        <v>2363</v>
      </c>
      <c r="E247" s="154" t="n">
        <f aca="false">FLOOR((('Step1-System Details'!E42/A223)),1,1)</f>
        <v>2363</v>
      </c>
      <c r="F247" s="154" t="n">
        <f aca="false">FLOOR((('Step1-System Details'!E42/A223)),1,1)</f>
        <v>2363</v>
      </c>
      <c r="G247" s="154" t="n">
        <f aca="false">FLOOR((('Step1-System Details'!E42/A223)),1,1)</f>
        <v>2363</v>
      </c>
      <c r="H247" s="154" t="n">
        <f aca="false">FLOOR((('Step1-System Details'!E42/A223)),1,1)</f>
        <v>2363</v>
      </c>
      <c r="I247" s="157" t="n">
        <f aca="false">FLOOR((('Step1-System Details'!E42/A223)),1,1)</f>
        <v>2363</v>
      </c>
      <c r="J247" s="122" t="n">
        <f aca="false">FLOOR((('Step1-System Details'!E42/A223)),1,1)</f>
        <v>2363</v>
      </c>
      <c r="K247" s="122" t="n">
        <f aca="false">FLOOR((('Step1-System Details'!E42/A223)),1,1)</f>
        <v>2363</v>
      </c>
      <c r="L247" s="122" t="n">
        <f aca="false">FLOOR((('Step1-System Details'!E42/A223)),1,1)</f>
        <v>2363</v>
      </c>
      <c r="M247" s="122" t="n">
        <f aca="false">FLOOR((('Step1-System Details'!E42/A223)),1,1)</f>
        <v>2363</v>
      </c>
      <c r="N247" s="122" t="n">
        <f aca="false">FLOOR((('Step1-System Details'!E42/A223)),1,1)</f>
        <v>2363</v>
      </c>
    </row>
    <row r="248" customFormat="false" ht="12.75" hidden="true" customHeight="false" outlineLevel="0" collapsed="false">
      <c r="C248" s="155"/>
      <c r="D248" s="154"/>
      <c r="E248" s="0"/>
      <c r="F248" s="0"/>
      <c r="G248" s="0"/>
      <c r="H248" s="0"/>
      <c r="I248" s="157"/>
      <c r="J248" s="0"/>
    </row>
    <row r="249" customFormat="false" ht="12.75" hidden="true" customHeight="false" outlineLevel="0" collapsed="false">
      <c r="C249" s="0"/>
      <c r="D249" s="0"/>
      <c r="E249" s="0"/>
      <c r="F249" s="0"/>
      <c r="G249" s="0"/>
      <c r="H249" s="0"/>
      <c r="I249" s="157"/>
      <c r="J249" s="0"/>
    </row>
    <row r="250" customFormat="false" ht="12.75" hidden="true" customHeight="false" outlineLevel="0" collapsed="false">
      <c r="C250" s="0"/>
      <c r="D250" s="0"/>
      <c r="E250" s="0"/>
      <c r="F250" s="0"/>
      <c r="G250" s="0"/>
      <c r="H250" s="0"/>
      <c r="I250" s="0"/>
      <c r="J250" s="0"/>
    </row>
    <row r="251" customFormat="false" ht="12.75" hidden="true" customHeight="false" outlineLevel="0" collapsed="false">
      <c r="C251" s="0"/>
      <c r="D251" s="0"/>
      <c r="E251" s="0"/>
      <c r="F251" s="0"/>
      <c r="G251" s="0"/>
      <c r="H251" s="0"/>
      <c r="I251" s="0"/>
      <c r="J251" s="0"/>
    </row>
    <row r="252" customFormat="false" ht="12.75" hidden="true" customHeight="false" outlineLevel="0" collapsed="false">
      <c r="C252" s="122" t="str">
        <f aca="false">IF('Step1-System Details'!E19="DDR3","DDR3_CL_Min","LPDDR2_CL_Min")</f>
        <v>DDR3_CL_Min</v>
      </c>
      <c r="D252" s="157" t="str">
        <f aca="false">IF('Step1-System Details'!E19="DDR3","DDR3_CL_Max","LPDDR2_CL_Max")</f>
        <v>DDR3_CL_Max</v>
      </c>
      <c r="E252" s="122" t="str">
        <f aca="false">IF('Step1-System Details'!E19="DDR3","DDR3_CL",IF('Step1-System Details'!E35=533,"LPDDR2_533_CL",IF('Step1-System Details'!E35=667,"LPDDR2_667_CL",IF('Step1-System Details'!E35=800,"LPDDR2_800_CL",IF('Step1-System Details'!E35=933,"LPDDR2_933_CL","LPDDR2_1066_CL")))))</f>
        <v>DDR3_CL</v>
      </c>
      <c r="F252" s="0"/>
      <c r="G252" s="122" t="n">
        <f aca="false">IF('Step1-System Details'!E19="DDR3",IF(AND('Step1-System Details'!E35=800,E27&gt;=5,E27&lt;=6),1,IF(AND('Step1-System Details'!E35=1066,E27&gt;=5,E27&lt;=6),1,IF(AND('Step1-System Details'!E35=1333,E27&gt;=5,E27&lt;=6),1,IF(AND('Step1-System Details'!E35=1600,E27&gt;=5,E27&lt;=6),1,IF(AND('Step1-System Details'!E35=1866,E27&gt;=5,E27&lt;=6),1,IF(AND('Step1-System Details'!E35=2133,E27&gt;=5,E27&lt;=6),1,0)))))),IF(AND('Step1-System Details'!E35=533,E27=4),1,IF(AND('Step1-System Details'!E35=667,E27=5),1,IF(AND('Step1-System Details'!E35=800,E27=6),1,IF(AND('Step1-System Details'!E35=933,E27=7),1,IF(AND('Step1-System Details'!E35=1066,E27=8),1,0))))))</f>
        <v>1</v>
      </c>
      <c r="H252" s="215" t="s">
        <v>201</v>
      </c>
      <c r="I252" s="154" t="str">
        <f aca="false">IF('Step1-System Details'!E19="DDR3","DDR3_CWL","LPDDR2_CWL")</f>
        <v>DDR3_CWL</v>
      </c>
      <c r="J252" s="122" t="n">
        <f aca="false">IF('Step1-System Details'!E19="DDR3",IF(E28="NA",1,0),IF(E28=5,1,0))</f>
        <v>0</v>
      </c>
    </row>
    <row r="253" customFormat="false" ht="12.75" hidden="true" customHeight="false" outlineLevel="0" collapsed="false">
      <c r="C253" s="157" t="n">
        <v>5</v>
      </c>
      <c r="D253" s="157" t="n">
        <v>11</v>
      </c>
      <c r="E253" s="122" t="n">
        <v>5</v>
      </c>
      <c r="F253" s="0"/>
      <c r="G253" s="0"/>
      <c r="H253" s="122" t="n">
        <v>3</v>
      </c>
      <c r="I253" s="215" t="s">
        <v>46</v>
      </c>
    </row>
    <row r="254" customFormat="false" ht="12.75" hidden="true" customHeight="false" outlineLevel="0" collapsed="false">
      <c r="C254" s="157" t="n">
        <v>3</v>
      </c>
      <c r="D254" s="157" t="n">
        <v>8</v>
      </c>
      <c r="E254" s="122" t="n">
        <v>6</v>
      </c>
      <c r="F254" s="0"/>
      <c r="G254" s="122" t="n">
        <v>533</v>
      </c>
      <c r="H254" s="122" t="n">
        <v>4</v>
      </c>
      <c r="I254" s="122" t="n">
        <v>5</v>
      </c>
    </row>
    <row r="255" customFormat="false" ht="12.75" hidden="true" customHeight="false" outlineLevel="0" collapsed="false">
      <c r="C255" s="0"/>
      <c r="E255" s="122" t="n">
        <v>7</v>
      </c>
      <c r="F255" s="0"/>
      <c r="G255" s="122" t="n">
        <v>667</v>
      </c>
      <c r="H255" s="122" t="n">
        <v>5</v>
      </c>
      <c r="I255" s="122" t="n">
        <v>6</v>
      </c>
    </row>
    <row r="256" customFormat="false" ht="12.75" hidden="true" customHeight="false" outlineLevel="0" collapsed="false">
      <c r="C256" s="157" t="n">
        <f aca="false">IF('Step1-System Details'!E19="DDR3",IF(AND(E27&gt;=5,E27&lt;=11),1,0),IF(AND(E27&gt;=3,E27&lt;=8),1,0))</f>
        <v>1</v>
      </c>
      <c r="E256" s="122" t="n">
        <v>8</v>
      </c>
      <c r="F256" s="0"/>
      <c r="G256" s="122" t="n">
        <v>800</v>
      </c>
      <c r="H256" s="122" t="n">
        <v>6</v>
      </c>
      <c r="I256" s="122" t="n">
        <v>7</v>
      </c>
    </row>
    <row r="257" customFormat="false" ht="12.75" hidden="true" customHeight="false" outlineLevel="0" collapsed="false">
      <c r="E257" s="122" t="n">
        <v>9</v>
      </c>
      <c r="F257" s="0"/>
      <c r="G257" s="122" t="n">
        <v>933</v>
      </c>
      <c r="H257" s="122" t="n">
        <v>7</v>
      </c>
      <c r="I257" s="122" t="n">
        <v>8</v>
      </c>
    </row>
    <row r="258" customFormat="false" ht="12.75" hidden="true" customHeight="false" outlineLevel="0" collapsed="false">
      <c r="E258" s="122" t="n">
        <v>10</v>
      </c>
      <c r="F258" s="0"/>
      <c r="G258" s="122" t="n">
        <v>1066</v>
      </c>
      <c r="H258" s="122" t="n">
        <v>8</v>
      </c>
    </row>
    <row r="259" customFormat="false" ht="12.75" hidden="true" customHeight="false" outlineLevel="0" collapsed="false">
      <c r="E259" s="122" t="n">
        <v>11</v>
      </c>
      <c r="F259" s="0"/>
    </row>
  </sheetData>
  <sheetProtection sheet="true" password="d9ff" objects="true" scenarios="true"/>
  <mergeCells count="12">
    <mergeCell ref="B2:K2"/>
    <mergeCell ref="B3:K3"/>
    <mergeCell ref="B4:K6"/>
    <mergeCell ref="B7:K8"/>
    <mergeCell ref="B22:B23"/>
    <mergeCell ref="C22:I23"/>
    <mergeCell ref="E24:F24"/>
    <mergeCell ref="C25:C26"/>
    <mergeCell ref="D25:D26"/>
    <mergeCell ref="E25:F25"/>
    <mergeCell ref="G25:H25"/>
    <mergeCell ref="I25:I26"/>
  </mergeCells>
  <conditionalFormatting sqref="G40:G43">
    <cfRule type="cellIs" priority="2" operator="lessThan" aboveAverage="0" equalAverage="0" bottom="0" percent="0" rank="0" text="" dxfId="0">
      <formula>$I40-1</formula>
    </cfRule>
  </conditionalFormatting>
  <conditionalFormatting sqref="G50:G51">
    <cfRule type="cellIs" priority="3" operator="greaterThan" aboveAverage="0" equalAverage="0" bottom="0" percent="0" rank="0" text="" dxfId="1">
      <formula>$I50</formula>
    </cfRule>
  </conditionalFormatting>
  <conditionalFormatting sqref="G44">
    <cfRule type="cellIs" priority="4" operator="lessThan" aboveAverage="0" equalAverage="0" bottom="0" percent="0" rank="0" text="" dxfId="2">
      <formula>$I44</formula>
    </cfRule>
  </conditionalFormatting>
  <conditionalFormatting sqref="G46">
    <cfRule type="cellIs" priority="5" operator="lessThan" aboveAverage="0" equalAverage="0" bottom="0" percent="0" rank="0" text="" dxfId="3">
      <formula>$I46-1</formula>
    </cfRule>
  </conditionalFormatting>
  <conditionalFormatting sqref="E27">
    <cfRule type="expression" priority="6" aboveAverage="0" equalAverage="0" bottom="0" percent="0" rank="0" text="" dxfId="4">
      <formula>$G$252=0</formula>
    </cfRule>
  </conditionalFormatting>
  <conditionalFormatting sqref="E28">
    <cfRule type="expression" priority="7" aboveAverage="0" equalAverage="0" bottom="0" percent="0" rank="0" text="" dxfId="5">
      <formula>J252=1</formula>
    </cfRule>
  </conditionalFormatting>
  <dataValidations count="16">
    <dataValidation allowBlank="true" operator="between" showDropDown="false" showErrorMessage="true" showInputMessage="true" sqref="E28" type="list">
      <formula1>INDIRECT(A198)</formula1>
      <formula2>0</formula2>
    </dataValidation>
    <dataValidation allowBlank="true" operator="greaterThanOrEqual" showDropDown="false" showErrorMessage="true" showInputMessage="true" sqref="F30:F40 E35:F35 F42 F45 F49:F51" type="none">
      <formula1>0</formula1>
      <formula2>0</formula2>
    </dataValidation>
    <dataValidation allowBlank="true" operator="between" showDropDown="false" showErrorMessage="true" showInputMessage="true" sqref="E50" type="custom">
      <formula1>ROUNDUP(#REF!/#REF!,0)&lt;17</formula1>
      <formula2>0</formula2>
    </dataValidation>
    <dataValidation allowBlank="true" operator="greaterThanOrEqual" showDropDown="false" showErrorMessage="true" showInputMessage="true" sqref="F41" type="custom">
      <formula1>ROUNDUP(#REF!*_ddr_pll_freq/1000,0)&lt;1025</formula1>
      <formula2>0</formula2>
    </dataValidation>
    <dataValidation allowBlank="true" operator="greaterThanOrEqual" showDropDown="false" showErrorMessage="true" showInputMessage="true" sqref="F47" type="custom">
      <formula1>ROUNDUP(#REF!*_ddr_pll_freq/1000,0)&lt;65</formula1>
      <formula2>0</formula2>
    </dataValidation>
    <dataValidation allowBlank="true" operator="between" showDropDown="false" showErrorMessage="true" showInputMessage="true" sqref="E51" type="whole">
      <formula1>0</formula1>
      <formula2>65536</formula2>
    </dataValidation>
    <dataValidation allowBlank="true" operator="between" showDropDown="false" showErrorMessage="true" showInputMessage="false" sqref="E41" type="whole">
      <formula1>0</formula1>
      <formula2>1024</formula2>
    </dataValidation>
    <dataValidation allowBlank="true" operator="between" showDropDown="false" showErrorMessage="true" showInputMessage="true" sqref="E40 E49" type="whole">
      <formula1>0</formula1>
      <formula2>512</formula2>
    </dataValidation>
    <dataValidation allowBlank="true" operator="between" showDropDown="false" showErrorMessage="true" showInputMessage="true" sqref="E34" type="whole">
      <formula1>0</formula1>
      <formula2>64</formula2>
    </dataValidation>
    <dataValidation allowBlank="true" operator="greaterThanOrEqual" showDropDown="false" showErrorMessage="true" showInputMessage="true" sqref="F46" type="custom">
      <formula1>ROUNDUP(#REF!*_ddr_pll_freq/1000,0)&lt;9</formula1>
      <formula2>0</formula2>
    </dataValidation>
    <dataValidation allowBlank="true" operator="between" showDropDown="false" showErrorMessage="true" showInputMessage="true" sqref="E36:E39 E42:E43 E45:E46" type="whole">
      <formula1>0</formula1>
      <formula2>8</formula2>
    </dataValidation>
    <dataValidation allowBlank="true" operator="between" showDropDown="false" showErrorMessage="true" showInputMessage="true" sqref="E27" type="list">
      <formula1>INDIRECT($E$252)</formula1>
      <formula2>0</formula2>
    </dataValidation>
    <dataValidation allowBlank="true" operator="greaterThanOrEqual" showDropDown="false" showErrorMessage="true" showInputMessage="false" sqref="E30:E33" type="none">
      <formula1>0</formula1>
      <formula2>0</formula2>
    </dataValidation>
    <dataValidation allowBlank="true" operator="greaterThanOrEqual" prompt="&#10;" showDropDown="false" showErrorMessage="true" showInputMessage="false" sqref="F43" type="none">
      <formula1>0</formula1>
      <formula2>0</formula2>
    </dataValidation>
    <dataValidation allowBlank="true" operator="between" prompt="&#10;" showDropDown="false" showErrorMessage="true" showInputMessage="false" sqref="E47" type="whole">
      <formula1>0</formula1>
      <formula2>64</formula2>
    </dataValidation>
    <dataValidation allowBlank="true" operator="between" prompt="Applicable for LPDDR2 only" showDropDown="false" showErrorMessage="true" showInputMessage="true" sqref="F48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4" topLeftCell="A15" activePane="bottomLeft" state="frozen"/>
      <selection pane="topLeft" activeCell="A1" activeCellId="0" sqref="A1"/>
      <selection pane="bottomLeft" activeCell="D27" activeCellId="0" sqref="D27"/>
    </sheetView>
  </sheetViews>
  <sheetFormatPr defaultRowHeight="12.75"/>
  <cols>
    <col collapsed="false" hidden="false" max="1" min="1" style="122" width="2.41836734693878"/>
    <col collapsed="false" hidden="false" max="2" min="2" style="122" width="5.57142857142857"/>
    <col collapsed="false" hidden="false" max="3" min="3" style="122" width="14.8571428571429"/>
    <col collapsed="false" hidden="false" max="4" min="4" style="122" width="12.5714285714286"/>
    <col collapsed="false" hidden="false" max="5" min="5" style="122" width="15.1479591836735"/>
    <col collapsed="false" hidden="false" max="6" min="6" style="122" width="15.5714285714286"/>
    <col collapsed="false" hidden="false" max="1025" min="7" style="122" width="9.14285714285714"/>
  </cols>
  <sheetData>
    <row r="1" s="219" customFormat="true" ht="12.75" hidden="false" customHeight="true" outlineLevel="0" collapsed="false">
      <c r="A1" s="217"/>
      <c r="B1" s="217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7"/>
      <c r="P1" s="217"/>
      <c r="Q1" s="217"/>
      <c r="R1" s="217"/>
    </row>
    <row r="2" customFormat="false" ht="12.75" hidden="false" customHeight="true" outlineLevel="0" collapsed="false">
      <c r="A2" s="217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0"/>
    </row>
    <row r="3" customFormat="false" ht="12.75" hidden="false" customHeight="true" outlineLevel="0" collapsed="false">
      <c r="A3" s="217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0"/>
    </row>
    <row r="4" customFormat="false" ht="12.75" hidden="false" customHeight="true" outlineLevel="0" collapsed="false">
      <c r="A4" s="221"/>
      <c r="B4" s="222" t="s">
        <v>202</v>
      </c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0"/>
    </row>
    <row r="5" customFormat="false" ht="12.75" hidden="false" customHeight="true" outlineLevel="0" collapsed="false">
      <c r="A5" s="223"/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0"/>
    </row>
    <row r="6" customFormat="false" ht="12.75" hidden="false" customHeight="true" outlineLevel="0" collapsed="false">
      <c r="A6" s="223"/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0"/>
    </row>
    <row r="7" customFormat="false" ht="12.75" hidden="false" customHeight="true" outlineLevel="0" collapsed="false">
      <c r="A7" s="223"/>
      <c r="B7" s="224" t="s">
        <v>19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5"/>
    </row>
    <row r="8" customFormat="false" ht="12.75" hidden="false" customHeight="true" outlineLevel="0" collapsed="false">
      <c r="A8" s="223"/>
      <c r="B8" s="224"/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5"/>
    </row>
    <row r="9" customFormat="false" ht="12.75" hidden="false" customHeight="true" outlineLevel="0" collapsed="false">
      <c r="A9" s="223"/>
      <c r="B9" s="226" t="s">
        <v>20</v>
      </c>
      <c r="C9" s="227" t="s">
        <v>203</v>
      </c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9"/>
      <c r="P9" s="230"/>
      <c r="Q9" s="227"/>
      <c r="R9" s="231"/>
      <c r="S9" s="225"/>
    </row>
    <row r="10" customFormat="false" ht="12.75" hidden="false" customHeight="true" outlineLevel="0" collapsed="false">
      <c r="A10" s="223"/>
      <c r="B10" s="232"/>
      <c r="C10" s="233"/>
      <c r="D10" s="234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5"/>
      <c r="P10" s="236"/>
      <c r="Q10" s="233"/>
      <c r="R10" s="237"/>
      <c r="S10" s="225"/>
    </row>
    <row r="11" customFormat="false" ht="12.75" hidden="false" customHeight="true" outlineLevel="0" collapsed="false">
      <c r="A11" s="223"/>
      <c r="B11" s="232"/>
      <c r="C11" s="238" t="s">
        <v>124</v>
      </c>
      <c r="D11" s="239" t="s">
        <v>204</v>
      </c>
      <c r="E11" s="239"/>
      <c r="F11" s="233"/>
      <c r="G11" s="233"/>
      <c r="H11" s="233"/>
      <c r="I11" s="233"/>
      <c r="J11" s="233"/>
      <c r="K11" s="233"/>
      <c r="L11" s="233"/>
      <c r="M11" s="233"/>
      <c r="N11" s="233"/>
      <c r="O11" s="235"/>
      <c r="P11" s="236"/>
      <c r="Q11" s="234"/>
      <c r="R11" s="240"/>
      <c r="S11" s="225"/>
    </row>
    <row r="12" customFormat="false" ht="12.75" hidden="false" customHeight="true" outlineLevel="0" collapsed="false">
      <c r="A12" s="223"/>
      <c r="B12" s="232"/>
      <c r="C12" s="241"/>
      <c r="D12" s="242"/>
      <c r="E12" s="239"/>
      <c r="F12" s="233"/>
      <c r="G12" s="233"/>
      <c r="H12" s="233"/>
      <c r="I12" s="233"/>
      <c r="J12" s="233"/>
      <c r="K12" s="233"/>
      <c r="L12" s="233"/>
      <c r="M12" s="233"/>
      <c r="N12" s="233"/>
      <c r="O12" s="235"/>
      <c r="P12" s="236"/>
      <c r="Q12" s="241"/>
      <c r="R12" s="243"/>
      <c r="S12" s="225"/>
    </row>
    <row r="13" customFormat="false" ht="13.5" hidden="false" customHeight="false" outlineLevel="0" collapsed="false">
      <c r="A13" s="223"/>
      <c r="B13" s="244"/>
      <c r="C13" s="245"/>
      <c r="D13" s="245"/>
      <c r="E13" s="245"/>
      <c r="F13" s="245"/>
      <c r="G13" s="245"/>
      <c r="H13" s="246"/>
      <c r="I13" s="246"/>
      <c r="J13" s="245"/>
      <c r="K13" s="245"/>
      <c r="L13" s="245"/>
      <c r="M13" s="245"/>
      <c r="N13" s="245"/>
      <c r="O13" s="247"/>
      <c r="P13" s="248"/>
      <c r="Q13" s="245"/>
      <c r="R13" s="249"/>
      <c r="S13" s="225"/>
    </row>
    <row r="14" customFormat="false" ht="13.5" hidden="false" customHeight="false" outlineLevel="0" collapsed="false">
      <c r="A14" s="223"/>
      <c r="B14" s="250"/>
      <c r="C14" s="250"/>
      <c r="D14" s="250"/>
      <c r="E14" s="250"/>
      <c r="F14" s="250"/>
      <c r="G14" s="250"/>
      <c r="H14" s="251"/>
      <c r="I14" s="251"/>
      <c r="J14" s="250"/>
      <c r="K14" s="250"/>
      <c r="L14" s="250"/>
      <c r="M14" s="250"/>
      <c r="N14" s="250"/>
      <c r="O14" s="250"/>
      <c r="P14" s="217"/>
      <c r="Q14" s="217"/>
      <c r="R14" s="217"/>
    </row>
    <row r="15" customFormat="false" ht="13.5" hidden="false" customHeight="false" outlineLevel="0" collapsed="false">
      <c r="B15" s="148"/>
      <c r="C15" s="148"/>
      <c r="D15" s="148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 customFormat="false" ht="13.5" hidden="false" customHeight="true" outlineLevel="0" collapsed="false">
      <c r="B16" s="252" t="s">
        <v>205</v>
      </c>
      <c r="C16" s="253" t="s">
        <v>206</v>
      </c>
      <c r="D16" s="253"/>
      <c r="E16" s="253"/>
      <c r="F16" s="253"/>
      <c r="G16" s="253"/>
      <c r="H16" s="0"/>
      <c r="I16" s="0"/>
      <c r="J16" s="0"/>
      <c r="K16" s="0"/>
      <c r="L16" s="0"/>
      <c r="M16" s="254"/>
      <c r="N16" s="254"/>
      <c r="O16" s="254"/>
      <c r="P16" s="255"/>
    </row>
    <row r="17" customFormat="false" ht="13.5" hidden="false" customHeight="true" outlineLevel="0" collapsed="false">
      <c r="B17" s="252"/>
      <c r="C17" s="253"/>
      <c r="D17" s="253"/>
      <c r="E17" s="253"/>
      <c r="F17" s="253"/>
      <c r="G17" s="253"/>
      <c r="H17" s="0"/>
      <c r="I17" s="0"/>
      <c r="J17" s="0"/>
      <c r="K17" s="0"/>
      <c r="L17" s="0"/>
      <c r="M17" s="256"/>
      <c r="N17" s="256"/>
      <c r="O17" s="256"/>
      <c r="P17" s="257"/>
    </row>
    <row r="18" customFormat="false" ht="12.75" hidden="false" customHeight="true" outlineLevel="0" collapsed="false">
      <c r="B18" s="0"/>
      <c r="C18" s="79" t="s">
        <v>26</v>
      </c>
      <c r="D18" s="258" t="s">
        <v>12</v>
      </c>
      <c r="E18" s="258"/>
      <c r="F18" s="79" t="s">
        <v>207</v>
      </c>
      <c r="G18" s="81" t="s">
        <v>28</v>
      </c>
      <c r="H18" s="0"/>
      <c r="I18" s="0"/>
      <c r="J18" s="0"/>
      <c r="K18" s="0"/>
      <c r="L18" s="148"/>
      <c r="M18" s="148"/>
      <c r="N18" s="148"/>
      <c r="O18" s="148"/>
      <c r="P18" s="148"/>
    </row>
    <row r="19" customFormat="false" ht="12.75" hidden="false" customHeight="true" outlineLevel="0" collapsed="false">
      <c r="B19" s="0"/>
      <c r="C19" s="89" t="n">
        <v>1</v>
      </c>
      <c r="D19" s="259" t="s">
        <v>208</v>
      </c>
      <c r="E19" s="259"/>
      <c r="F19" s="260" t="n">
        <v>180</v>
      </c>
      <c r="G19" s="92" t="s">
        <v>209</v>
      </c>
      <c r="H19" s="0"/>
      <c r="I19" s="0"/>
      <c r="J19" s="261" t="str">
        <f aca="false">IF('Step1-System Details'!E19="LPDDR2","Not Required for LPDDR2","")</f>
        <v/>
      </c>
      <c r="K19" s="261"/>
      <c r="L19" s="261"/>
      <c r="M19" s="261"/>
      <c r="N19" s="261"/>
      <c r="O19" s="261"/>
      <c r="P19" s="261"/>
    </row>
    <row r="20" customFormat="false" ht="13.5" hidden="false" customHeight="true" outlineLevel="0" collapsed="false">
      <c r="B20" s="262"/>
      <c r="C20" s="148"/>
      <c r="D20" s="148"/>
      <c r="E20" s="0"/>
      <c r="F20" s="0"/>
      <c r="G20" s="0"/>
      <c r="H20" s="0"/>
      <c r="I20" s="0"/>
      <c r="J20" s="0"/>
      <c r="K20" s="0"/>
    </row>
    <row r="21" customFormat="false" ht="14.25" hidden="false" customHeight="true" outlineLevel="0" collapsed="false">
      <c r="B21" s="263" t="s">
        <v>210</v>
      </c>
      <c r="C21" s="264" t="s">
        <v>211</v>
      </c>
      <c r="D21" s="264"/>
      <c r="E21" s="264"/>
      <c r="F21" s="264"/>
      <c r="G21" s="264"/>
      <c r="H21" s="264"/>
      <c r="I21" s="264"/>
      <c r="J21" s="264"/>
      <c r="K21" s="264"/>
    </row>
    <row r="22" customFormat="false" ht="14.25" hidden="false" customHeight="true" outlineLevel="0" collapsed="false">
      <c r="B22" s="263"/>
      <c r="C22" s="264"/>
      <c r="D22" s="264"/>
      <c r="E22" s="264"/>
      <c r="F22" s="264"/>
      <c r="G22" s="264"/>
      <c r="H22" s="264"/>
      <c r="I22" s="264"/>
      <c r="J22" s="264"/>
      <c r="K22" s="264"/>
    </row>
    <row r="23" customFormat="false" ht="13.5" hidden="false" customHeight="true" outlineLevel="0" collapsed="false">
      <c r="B23" s="0"/>
      <c r="C23" s="265" t="s">
        <v>212</v>
      </c>
      <c r="D23" s="265"/>
      <c r="E23" s="265"/>
      <c r="F23" s="266"/>
      <c r="G23" s="266"/>
      <c r="H23" s="266"/>
      <c r="I23" s="266"/>
    </row>
    <row r="24" customFormat="false" ht="13.5" hidden="false" customHeight="true" outlineLevel="0" collapsed="false">
      <c r="B24" s="0"/>
      <c r="C24" s="265"/>
      <c r="D24" s="265"/>
      <c r="E24" s="265"/>
      <c r="F24" s="266"/>
      <c r="G24" s="266"/>
      <c r="H24" s="266"/>
      <c r="I24" s="266"/>
    </row>
    <row r="25" customFormat="false" ht="13.5" hidden="false" customHeight="false" outlineLevel="0" collapsed="false">
      <c r="B25" s="0"/>
      <c r="C25" s="267" t="s">
        <v>213</v>
      </c>
      <c r="D25" s="268" t="s">
        <v>214</v>
      </c>
      <c r="E25" s="268"/>
      <c r="F25" s="269"/>
      <c r="G25" s="269"/>
      <c r="H25" s="269"/>
      <c r="I25" s="269"/>
    </row>
    <row r="26" customFormat="false" ht="13.5" hidden="false" customHeight="false" outlineLevel="0" collapsed="false">
      <c r="B26" s="0"/>
      <c r="C26" s="267"/>
      <c r="D26" s="270" t="s">
        <v>215</v>
      </c>
      <c r="E26" s="271" t="s">
        <v>216</v>
      </c>
      <c r="F26" s="0"/>
    </row>
    <row r="27" customFormat="false" ht="13.5" hidden="false" customHeight="false" outlineLevel="0" collapsed="false">
      <c r="B27" s="0"/>
      <c r="C27" s="272" t="s">
        <v>217</v>
      </c>
      <c r="D27" s="273" t="n">
        <v>1.289</v>
      </c>
      <c r="E27" s="274" t="n">
        <v>1.289</v>
      </c>
      <c r="F27" s="0"/>
    </row>
    <row r="28" customFormat="false" ht="13.5" hidden="false" customHeight="false" outlineLevel="0" collapsed="false">
      <c r="B28" s="0"/>
      <c r="C28" s="275" t="s">
        <v>218</v>
      </c>
      <c r="D28" s="276" t="n">
        <v>1.193</v>
      </c>
      <c r="E28" s="277" t="n">
        <v>1.194</v>
      </c>
      <c r="F28" s="0"/>
    </row>
    <row r="29" customFormat="false" ht="13.5" hidden="false" customHeight="false" outlineLevel="0" collapsed="false">
      <c r="B29" s="0"/>
      <c r="C29" s="0"/>
      <c r="D29" s="0"/>
      <c r="E29" s="0"/>
      <c r="F29" s="0"/>
    </row>
    <row r="30" customFormat="false" ht="12.75" hidden="false" customHeight="false" outlineLevel="0" collapsed="false">
      <c r="B30" s="263" t="s">
        <v>219</v>
      </c>
      <c r="C30" s="278" t="s">
        <v>220</v>
      </c>
      <c r="D30" s="0"/>
      <c r="E30" s="0"/>
      <c r="F30" s="0"/>
    </row>
    <row r="31" customFormat="false" ht="12.75" hidden="false" customHeight="true" outlineLevel="0" collapsed="false">
      <c r="B31" s="263"/>
      <c r="C31" s="278"/>
      <c r="D31" s="0"/>
      <c r="E31" s="0"/>
      <c r="F31" s="0"/>
    </row>
    <row r="32" customFormat="false" ht="13.5" hidden="false" customHeight="false" outlineLevel="0" collapsed="false">
      <c r="B32" s="0"/>
      <c r="C32" s="279" t="s">
        <v>221</v>
      </c>
      <c r="D32" s="280"/>
      <c r="E32" s="280"/>
      <c r="F32" s="281" t="str">
        <f aca="false">DEC2HEX(1,8)</f>
        <v>00000001</v>
      </c>
    </row>
    <row r="33" customFormat="false" ht="12.75" hidden="false" customHeight="false" outlineLevel="0" collapsed="false">
      <c r="B33" s="0"/>
      <c r="C33" s="282"/>
      <c r="D33" s="148"/>
      <c r="E33" s="148"/>
      <c r="F33" s="283"/>
    </row>
    <row r="34" customFormat="false" ht="12.75" hidden="false" customHeight="false" outlineLevel="0" collapsed="false">
      <c r="B34" s="263" t="s">
        <v>222</v>
      </c>
      <c r="C34" s="284" t="s">
        <v>223</v>
      </c>
      <c r="D34" s="284"/>
      <c r="E34" s="284"/>
      <c r="F34" s="0"/>
    </row>
    <row r="35" customFormat="false" ht="13.5" hidden="false" customHeight="false" outlineLevel="0" collapsed="false">
      <c r="B35" s="263"/>
      <c r="C35" s="284"/>
      <c r="D35" s="284"/>
      <c r="E35" s="284"/>
      <c r="F35" s="0"/>
    </row>
    <row r="36" customFormat="false" ht="12.75" hidden="false" customHeight="false" outlineLevel="0" collapsed="false">
      <c r="B36" s="0"/>
      <c r="C36" s="285" t="s">
        <v>224</v>
      </c>
      <c r="D36" s="286" t="str">
        <f aca="false">DEC2HEX((D$27-D$28)*$F$19*'Step1-System Details'!$E$20/1000/1000*256+128*'Invert Clock'!$E$18)</f>
        <v>81</v>
      </c>
      <c r="E36" s="286" t="str">
        <f aca="false">DEC2HEX((E$27-E$28)*$F$19*'Step1-System Details'!$E$20/1000/1000*256+128*'Invert Clock'!$E$18)</f>
        <v>81</v>
      </c>
      <c r="F36" s="0"/>
    </row>
    <row r="37" customFormat="false" ht="12.75" hidden="false" customHeight="false" outlineLevel="0" collapsed="false">
      <c r="B37" s="0"/>
      <c r="C37" s="287" t="s">
        <v>225</v>
      </c>
      <c r="D37" s="288" t="n">
        <v>40</v>
      </c>
      <c r="E37" s="289" t="n">
        <v>40</v>
      </c>
      <c r="F37" s="0"/>
    </row>
    <row r="38" customFormat="false" ht="13.5" hidden="false" customHeight="false" outlineLevel="0" collapsed="false">
      <c r="B38" s="0"/>
      <c r="C38" s="290" t="s">
        <v>226</v>
      </c>
      <c r="D38" s="291" t="str">
        <f aca="false">DEC2HEX((D$27+2*D$28)*$F$19*'Step1-System Details'!$E$20/1000/1000*256+HEX2DEC(80)*'Invert Clock'!$E$18+HEX2DEC(D$37))</f>
        <v>F3</v>
      </c>
      <c r="E38" s="291" t="str">
        <f aca="false">DEC2HEX((E$27+2*E$28)*$F$19*'Step1-System Details'!$E$20/1000/1000*256+HEX2DEC(80)*'Invert Clock'!$E$18+HEX2DEC(E$37))</f>
        <v>F3</v>
      </c>
      <c r="F38" s="0"/>
    </row>
    <row r="39" customFormat="false" ht="12.75" hidden="false" customHeight="false" outlineLevel="0" collapsed="false">
      <c r="B39" s="0"/>
      <c r="C39" s="292"/>
      <c r="D39" s="0"/>
      <c r="E39" s="0"/>
      <c r="F39" s="0"/>
    </row>
    <row r="40" customFormat="false" ht="12.75" hidden="false" customHeight="false" outlineLevel="0" collapsed="false">
      <c r="B40" s="263" t="s">
        <v>227</v>
      </c>
      <c r="C40" s="293" t="s">
        <v>228</v>
      </c>
      <c r="D40" s="293"/>
      <c r="E40" s="293"/>
      <c r="F40" s="0"/>
    </row>
    <row r="41" customFormat="false" ht="13.5" hidden="false" customHeight="false" outlineLevel="0" collapsed="false">
      <c r="B41" s="263"/>
      <c r="C41" s="293"/>
      <c r="D41" s="293"/>
      <c r="E41" s="293"/>
      <c r="F41" s="0"/>
    </row>
    <row r="42" customFormat="false" ht="12.75" hidden="false" customHeight="false" outlineLevel="0" collapsed="false">
      <c r="B42" s="0"/>
      <c r="C42" s="294" t="s">
        <v>229</v>
      </c>
      <c r="D42" s="294"/>
      <c r="E42" s="294"/>
      <c r="F42" s="295" t="str">
        <f aca="false">DEC2HEX((HEX2DEC(D37)+HEX2DEC(E37))/2,8)</f>
        <v>00000040</v>
      </c>
    </row>
    <row r="43" customFormat="false" ht="12.75" hidden="false" customHeight="false" outlineLevel="0" collapsed="false">
      <c r="B43" s="0"/>
      <c r="C43" s="296" t="s">
        <v>230</v>
      </c>
      <c r="D43" s="296"/>
      <c r="E43" s="296"/>
      <c r="F43" s="297" t="str">
        <f aca="false">DEC2HEX((HEX2DEC(D38)+HEX2DEC(E38))/2,8)</f>
        <v>000000F3</v>
      </c>
    </row>
    <row r="44" customFormat="false" ht="12.75" hidden="false" customHeight="false" outlineLevel="0" collapsed="false">
      <c r="B44" s="0"/>
      <c r="C44" s="296" t="s">
        <v>231</v>
      </c>
      <c r="D44" s="296"/>
      <c r="E44" s="296"/>
      <c r="F44" s="289" t="str">
        <f aca="false">DEC2HEX((HEX2DEC(D36)+HEX2DEC(E36))/2,8)</f>
        <v>00000081</v>
      </c>
    </row>
    <row r="45" customFormat="false" ht="13.5" hidden="false" customHeight="false" outlineLevel="0" collapsed="false">
      <c r="B45" s="0"/>
      <c r="C45" s="298" t="s">
        <v>232</v>
      </c>
      <c r="D45" s="299"/>
      <c r="E45" s="299"/>
      <c r="F45" s="300" t="str">
        <f aca="false">DEC2HEX(HEX2DEC(F44) + 64,8)</f>
        <v>000000C1</v>
      </c>
    </row>
    <row r="46" customFormat="false" ht="12.75" hidden="false" customHeight="false" outlineLevel="0" collapsed="false">
      <c r="B46" s="0"/>
      <c r="C46" s="301"/>
      <c r="D46" s="0"/>
      <c r="E46" s="0"/>
      <c r="F46" s="0"/>
    </row>
    <row r="47" customFormat="false" ht="12.75" hidden="false" customHeight="false" outlineLevel="0" collapsed="false">
      <c r="B47" s="263" t="s">
        <v>233</v>
      </c>
      <c r="C47" s="293" t="s">
        <v>234</v>
      </c>
      <c r="D47" s="293"/>
      <c r="E47" s="293"/>
      <c r="F47" s="0"/>
    </row>
    <row r="48" customFormat="false" ht="13.5" hidden="false" customHeight="false" outlineLevel="0" collapsed="false">
      <c r="B48" s="263"/>
      <c r="C48" s="293"/>
      <c r="D48" s="293"/>
      <c r="E48" s="293"/>
      <c r="F48" s="0"/>
    </row>
    <row r="49" customFormat="false" ht="13.5" hidden="false" customHeight="false" outlineLevel="0" collapsed="false">
      <c r="C49" s="302" t="s">
        <v>235</v>
      </c>
      <c r="D49" s="302"/>
      <c r="E49" s="302"/>
      <c r="F49" s="303" t="str">
        <f aca="false">DEC2HEX(IF('Invert Clock'!E18=1,256,128),8)</f>
        <v>00000100</v>
      </c>
    </row>
    <row r="50" customFormat="false" ht="12.75" hidden="false" customHeight="false" outlineLevel="0" collapsed="false">
      <c r="C50" s="0"/>
      <c r="D50" s="0"/>
    </row>
    <row r="51" customFormat="false" ht="12.75" hidden="false" customHeight="false" outlineLevel="0" collapsed="false">
      <c r="C51" s="0"/>
      <c r="D51" s="0"/>
    </row>
    <row r="52" customFormat="false" ht="12.75" hidden="false" customHeight="false" outlineLevel="0" collapsed="false">
      <c r="C52" s="0"/>
      <c r="D52" s="0"/>
    </row>
    <row r="53" customFormat="false" ht="12.75" hidden="false" customHeight="false" outlineLevel="0" collapsed="false">
      <c r="C53" s="0"/>
      <c r="D53" s="0"/>
    </row>
    <row r="54" customFormat="false" ht="12.75" hidden="false" customHeight="false" outlineLevel="0" collapsed="false">
      <c r="C54" s="0"/>
      <c r="D54" s="0"/>
    </row>
    <row r="55" customFormat="false" ht="12.75" hidden="false" customHeight="false" outlineLevel="0" collapsed="false">
      <c r="C55" s="0"/>
      <c r="D55" s="0"/>
    </row>
    <row r="56" customFormat="false" ht="12.75" hidden="false" customHeight="false" outlineLevel="0" collapsed="false">
      <c r="C56" s="0"/>
      <c r="D56" s="0"/>
    </row>
    <row r="57" customFormat="false" ht="12.75" hidden="false" customHeight="false" outlineLevel="0" collapsed="false">
      <c r="C57" s="0"/>
      <c r="D57" s="0"/>
    </row>
    <row r="58" customFormat="false" ht="12.75" hidden="false" customHeight="false" outlineLevel="0" collapsed="false">
      <c r="C58" s="0"/>
      <c r="D58" s="0"/>
    </row>
    <row r="59" customFormat="false" ht="12.75" hidden="false" customHeight="false" outlineLevel="0" collapsed="false">
      <c r="C59" s="0"/>
      <c r="D59" s="0"/>
    </row>
    <row r="60" customFormat="false" ht="12.75" hidden="false" customHeight="false" outlineLevel="0" collapsed="false">
      <c r="C60" s="0"/>
      <c r="D60" s="0"/>
    </row>
    <row r="61" customFormat="false" ht="12.75" hidden="false" customHeight="false" outlineLevel="0" collapsed="false">
      <c r="C61" s="0"/>
      <c r="D61" s="0"/>
    </row>
    <row r="62" customFormat="false" ht="12.75" hidden="false" customHeight="false" outlineLevel="0" collapsed="false">
      <c r="C62" s="0"/>
      <c r="D62" s="0"/>
    </row>
    <row r="63" customFormat="false" ht="12.75" hidden="false" customHeight="false" outlineLevel="0" collapsed="false">
      <c r="C63" s="0"/>
      <c r="D63" s="0"/>
    </row>
    <row r="64" customFormat="false" ht="12.75" hidden="false" customHeight="false" outlineLevel="0" collapsed="false">
      <c r="C64" s="0"/>
      <c r="D64" s="0"/>
    </row>
    <row r="65" customFormat="false" ht="12.75" hidden="false" customHeight="false" outlineLevel="0" collapsed="false">
      <c r="C65" s="0"/>
      <c r="D65" s="0"/>
    </row>
    <row r="66" customFormat="false" ht="12.75" hidden="false" customHeight="false" outlineLevel="0" collapsed="false">
      <c r="C66" s="0"/>
      <c r="D66" s="0"/>
    </row>
    <row r="67" customFormat="false" ht="12.75" hidden="false" customHeight="false" outlineLevel="0" collapsed="false">
      <c r="C67" s="0"/>
      <c r="D67" s="0"/>
    </row>
    <row r="68" customFormat="false" ht="12.75" hidden="false" customHeight="false" outlineLevel="0" collapsed="false">
      <c r="C68" s="0"/>
      <c r="D68" s="0"/>
    </row>
    <row r="69" customFormat="false" ht="12.75" hidden="false" customHeight="false" outlineLevel="0" collapsed="false">
      <c r="C69" s="0"/>
      <c r="D69" s="0"/>
    </row>
    <row r="70" customFormat="false" ht="12.75" hidden="false" customHeight="false" outlineLevel="0" collapsed="false">
      <c r="C70" s="0"/>
      <c r="D70" s="0"/>
    </row>
    <row r="71" customFormat="false" ht="12.75" hidden="false" customHeight="false" outlineLevel="0" collapsed="false">
      <c r="C71" s="0"/>
      <c r="D71" s="0"/>
    </row>
    <row r="72" customFormat="false" ht="12.75" hidden="false" customHeight="false" outlineLevel="0" collapsed="false">
      <c r="C72" s="0"/>
      <c r="D72" s="0"/>
    </row>
    <row r="73" customFormat="false" ht="12.75" hidden="false" customHeight="false" outlineLevel="0" collapsed="false">
      <c r="C73" s="0"/>
      <c r="D73" s="0"/>
    </row>
    <row r="74" customFormat="false" ht="12.75" hidden="false" customHeight="false" outlineLevel="0" collapsed="false">
      <c r="C74" s="0"/>
      <c r="D74" s="0"/>
    </row>
    <row r="75" customFormat="false" ht="12.75" hidden="false" customHeight="false" outlineLevel="0" collapsed="false">
      <c r="C75" s="0"/>
      <c r="D75" s="0"/>
    </row>
    <row r="76" customFormat="false" ht="12.75" hidden="false" customHeight="false" outlineLevel="0" collapsed="false">
      <c r="C76" s="0"/>
      <c r="D76" s="0"/>
    </row>
    <row r="77" customFormat="false" ht="12.75" hidden="false" customHeight="false" outlineLevel="0" collapsed="false">
      <c r="C77" s="0"/>
      <c r="D77" s="0"/>
    </row>
    <row r="78" customFormat="false" ht="12.75" hidden="false" customHeight="false" outlineLevel="0" collapsed="false">
      <c r="C78" s="0"/>
      <c r="D78" s="0"/>
    </row>
    <row r="79" customFormat="false" ht="12.75" hidden="false" customHeight="false" outlineLevel="0" collapsed="false">
      <c r="C79" s="0"/>
      <c r="D79" s="0"/>
    </row>
    <row r="80" customFormat="false" ht="12.75" hidden="false" customHeight="false" outlineLevel="0" collapsed="false">
      <c r="C80" s="0"/>
      <c r="D80" s="0"/>
    </row>
    <row r="81" customFormat="false" ht="12.75" hidden="false" customHeight="false" outlineLevel="0" collapsed="false">
      <c r="C81" s="0"/>
      <c r="D81" s="0"/>
    </row>
    <row r="82" customFormat="false" ht="12.75" hidden="false" customHeight="false" outlineLevel="0" collapsed="false">
      <c r="C82" s="0"/>
      <c r="D82" s="0"/>
    </row>
    <row r="83" customFormat="false" ht="12.75" hidden="false" customHeight="false" outlineLevel="0" collapsed="false">
      <c r="C83" s="0"/>
      <c r="D83" s="0"/>
    </row>
    <row r="84" customFormat="false" ht="12.75" hidden="false" customHeight="false" outlineLevel="0" collapsed="false">
      <c r="C84" s="0"/>
      <c r="D84" s="0"/>
    </row>
    <row r="85" customFormat="false" ht="12.75" hidden="false" customHeight="false" outlineLevel="0" collapsed="false">
      <c r="C85" s="0"/>
      <c r="D85" s="0"/>
    </row>
    <row r="86" customFormat="false" ht="12.75" hidden="false" customHeight="false" outlineLevel="0" collapsed="false">
      <c r="C86" s="0"/>
      <c r="D86" s="0"/>
    </row>
    <row r="87" customFormat="false" ht="12.75" hidden="false" customHeight="false" outlineLevel="0" collapsed="false">
      <c r="C87" s="0"/>
      <c r="D87" s="0"/>
    </row>
    <row r="88" customFormat="false" ht="12.75" hidden="false" customHeight="false" outlineLevel="0" collapsed="false">
      <c r="C88" s="0"/>
      <c r="D88" s="0"/>
    </row>
    <row r="89" customFormat="false" ht="12.75" hidden="false" customHeight="false" outlineLevel="0" collapsed="false">
      <c r="C89" s="0"/>
      <c r="D89" s="0"/>
    </row>
    <row r="90" customFormat="false" ht="12.75" hidden="false" customHeight="false" outlineLevel="0" collapsed="false">
      <c r="C90" s="0"/>
      <c r="D90" s="0"/>
    </row>
    <row r="91" customFormat="false" ht="12.75" hidden="false" customHeight="false" outlineLevel="0" collapsed="false">
      <c r="C91" s="0"/>
      <c r="D91" s="0"/>
    </row>
    <row r="92" customFormat="false" ht="12.75" hidden="false" customHeight="false" outlineLevel="0" collapsed="false">
      <c r="C92" s="0"/>
      <c r="D92" s="0"/>
    </row>
    <row r="93" customFormat="false" ht="12.75" hidden="false" customHeight="false" outlineLevel="0" collapsed="false">
      <c r="C93" s="0"/>
      <c r="D93" s="0"/>
    </row>
    <row r="94" customFormat="false" ht="12.75" hidden="false" customHeight="false" outlineLevel="0" collapsed="false">
      <c r="C94" s="0"/>
      <c r="D94" s="0"/>
    </row>
    <row r="95" customFormat="false" ht="12.75" hidden="false" customHeight="false" outlineLevel="0" collapsed="false">
      <c r="C95" s="0"/>
      <c r="D95" s="0"/>
    </row>
    <row r="96" customFormat="false" ht="12.75" hidden="false" customHeight="false" outlineLevel="0" collapsed="false">
      <c r="C96" s="0"/>
      <c r="D96" s="0"/>
    </row>
    <row r="97" customFormat="false" ht="12.75" hidden="false" customHeight="false" outlineLevel="0" collapsed="false">
      <c r="C97" s="0"/>
      <c r="D97" s="0"/>
    </row>
    <row r="98" customFormat="false" ht="12.75" hidden="false" customHeight="false" outlineLevel="0" collapsed="false">
      <c r="C98" s="0"/>
      <c r="D98" s="0"/>
    </row>
    <row r="99" customFormat="false" ht="12.75" hidden="false" customHeight="false" outlineLevel="0" collapsed="false">
      <c r="C99" s="0"/>
      <c r="D99" s="0"/>
    </row>
    <row r="100" customFormat="false" ht="12.75" hidden="false" customHeight="false" outlineLevel="0" collapsed="false">
      <c r="C100" s="0"/>
      <c r="D100" s="0"/>
    </row>
    <row r="101" customFormat="false" ht="12.75" hidden="false" customHeight="false" outlineLevel="0" collapsed="false">
      <c r="C101" s="0"/>
      <c r="D101" s="0"/>
    </row>
    <row r="102" customFormat="false" ht="12.75" hidden="false" customHeight="false" outlineLevel="0" collapsed="false">
      <c r="C102" s="0"/>
      <c r="D102" s="0"/>
    </row>
    <row r="103" customFormat="false" ht="12.75" hidden="false" customHeight="false" outlineLevel="0" collapsed="false">
      <c r="C103" s="0"/>
      <c r="D103" s="0"/>
    </row>
    <row r="104" customFormat="false" ht="12.75" hidden="false" customHeight="false" outlineLevel="0" collapsed="false">
      <c r="C104" s="0"/>
      <c r="D104" s="0"/>
    </row>
    <row r="105" customFormat="false" ht="12.75" hidden="false" customHeight="false" outlineLevel="0" collapsed="false">
      <c r="C105" s="0"/>
      <c r="D105" s="0"/>
    </row>
    <row r="106" customFormat="false" ht="12.75" hidden="false" customHeight="false" outlineLevel="0" collapsed="false">
      <c r="C106" s="0"/>
      <c r="D106" s="0"/>
    </row>
    <row r="107" customFormat="false" ht="12.75" hidden="false" customHeight="false" outlineLevel="0" collapsed="false">
      <c r="C107" s="0"/>
      <c r="D107" s="0"/>
    </row>
    <row r="108" customFormat="false" ht="12.75" hidden="false" customHeight="false" outlineLevel="0" collapsed="false">
      <c r="C108" s="0"/>
      <c r="D108" s="0"/>
    </row>
    <row r="109" customFormat="false" ht="12.75" hidden="false" customHeight="false" outlineLevel="0" collapsed="false">
      <c r="C109" s="0"/>
      <c r="D109" s="0"/>
    </row>
    <row r="110" customFormat="false" ht="12.75" hidden="false" customHeight="false" outlineLevel="0" collapsed="false">
      <c r="C110" s="0"/>
      <c r="D110" s="0"/>
    </row>
    <row r="111" customFormat="false" ht="12.75" hidden="false" customHeight="false" outlineLevel="0" collapsed="false">
      <c r="C111" s="0"/>
      <c r="D111" s="0"/>
    </row>
    <row r="112" customFormat="false" ht="12.75" hidden="false" customHeight="false" outlineLevel="0" collapsed="false">
      <c r="C112" s="0"/>
      <c r="D112" s="0"/>
    </row>
    <row r="113" customFormat="false" ht="12.75" hidden="false" customHeight="false" outlineLevel="0" collapsed="false">
      <c r="C113" s="0"/>
      <c r="D113" s="0"/>
    </row>
    <row r="114" customFormat="false" ht="12.75" hidden="false" customHeight="false" outlineLevel="0" collapsed="false">
      <c r="C114" s="0"/>
      <c r="D114" s="0"/>
    </row>
    <row r="115" customFormat="false" ht="12.75" hidden="false" customHeight="false" outlineLevel="0" collapsed="false">
      <c r="C115" s="0"/>
      <c r="D115" s="0"/>
    </row>
    <row r="116" customFormat="false" ht="12.75" hidden="false" customHeight="false" outlineLevel="0" collapsed="false">
      <c r="C116" s="0"/>
      <c r="D116" s="0"/>
    </row>
    <row r="117" customFormat="false" ht="12.75" hidden="false" customHeight="false" outlineLevel="0" collapsed="false">
      <c r="C117" s="0"/>
      <c r="D117" s="0"/>
    </row>
    <row r="118" customFormat="false" ht="12.75" hidden="false" customHeight="false" outlineLevel="0" collapsed="false">
      <c r="C118" s="0"/>
      <c r="D118" s="0"/>
    </row>
    <row r="119" customFormat="false" ht="12.75" hidden="false" customHeight="false" outlineLevel="0" collapsed="false">
      <c r="C119" s="0"/>
      <c r="D119" s="0"/>
    </row>
    <row r="120" customFormat="false" ht="12.75" hidden="false" customHeight="false" outlineLevel="0" collapsed="false">
      <c r="C120" s="0"/>
      <c r="D120" s="0"/>
    </row>
    <row r="121" customFormat="false" ht="12.75" hidden="false" customHeight="false" outlineLevel="0" collapsed="false">
      <c r="C121" s="0"/>
      <c r="D121" s="0"/>
    </row>
    <row r="122" customFormat="false" ht="12.75" hidden="false" customHeight="false" outlineLevel="0" collapsed="false">
      <c r="C122" s="0"/>
      <c r="D122" s="0"/>
    </row>
    <row r="123" customFormat="false" ht="12.75" hidden="false" customHeight="false" outlineLevel="0" collapsed="false">
      <c r="C123" s="0"/>
      <c r="D123" s="0"/>
    </row>
    <row r="124" customFormat="false" ht="12.75" hidden="false" customHeight="false" outlineLevel="0" collapsed="false">
      <c r="C124" s="0"/>
      <c r="D124" s="0"/>
    </row>
    <row r="125" customFormat="false" ht="12.75" hidden="false" customHeight="false" outlineLevel="0" collapsed="false">
      <c r="C125" s="0"/>
      <c r="D125" s="0"/>
    </row>
    <row r="126" customFormat="false" ht="12.75" hidden="false" customHeight="false" outlineLevel="0" collapsed="false">
      <c r="C126" s="0"/>
      <c r="D126" s="0"/>
    </row>
    <row r="127" customFormat="false" ht="12.75" hidden="false" customHeight="false" outlineLevel="0" collapsed="false">
      <c r="C127" s="0"/>
      <c r="D127" s="0"/>
    </row>
    <row r="128" customFormat="false" ht="12.75" hidden="false" customHeight="false" outlineLevel="0" collapsed="false">
      <c r="C128" s="0"/>
      <c r="D128" s="0"/>
    </row>
    <row r="129" customFormat="false" ht="12.75" hidden="false" customHeight="false" outlineLevel="0" collapsed="false">
      <c r="C129" s="0"/>
      <c r="D129" s="0"/>
    </row>
    <row r="130" customFormat="false" ht="12.75" hidden="false" customHeight="false" outlineLevel="0" collapsed="false">
      <c r="C130" s="0"/>
      <c r="D130" s="0"/>
    </row>
    <row r="131" customFormat="false" ht="12.75" hidden="false" customHeight="false" outlineLevel="0" collapsed="false">
      <c r="C131" s="0"/>
      <c r="D131" s="0"/>
    </row>
    <row r="132" customFormat="false" ht="12.75" hidden="false" customHeight="false" outlineLevel="0" collapsed="false">
      <c r="C132" s="0"/>
      <c r="D132" s="0"/>
    </row>
    <row r="133" customFormat="false" ht="12.75" hidden="false" customHeight="false" outlineLevel="0" collapsed="false">
      <c r="C133" s="0"/>
      <c r="D133" s="0"/>
    </row>
    <row r="134" customFormat="false" ht="12.75" hidden="false" customHeight="false" outlineLevel="0" collapsed="false">
      <c r="C134" s="0"/>
      <c r="D134" s="0"/>
    </row>
    <row r="135" customFormat="false" ht="12.75" hidden="false" customHeight="false" outlineLevel="0" collapsed="false">
      <c r="C135" s="0"/>
      <c r="D135" s="0"/>
    </row>
    <row r="136" customFormat="false" ht="12.75" hidden="false" customHeight="false" outlineLevel="0" collapsed="false">
      <c r="C136" s="0"/>
      <c r="D136" s="0"/>
    </row>
    <row r="137" customFormat="false" ht="12.75" hidden="false" customHeight="false" outlineLevel="0" collapsed="false">
      <c r="C137" s="0"/>
      <c r="D137" s="0"/>
    </row>
    <row r="138" customFormat="false" ht="12.75" hidden="false" customHeight="false" outlineLevel="0" collapsed="false">
      <c r="C138" s="0"/>
      <c r="D138" s="0"/>
    </row>
    <row r="139" customFormat="false" ht="12.75" hidden="false" customHeight="false" outlineLevel="0" collapsed="false">
      <c r="C139" s="0"/>
      <c r="D139" s="0"/>
    </row>
    <row r="140" customFormat="false" ht="12.75" hidden="false" customHeight="false" outlineLevel="0" collapsed="false">
      <c r="C140" s="0"/>
      <c r="D140" s="0"/>
    </row>
    <row r="141" customFormat="false" ht="12.75" hidden="false" customHeight="false" outlineLevel="0" collapsed="false">
      <c r="C141" s="0"/>
      <c r="D141" s="0"/>
    </row>
    <row r="142" customFormat="false" ht="12.75" hidden="false" customHeight="false" outlineLevel="0" collapsed="false">
      <c r="C142" s="0"/>
      <c r="D142" s="0"/>
    </row>
    <row r="143" customFormat="false" ht="12.75" hidden="false" customHeight="false" outlineLevel="0" collapsed="false">
      <c r="C143" s="0"/>
      <c r="D143" s="0"/>
    </row>
    <row r="144" customFormat="false" ht="12.75" hidden="false" customHeight="false" outlineLevel="0" collapsed="false">
      <c r="C144" s="0"/>
      <c r="D144" s="0"/>
    </row>
    <row r="145" customFormat="false" ht="12.75" hidden="false" customHeight="false" outlineLevel="0" collapsed="false">
      <c r="C145" s="0"/>
      <c r="D145" s="0"/>
    </row>
    <row r="146" customFormat="false" ht="12.75" hidden="false" customHeight="false" outlineLevel="0" collapsed="false">
      <c r="C146" s="0"/>
      <c r="D146" s="0"/>
    </row>
    <row r="147" customFormat="false" ht="12.75" hidden="false" customHeight="false" outlineLevel="0" collapsed="false">
      <c r="C147" s="0"/>
      <c r="D147" s="0"/>
    </row>
    <row r="148" customFormat="false" ht="12.75" hidden="false" customHeight="false" outlineLevel="0" collapsed="false">
      <c r="C148" s="0"/>
      <c r="D148" s="0"/>
    </row>
    <row r="149" customFormat="false" ht="12.75" hidden="false" customHeight="false" outlineLevel="0" collapsed="false">
      <c r="C149" s="0"/>
      <c r="D149" s="0"/>
    </row>
    <row r="150" customFormat="false" ht="12.75" hidden="false" customHeight="false" outlineLevel="0" collapsed="false">
      <c r="C150" s="0"/>
      <c r="D150" s="0"/>
    </row>
    <row r="151" customFormat="false" ht="12.75" hidden="false" customHeight="false" outlineLevel="0" collapsed="false">
      <c r="C151" s="0"/>
      <c r="D151" s="0"/>
    </row>
    <row r="152" customFormat="false" ht="12.75" hidden="false" customHeight="false" outlineLevel="0" collapsed="false">
      <c r="C152" s="0"/>
      <c r="D152" s="0"/>
    </row>
    <row r="153" customFormat="false" ht="12.75" hidden="false" customHeight="false" outlineLevel="0" collapsed="false">
      <c r="C153" s="0"/>
      <c r="D153" s="0"/>
    </row>
    <row r="154" customFormat="false" ht="12.75" hidden="false" customHeight="false" outlineLevel="0" collapsed="false">
      <c r="C154" s="0"/>
      <c r="D154" s="0"/>
    </row>
    <row r="155" customFormat="false" ht="12.75" hidden="false" customHeight="false" outlineLevel="0" collapsed="false">
      <c r="C155" s="0"/>
      <c r="D155" s="0"/>
    </row>
    <row r="156" customFormat="false" ht="12.75" hidden="false" customHeight="false" outlineLevel="0" collapsed="false">
      <c r="C156" s="0"/>
      <c r="D156" s="0"/>
    </row>
    <row r="157" customFormat="false" ht="12.75" hidden="false" customHeight="false" outlineLevel="0" collapsed="false">
      <c r="C157" s="0"/>
      <c r="D157" s="0"/>
    </row>
    <row r="158" customFormat="false" ht="12.75" hidden="false" customHeight="false" outlineLevel="0" collapsed="false">
      <c r="C158" s="0"/>
      <c r="D158" s="0"/>
    </row>
    <row r="159" customFormat="false" ht="12.75" hidden="false" customHeight="false" outlineLevel="0" collapsed="false">
      <c r="C159" s="0"/>
      <c r="D159" s="0"/>
    </row>
    <row r="160" customFormat="false" ht="12.75" hidden="false" customHeight="false" outlineLevel="0" collapsed="false">
      <c r="C160" s="0"/>
      <c r="D160" s="0"/>
    </row>
    <row r="161" customFormat="false" ht="12.75" hidden="false" customHeight="false" outlineLevel="0" collapsed="false">
      <c r="C161" s="0"/>
      <c r="D161" s="0"/>
    </row>
    <row r="162" customFormat="false" ht="12.75" hidden="false" customHeight="false" outlineLevel="0" collapsed="false">
      <c r="C162" s="0"/>
      <c r="D162" s="0"/>
    </row>
    <row r="163" customFormat="false" ht="12.75" hidden="false" customHeight="false" outlineLevel="0" collapsed="false">
      <c r="C163" s="0"/>
      <c r="D163" s="0"/>
    </row>
    <row r="164" customFormat="false" ht="12.75" hidden="false" customHeight="false" outlineLevel="0" collapsed="false">
      <c r="C164" s="0"/>
      <c r="D164" s="0"/>
    </row>
    <row r="165" customFormat="false" ht="12.75" hidden="false" customHeight="false" outlineLevel="0" collapsed="false">
      <c r="C165" s="0"/>
      <c r="D165" s="0"/>
    </row>
    <row r="166" customFormat="false" ht="12.75" hidden="false" customHeight="false" outlineLevel="0" collapsed="false">
      <c r="C166" s="0"/>
      <c r="D166" s="0"/>
    </row>
    <row r="167" customFormat="false" ht="12.75" hidden="false" customHeight="false" outlineLevel="0" collapsed="false">
      <c r="C167" s="0"/>
      <c r="D167" s="0"/>
    </row>
    <row r="168" customFormat="false" ht="12.75" hidden="false" customHeight="false" outlineLevel="0" collapsed="false">
      <c r="C168" s="0"/>
      <c r="D168" s="0"/>
    </row>
    <row r="169" customFormat="false" ht="12.75" hidden="false" customHeight="false" outlineLevel="0" collapsed="false">
      <c r="C169" s="0"/>
      <c r="D169" s="0"/>
    </row>
    <row r="170" customFormat="false" ht="12.75" hidden="false" customHeight="false" outlineLevel="0" collapsed="false">
      <c r="C170" s="0"/>
      <c r="D170" s="0"/>
    </row>
    <row r="171" customFormat="false" ht="12.75" hidden="false" customHeight="false" outlineLevel="0" collapsed="false">
      <c r="C171" s="0"/>
      <c r="D171" s="0"/>
    </row>
    <row r="172" customFormat="false" ht="12.75" hidden="false" customHeight="false" outlineLevel="0" collapsed="false">
      <c r="C172" s="0"/>
      <c r="D172" s="0"/>
    </row>
    <row r="173" customFormat="false" ht="12.75" hidden="false" customHeight="false" outlineLevel="0" collapsed="false">
      <c r="C173" s="0"/>
      <c r="D173" s="0"/>
    </row>
    <row r="174" customFormat="false" ht="12.75" hidden="false" customHeight="false" outlineLevel="0" collapsed="false">
      <c r="C174" s="0"/>
      <c r="D174" s="0"/>
    </row>
    <row r="175" customFormat="false" ht="12.75" hidden="false" customHeight="false" outlineLevel="0" collapsed="false">
      <c r="C175" s="0"/>
      <c r="D175" s="0"/>
    </row>
    <row r="176" customFormat="false" ht="12.75" hidden="false" customHeight="false" outlineLevel="0" collapsed="false">
      <c r="C176" s="0"/>
      <c r="D176" s="0"/>
    </row>
    <row r="177" customFormat="false" ht="12.75" hidden="false" customHeight="false" outlineLevel="0" collapsed="false">
      <c r="C177" s="0"/>
      <c r="D177" s="0"/>
    </row>
    <row r="178" customFormat="false" ht="12.75" hidden="false" customHeight="false" outlineLevel="0" collapsed="false">
      <c r="C178" s="0"/>
      <c r="D178" s="0"/>
    </row>
    <row r="179" customFormat="false" ht="12.75" hidden="false" customHeight="false" outlineLevel="0" collapsed="false">
      <c r="C179" s="0"/>
      <c r="D179" s="0"/>
    </row>
    <row r="180" customFormat="false" ht="12.75" hidden="false" customHeight="false" outlineLevel="0" collapsed="false">
      <c r="C180" s="0"/>
      <c r="D180" s="0"/>
    </row>
    <row r="181" customFormat="false" ht="12.75" hidden="false" customHeight="false" outlineLevel="0" collapsed="false">
      <c r="C181" s="0"/>
      <c r="D181" s="0"/>
    </row>
    <row r="182" customFormat="false" ht="12.75" hidden="false" customHeight="false" outlineLevel="0" collapsed="false">
      <c r="C182" s="0"/>
      <c r="D182" s="0"/>
    </row>
    <row r="183" customFormat="false" ht="12.75" hidden="false" customHeight="false" outlineLevel="0" collapsed="false">
      <c r="C183" s="0"/>
      <c r="D183" s="0"/>
    </row>
    <row r="184" customFormat="false" ht="12.75" hidden="false" customHeight="false" outlineLevel="0" collapsed="false">
      <c r="C184" s="0"/>
      <c r="D184" s="0"/>
    </row>
    <row r="185" customFormat="false" ht="12.75" hidden="false" customHeight="false" outlineLevel="0" collapsed="false">
      <c r="C185" s="0"/>
      <c r="D185" s="0"/>
    </row>
    <row r="186" customFormat="false" ht="12.75" hidden="false" customHeight="false" outlineLevel="0" collapsed="false">
      <c r="C186" s="0"/>
      <c r="D186" s="0"/>
    </row>
    <row r="187" customFormat="false" ht="12.75" hidden="false" customHeight="false" outlineLevel="0" collapsed="false">
      <c r="C187" s="0"/>
      <c r="D187" s="0"/>
    </row>
    <row r="188" customFormat="false" ht="12.75" hidden="false" customHeight="false" outlineLevel="0" collapsed="false">
      <c r="C188" s="0"/>
      <c r="D188" s="0"/>
    </row>
    <row r="189" customFormat="false" ht="12.75" hidden="false" customHeight="false" outlineLevel="0" collapsed="false">
      <c r="C189" s="0"/>
      <c r="D189" s="0"/>
    </row>
    <row r="190" customFormat="false" ht="12.75" hidden="false" customHeight="false" outlineLevel="0" collapsed="false">
      <c r="C190" s="0"/>
      <c r="D190" s="0"/>
    </row>
    <row r="191" customFormat="false" ht="12.75" hidden="false" customHeight="false" outlineLevel="0" collapsed="false">
      <c r="C191" s="0"/>
      <c r="D191" s="0"/>
    </row>
    <row r="192" customFormat="false" ht="12.75" hidden="false" customHeight="false" outlineLevel="0" collapsed="false">
      <c r="C192" s="0"/>
      <c r="D192" s="0"/>
    </row>
    <row r="193" customFormat="false" ht="12.75" hidden="false" customHeight="false" outlineLevel="0" collapsed="false">
      <c r="C193" s="0"/>
      <c r="D193" s="0"/>
    </row>
    <row r="194" customFormat="false" ht="12.75" hidden="false" customHeight="false" outlineLevel="0" collapsed="false">
      <c r="C194" s="0"/>
      <c r="D194" s="0"/>
    </row>
    <row r="195" customFormat="false" ht="12.75" hidden="false" customHeight="false" outlineLevel="0" collapsed="false">
      <c r="C195" s="0"/>
      <c r="D195" s="0"/>
    </row>
    <row r="196" customFormat="false" ht="12.75" hidden="false" customHeight="false" outlineLevel="0" collapsed="false">
      <c r="C196" s="0"/>
      <c r="D196" s="0"/>
    </row>
    <row r="197" customFormat="false" ht="12.75" hidden="false" customHeight="false" outlineLevel="0" collapsed="false">
      <c r="C197" s="0"/>
      <c r="D197" s="0"/>
    </row>
    <row r="198" customFormat="false" ht="12.75" hidden="false" customHeight="false" outlineLevel="0" collapsed="false">
      <c r="C198" s="0"/>
      <c r="D198" s="0"/>
    </row>
    <row r="199" customFormat="false" ht="12.75" hidden="false" customHeight="false" outlineLevel="0" collapsed="false">
      <c r="C199" s="0"/>
      <c r="D199" s="0"/>
    </row>
    <row r="200" customFormat="false" ht="12.75" hidden="false" customHeight="false" outlineLevel="0" collapsed="false">
      <c r="C200" s="0"/>
      <c r="D200" s="0"/>
    </row>
    <row r="201" customFormat="false" ht="12.75" hidden="false" customHeight="false" outlineLevel="0" collapsed="false">
      <c r="C201" s="0"/>
      <c r="D201" s="0"/>
    </row>
    <row r="202" customFormat="false" ht="12.75" hidden="false" customHeight="false" outlineLevel="0" collapsed="false">
      <c r="C202" s="0"/>
      <c r="D202" s="0"/>
    </row>
    <row r="203" customFormat="false" ht="12.75" hidden="false" customHeight="false" outlineLevel="0" collapsed="false">
      <c r="C203" s="0"/>
      <c r="D203" s="0"/>
    </row>
    <row r="204" customFormat="false" ht="12.75" hidden="false" customHeight="false" outlineLevel="0" collapsed="false">
      <c r="C204" s="0"/>
      <c r="D204" s="0"/>
    </row>
    <row r="205" customFormat="false" ht="12.75" hidden="false" customHeight="false" outlineLevel="0" collapsed="false">
      <c r="C205" s="0"/>
      <c r="D205" s="0"/>
    </row>
    <row r="206" customFormat="false" ht="12.75" hidden="false" customHeight="false" outlineLevel="0" collapsed="false">
      <c r="C206" s="0"/>
      <c r="D206" s="0"/>
    </row>
    <row r="207" customFormat="false" ht="12.75" hidden="false" customHeight="false" outlineLevel="0" collapsed="false">
      <c r="C207" s="0"/>
      <c r="D207" s="0"/>
    </row>
    <row r="208" customFormat="false" ht="12.75" hidden="false" customHeight="false" outlineLevel="0" collapsed="false">
      <c r="C208" s="0"/>
      <c r="D208" s="0"/>
    </row>
    <row r="209" customFormat="false" ht="12.75" hidden="false" customHeight="false" outlineLevel="0" collapsed="false">
      <c r="C209" s="0"/>
      <c r="D209" s="0"/>
    </row>
    <row r="210" customFormat="false" ht="12.75" hidden="false" customHeight="false" outlineLevel="0" collapsed="false">
      <c r="C210" s="0"/>
      <c r="D210" s="0"/>
    </row>
    <row r="211" customFormat="false" ht="12.75" hidden="false" customHeight="false" outlineLevel="0" collapsed="false">
      <c r="C211" s="0"/>
      <c r="D211" s="0"/>
    </row>
    <row r="212" customFormat="false" ht="12.75" hidden="false" customHeight="false" outlineLevel="0" collapsed="false">
      <c r="C212" s="0"/>
      <c r="D212" s="0"/>
    </row>
    <row r="213" customFormat="false" ht="12.75" hidden="false" customHeight="false" outlineLevel="0" collapsed="false">
      <c r="C213" s="0"/>
      <c r="D213" s="0"/>
    </row>
    <row r="214" customFormat="false" ht="12.75" hidden="false" customHeight="false" outlineLevel="0" collapsed="false">
      <c r="C214" s="0"/>
      <c r="D214" s="0"/>
    </row>
    <row r="215" customFormat="false" ht="12.75" hidden="false" customHeight="false" outlineLevel="0" collapsed="false">
      <c r="C215" s="0"/>
      <c r="D215" s="0"/>
    </row>
    <row r="216" customFormat="false" ht="12.75" hidden="false" customHeight="false" outlineLevel="0" collapsed="false">
      <c r="C216" s="0"/>
      <c r="D216" s="0"/>
    </row>
    <row r="217" customFormat="false" ht="12.75" hidden="false" customHeight="false" outlineLevel="0" collapsed="false">
      <c r="C217" s="0"/>
      <c r="D217" s="0"/>
    </row>
    <row r="218" customFormat="false" ht="12.75" hidden="false" customHeight="false" outlineLevel="0" collapsed="false">
      <c r="C218" s="0"/>
      <c r="D218" s="0"/>
    </row>
    <row r="219" customFormat="false" ht="12.75" hidden="false" customHeight="false" outlineLevel="0" collapsed="false">
      <c r="C219" s="0"/>
      <c r="D219" s="0"/>
    </row>
    <row r="220" customFormat="false" ht="12.75" hidden="false" customHeight="false" outlineLevel="0" collapsed="false">
      <c r="C220" s="0"/>
      <c r="D220" s="0"/>
    </row>
    <row r="221" customFormat="false" ht="12.75" hidden="false" customHeight="false" outlineLevel="0" collapsed="false">
      <c r="C221" s="0"/>
      <c r="D221" s="0"/>
    </row>
    <row r="222" customFormat="false" ht="12.75" hidden="false" customHeight="false" outlineLevel="0" collapsed="false">
      <c r="C222" s="0"/>
      <c r="D222" s="0"/>
    </row>
    <row r="223" customFormat="false" ht="12.75" hidden="false" customHeight="false" outlineLevel="0" collapsed="false">
      <c r="C223" s="0"/>
      <c r="D223" s="0"/>
    </row>
    <row r="224" customFormat="false" ht="12.75" hidden="false" customHeight="false" outlineLevel="0" collapsed="false">
      <c r="C224" s="0"/>
      <c r="D224" s="0"/>
    </row>
    <row r="225" customFormat="false" ht="12.75" hidden="false" customHeight="false" outlineLevel="0" collapsed="false">
      <c r="C225" s="0"/>
      <c r="D225" s="0"/>
    </row>
    <row r="226" customFormat="false" ht="12.75" hidden="false" customHeight="false" outlineLevel="0" collapsed="false">
      <c r="C226" s="0"/>
      <c r="D226" s="0"/>
    </row>
    <row r="227" customFormat="false" ht="12.75" hidden="false" customHeight="false" outlineLevel="0" collapsed="false">
      <c r="C227" s="0"/>
      <c r="D227" s="0"/>
    </row>
    <row r="228" customFormat="false" ht="12.75" hidden="false" customHeight="false" outlineLevel="0" collapsed="false">
      <c r="C228" s="0"/>
      <c r="D228" s="0"/>
    </row>
    <row r="229" customFormat="false" ht="12.75" hidden="false" customHeight="false" outlineLevel="0" collapsed="false">
      <c r="C229" s="0"/>
      <c r="D229" s="0"/>
    </row>
    <row r="230" customFormat="false" ht="12.75" hidden="false" customHeight="false" outlineLevel="0" collapsed="false">
      <c r="C230" s="0"/>
      <c r="D230" s="0"/>
    </row>
    <row r="231" customFormat="false" ht="12.75" hidden="false" customHeight="false" outlineLevel="0" collapsed="false">
      <c r="C231" s="0"/>
      <c r="D231" s="0"/>
    </row>
    <row r="232" customFormat="false" ht="12.75" hidden="false" customHeight="false" outlineLevel="0" collapsed="false">
      <c r="C232" s="0"/>
      <c r="D232" s="0"/>
    </row>
    <row r="233" customFormat="false" ht="12.75" hidden="false" customHeight="false" outlineLevel="0" collapsed="false">
      <c r="C233" s="0"/>
      <c r="D233" s="0"/>
    </row>
    <row r="234" customFormat="false" ht="12.75" hidden="false" customHeight="false" outlineLevel="0" collapsed="false">
      <c r="C234" s="0"/>
      <c r="D234" s="0"/>
    </row>
    <row r="235" customFormat="false" ht="12.75" hidden="false" customHeight="false" outlineLevel="0" collapsed="false">
      <c r="C235" s="0"/>
      <c r="D235" s="0"/>
    </row>
    <row r="236" customFormat="false" ht="12.75" hidden="false" customHeight="false" outlineLevel="0" collapsed="false">
      <c r="C236" s="0"/>
      <c r="D236" s="0"/>
    </row>
    <row r="237" customFormat="false" ht="12.75" hidden="false" customHeight="false" outlineLevel="0" collapsed="false">
      <c r="C237" s="0"/>
      <c r="D237" s="0"/>
    </row>
    <row r="238" customFormat="false" ht="12.75" hidden="false" customHeight="false" outlineLevel="0" collapsed="false">
      <c r="C238" s="0"/>
      <c r="D238" s="0"/>
    </row>
    <row r="239" customFormat="false" ht="12.75" hidden="false" customHeight="false" outlineLevel="0" collapsed="false">
      <c r="C239" s="0"/>
      <c r="D239" s="0"/>
    </row>
    <row r="240" customFormat="false" ht="12.75" hidden="false" customHeight="false" outlineLevel="0" collapsed="false">
      <c r="C240" s="0"/>
      <c r="D240" s="0"/>
    </row>
    <row r="241" customFormat="false" ht="12.75" hidden="false" customHeight="false" outlineLevel="0" collapsed="false">
      <c r="C241" s="0"/>
      <c r="D241" s="0"/>
    </row>
    <row r="242" customFormat="false" ht="12.75" hidden="false" customHeight="false" outlineLevel="0" collapsed="false">
      <c r="C242" s="0"/>
      <c r="D242" s="0"/>
    </row>
    <row r="243" customFormat="false" ht="12.75" hidden="false" customHeight="false" outlineLevel="0" collapsed="false">
      <c r="C243" s="0"/>
      <c r="D243" s="0"/>
    </row>
    <row r="244" customFormat="false" ht="12.75" hidden="false" customHeight="false" outlineLevel="0" collapsed="false">
      <c r="C244" s="0"/>
      <c r="D244" s="0"/>
    </row>
    <row r="245" customFormat="false" ht="12.75" hidden="false" customHeight="false" outlineLevel="0" collapsed="false">
      <c r="C245" s="0"/>
      <c r="D245" s="0"/>
    </row>
    <row r="246" customFormat="false" ht="12.75" hidden="false" customHeight="false" outlineLevel="0" collapsed="false">
      <c r="C246" s="0"/>
      <c r="D246" s="0"/>
    </row>
    <row r="247" customFormat="false" ht="12.75" hidden="false" customHeight="false" outlineLevel="0" collapsed="false">
      <c r="C247" s="0"/>
      <c r="D247" s="0"/>
    </row>
    <row r="248" customFormat="false" ht="12.75" hidden="false" customHeight="false" outlineLevel="0" collapsed="false">
      <c r="C248" s="0"/>
      <c r="D248" s="0"/>
    </row>
    <row r="249" customFormat="false" ht="12.75" hidden="false" customHeight="false" outlineLevel="0" collapsed="false">
      <c r="C249" s="0"/>
      <c r="D249" s="0"/>
    </row>
    <row r="250" customFormat="false" ht="12.75" hidden="false" customHeight="false" outlineLevel="0" collapsed="false">
      <c r="C250" s="0"/>
      <c r="D250" s="0"/>
    </row>
    <row r="251" customFormat="false" ht="12.75" hidden="false" customHeight="false" outlineLevel="0" collapsed="false">
      <c r="C251" s="0"/>
      <c r="D251" s="0"/>
    </row>
    <row r="252" customFormat="false" ht="12.75" hidden="false" customHeight="false" outlineLevel="0" collapsed="false">
      <c r="C252" s="0"/>
      <c r="D252" s="0"/>
    </row>
    <row r="253" customFormat="false" ht="12.75" hidden="false" customHeight="false" outlineLevel="0" collapsed="false">
      <c r="C253" s="0"/>
      <c r="D253" s="0"/>
    </row>
    <row r="254" customFormat="false" ht="12.75" hidden="false" customHeight="false" outlineLevel="0" collapsed="false">
      <c r="C254" s="0"/>
      <c r="D254" s="0"/>
    </row>
    <row r="255" customFormat="false" ht="12.75" hidden="false" customHeight="false" outlineLevel="0" collapsed="false">
      <c r="C255" s="0"/>
      <c r="D255" s="0"/>
    </row>
    <row r="256" customFormat="false" ht="12.75" hidden="false" customHeight="false" outlineLevel="0" collapsed="false">
      <c r="C256" s="0"/>
      <c r="D256" s="0"/>
    </row>
    <row r="257" customFormat="false" ht="12.75" hidden="false" customHeight="false" outlineLevel="0" collapsed="false">
      <c r="C257" s="0"/>
      <c r="D257" s="0"/>
    </row>
    <row r="258" customFormat="false" ht="12.75" hidden="false" customHeight="false" outlineLevel="0" collapsed="false">
      <c r="C258" s="0"/>
      <c r="D258" s="0"/>
    </row>
    <row r="259" customFormat="false" ht="12.75" hidden="false" customHeight="false" outlineLevel="0" collapsed="false">
      <c r="C259" s="0"/>
      <c r="D259" s="0"/>
    </row>
    <row r="260" customFormat="false" ht="12.75" hidden="false" customHeight="false" outlineLevel="0" collapsed="false">
      <c r="C260" s="0"/>
      <c r="D260" s="0"/>
    </row>
    <row r="261" customFormat="false" ht="12.75" hidden="false" customHeight="false" outlineLevel="0" collapsed="false">
      <c r="C261" s="0"/>
      <c r="D261" s="0"/>
    </row>
    <row r="262" customFormat="false" ht="12.75" hidden="false" customHeight="false" outlineLevel="0" collapsed="false">
      <c r="C262" s="0"/>
      <c r="D262" s="0"/>
    </row>
    <row r="263" customFormat="false" ht="12.75" hidden="false" customHeight="false" outlineLevel="0" collapsed="false">
      <c r="C263" s="0"/>
      <c r="D263" s="0"/>
    </row>
    <row r="264" customFormat="false" ht="12.75" hidden="false" customHeight="false" outlineLevel="0" collapsed="false">
      <c r="C264" s="0"/>
      <c r="D264" s="0"/>
    </row>
    <row r="265" customFormat="false" ht="12.75" hidden="false" customHeight="false" outlineLevel="0" collapsed="false">
      <c r="C265" s="0"/>
      <c r="D265" s="0"/>
    </row>
    <row r="266" customFormat="false" ht="12.75" hidden="false" customHeight="false" outlineLevel="0" collapsed="false">
      <c r="C266" s="0"/>
      <c r="D266" s="0"/>
    </row>
    <row r="267" customFormat="false" ht="12.75" hidden="false" customHeight="false" outlineLevel="0" collapsed="false">
      <c r="C267" s="0"/>
      <c r="D267" s="0"/>
    </row>
    <row r="268" customFormat="false" ht="12.75" hidden="false" customHeight="false" outlineLevel="0" collapsed="false">
      <c r="C268" s="0"/>
      <c r="D268" s="0"/>
    </row>
    <row r="269" customFormat="false" ht="12.75" hidden="false" customHeight="false" outlineLevel="0" collapsed="false">
      <c r="C269" s="0"/>
      <c r="D269" s="0"/>
    </row>
    <row r="270" customFormat="false" ht="12.75" hidden="false" customHeight="false" outlineLevel="0" collapsed="false">
      <c r="C270" s="0"/>
      <c r="D270" s="0"/>
    </row>
    <row r="271" customFormat="false" ht="12.75" hidden="false" customHeight="false" outlineLevel="0" collapsed="false">
      <c r="C271" s="0"/>
      <c r="D271" s="0"/>
    </row>
    <row r="272" customFormat="false" ht="12.75" hidden="false" customHeight="false" outlineLevel="0" collapsed="false">
      <c r="C272" s="0"/>
      <c r="D272" s="0"/>
    </row>
    <row r="273" customFormat="false" ht="12.75" hidden="false" customHeight="false" outlineLevel="0" collapsed="false">
      <c r="C273" s="0"/>
      <c r="D273" s="0"/>
    </row>
    <row r="274" customFormat="false" ht="12.75" hidden="false" customHeight="false" outlineLevel="0" collapsed="false">
      <c r="C274" s="0"/>
      <c r="D274" s="0"/>
    </row>
    <row r="275" customFormat="false" ht="12.75" hidden="false" customHeight="false" outlineLevel="0" collapsed="false">
      <c r="C275" s="0"/>
      <c r="D275" s="0"/>
    </row>
    <row r="276" customFormat="false" ht="12.75" hidden="false" customHeight="false" outlineLevel="0" collapsed="false">
      <c r="C276" s="0"/>
      <c r="D276" s="0"/>
    </row>
    <row r="277" customFormat="false" ht="12.75" hidden="false" customHeight="false" outlineLevel="0" collapsed="false">
      <c r="C277" s="0"/>
      <c r="D277" s="0"/>
    </row>
    <row r="278" customFormat="false" ht="12.75" hidden="false" customHeight="false" outlineLevel="0" collapsed="false">
      <c r="C278" s="0"/>
      <c r="D278" s="0"/>
    </row>
    <row r="279" customFormat="false" ht="12.75" hidden="false" customHeight="false" outlineLevel="0" collapsed="false">
      <c r="C279" s="0"/>
      <c r="D279" s="0"/>
    </row>
    <row r="280" customFormat="false" ht="12.75" hidden="false" customHeight="false" outlineLevel="0" collapsed="false">
      <c r="C280" s="0"/>
      <c r="D280" s="0"/>
    </row>
    <row r="281" customFormat="false" ht="12.75" hidden="false" customHeight="false" outlineLevel="0" collapsed="false">
      <c r="C281" s="0"/>
      <c r="D281" s="0"/>
    </row>
    <row r="282" customFormat="false" ht="12.75" hidden="false" customHeight="false" outlineLevel="0" collapsed="false">
      <c r="C282" s="0"/>
      <c r="D282" s="0"/>
    </row>
    <row r="283" customFormat="false" ht="12.75" hidden="false" customHeight="false" outlineLevel="0" collapsed="false">
      <c r="C283" s="0"/>
      <c r="D283" s="0"/>
    </row>
    <row r="284" customFormat="false" ht="12.75" hidden="false" customHeight="false" outlineLevel="0" collapsed="false">
      <c r="C284" s="0"/>
      <c r="D284" s="0"/>
    </row>
    <row r="285" customFormat="false" ht="12.75" hidden="false" customHeight="false" outlineLevel="0" collapsed="false">
      <c r="C285" s="0"/>
      <c r="D285" s="0"/>
    </row>
    <row r="286" customFormat="false" ht="12.75" hidden="false" customHeight="false" outlineLevel="0" collapsed="false">
      <c r="C286" s="0"/>
      <c r="D286" s="0"/>
    </row>
    <row r="287" customFormat="false" ht="12.75" hidden="false" customHeight="false" outlineLevel="0" collapsed="false">
      <c r="C287" s="0"/>
      <c r="D287" s="0"/>
    </row>
    <row r="288" customFormat="false" ht="12.75" hidden="false" customHeight="false" outlineLevel="0" collapsed="false">
      <c r="C288" s="0"/>
      <c r="D288" s="0"/>
    </row>
    <row r="289" customFormat="false" ht="12.75" hidden="false" customHeight="false" outlineLevel="0" collapsed="false">
      <c r="C289" s="0"/>
      <c r="D289" s="0"/>
    </row>
    <row r="290" customFormat="false" ht="12.75" hidden="false" customHeight="false" outlineLevel="0" collapsed="false">
      <c r="C290" s="0"/>
      <c r="D290" s="0"/>
    </row>
    <row r="291" customFormat="false" ht="12.75" hidden="false" customHeight="false" outlineLevel="0" collapsed="false">
      <c r="C291" s="0"/>
      <c r="D291" s="0"/>
    </row>
    <row r="292" customFormat="false" ht="12.75" hidden="false" customHeight="false" outlineLevel="0" collapsed="false">
      <c r="C292" s="0"/>
      <c r="D292" s="0"/>
    </row>
    <row r="293" customFormat="false" ht="12.75" hidden="false" customHeight="false" outlineLevel="0" collapsed="false">
      <c r="C293" s="0"/>
      <c r="D293" s="0"/>
    </row>
    <row r="294" customFormat="false" ht="12.75" hidden="false" customHeight="false" outlineLevel="0" collapsed="false">
      <c r="C294" s="0"/>
      <c r="D294" s="0"/>
    </row>
    <row r="295" customFormat="false" ht="12.75" hidden="false" customHeight="false" outlineLevel="0" collapsed="false">
      <c r="C295" s="0"/>
      <c r="D295" s="0"/>
    </row>
    <row r="296" customFormat="false" ht="12.75" hidden="false" customHeight="false" outlineLevel="0" collapsed="false">
      <c r="C296" s="0"/>
      <c r="D296" s="0"/>
    </row>
    <row r="297" customFormat="false" ht="12.75" hidden="false" customHeight="false" outlineLevel="0" collapsed="false">
      <c r="C297" s="0"/>
      <c r="D297" s="0"/>
    </row>
    <row r="298" customFormat="false" ht="12.75" hidden="false" customHeight="false" outlineLevel="0" collapsed="false">
      <c r="C298" s="0"/>
      <c r="D298" s="0"/>
    </row>
    <row r="299" customFormat="false" ht="12.75" hidden="false" customHeight="false" outlineLevel="0" collapsed="false">
      <c r="C299" s="0"/>
      <c r="D299" s="0"/>
    </row>
    <row r="300" customFormat="false" ht="12.75" hidden="false" customHeight="false" outlineLevel="0" collapsed="false">
      <c r="C300" s="0"/>
      <c r="D300" s="0"/>
    </row>
    <row r="301" customFormat="false" ht="12.75" hidden="false" customHeight="false" outlineLevel="0" collapsed="false">
      <c r="C301" s="0"/>
      <c r="D301" s="0"/>
    </row>
    <row r="302" customFormat="false" ht="12.75" hidden="false" customHeight="false" outlineLevel="0" collapsed="false">
      <c r="C302" s="0"/>
      <c r="D302" s="0"/>
    </row>
    <row r="303" customFormat="false" ht="12.75" hidden="false" customHeight="false" outlineLevel="0" collapsed="false">
      <c r="C303" s="0"/>
      <c r="D303" s="0"/>
    </row>
    <row r="304" customFormat="false" ht="12.75" hidden="false" customHeight="false" outlineLevel="0" collapsed="false">
      <c r="C304" s="0"/>
      <c r="D304" s="0"/>
    </row>
    <row r="305" customFormat="false" ht="12.75" hidden="false" customHeight="false" outlineLevel="0" collapsed="false">
      <c r="C305" s="0"/>
      <c r="D305" s="0"/>
    </row>
    <row r="306" customFormat="false" ht="12.75" hidden="false" customHeight="false" outlineLevel="0" collapsed="false">
      <c r="C306" s="0"/>
      <c r="D306" s="0"/>
    </row>
    <row r="307" customFormat="false" ht="12.75" hidden="false" customHeight="false" outlineLevel="0" collapsed="false">
      <c r="C307" s="0"/>
      <c r="D307" s="0"/>
    </row>
    <row r="308" customFormat="false" ht="12.75" hidden="false" customHeight="false" outlineLevel="0" collapsed="false">
      <c r="C308" s="0"/>
      <c r="D308" s="0"/>
    </row>
    <row r="309" customFormat="false" ht="12.75" hidden="false" customHeight="false" outlineLevel="0" collapsed="false">
      <c r="C309" s="0"/>
      <c r="D309" s="0"/>
    </row>
    <row r="310" customFormat="false" ht="12.75" hidden="false" customHeight="false" outlineLevel="0" collapsed="false">
      <c r="C310" s="0"/>
      <c r="D310" s="0"/>
    </row>
    <row r="311" customFormat="false" ht="12.75" hidden="false" customHeight="false" outlineLevel="0" collapsed="false">
      <c r="C311" s="0"/>
      <c r="D311" s="0"/>
    </row>
    <row r="312" customFormat="false" ht="12.75" hidden="false" customHeight="false" outlineLevel="0" collapsed="false">
      <c r="C312" s="0"/>
      <c r="D312" s="0"/>
    </row>
    <row r="313" customFormat="false" ht="12.75" hidden="false" customHeight="false" outlineLevel="0" collapsed="false">
      <c r="C313" s="0"/>
      <c r="D313" s="0"/>
    </row>
    <row r="314" customFormat="false" ht="12.75" hidden="false" customHeight="false" outlineLevel="0" collapsed="false">
      <c r="C314" s="0"/>
      <c r="D314" s="0"/>
    </row>
    <row r="315" customFormat="false" ht="12.75" hidden="false" customHeight="false" outlineLevel="0" collapsed="false">
      <c r="C315" s="0"/>
      <c r="D315" s="0"/>
    </row>
    <row r="316" customFormat="false" ht="12.75" hidden="false" customHeight="false" outlineLevel="0" collapsed="false">
      <c r="C316" s="0"/>
      <c r="D316" s="0"/>
    </row>
    <row r="317" customFormat="false" ht="12.75" hidden="false" customHeight="false" outlineLevel="0" collapsed="false">
      <c r="C317" s="0"/>
      <c r="D317" s="0"/>
    </row>
    <row r="318" customFormat="false" ht="12.75" hidden="false" customHeight="false" outlineLevel="0" collapsed="false">
      <c r="C318" s="0"/>
      <c r="D318" s="0"/>
    </row>
    <row r="319" customFormat="false" ht="12.75" hidden="false" customHeight="false" outlineLevel="0" collapsed="false">
      <c r="C319" s="0"/>
      <c r="D319" s="0"/>
    </row>
    <row r="320" customFormat="false" ht="12.75" hidden="false" customHeight="false" outlineLevel="0" collapsed="false">
      <c r="C320" s="0"/>
      <c r="D320" s="0"/>
    </row>
    <row r="321" customFormat="false" ht="12.75" hidden="false" customHeight="false" outlineLevel="0" collapsed="false">
      <c r="C321" s="0"/>
      <c r="D321" s="0"/>
    </row>
    <row r="322" customFormat="false" ht="12.75" hidden="false" customHeight="false" outlineLevel="0" collapsed="false">
      <c r="C322" s="0"/>
      <c r="D322" s="0"/>
    </row>
    <row r="323" customFormat="false" ht="12.75" hidden="false" customHeight="false" outlineLevel="0" collapsed="false">
      <c r="C323" s="0"/>
      <c r="D323" s="0"/>
    </row>
    <row r="324" customFormat="false" ht="12.75" hidden="false" customHeight="false" outlineLevel="0" collapsed="false">
      <c r="C324" s="0"/>
      <c r="D324" s="0"/>
    </row>
    <row r="325" customFormat="false" ht="12.75" hidden="false" customHeight="false" outlineLevel="0" collapsed="false">
      <c r="C325" s="0"/>
      <c r="D325" s="0"/>
    </row>
    <row r="326" customFormat="false" ht="12.75" hidden="false" customHeight="false" outlineLevel="0" collapsed="false">
      <c r="C326" s="0"/>
      <c r="D326" s="0"/>
    </row>
    <row r="327" customFormat="false" ht="12.75" hidden="false" customHeight="false" outlineLevel="0" collapsed="false">
      <c r="C327" s="0"/>
      <c r="D327" s="0"/>
    </row>
    <row r="328" customFormat="false" ht="12.75" hidden="false" customHeight="false" outlineLevel="0" collapsed="false">
      <c r="C328" s="0"/>
      <c r="D328" s="0"/>
    </row>
    <row r="329" customFormat="false" ht="12.75" hidden="false" customHeight="false" outlineLevel="0" collapsed="false">
      <c r="C329" s="0"/>
      <c r="D329" s="0"/>
    </row>
    <row r="330" customFormat="false" ht="12.75" hidden="false" customHeight="false" outlineLevel="0" collapsed="false">
      <c r="C330" s="0"/>
      <c r="D330" s="0"/>
    </row>
    <row r="331" customFormat="false" ht="12.75" hidden="false" customHeight="false" outlineLevel="0" collapsed="false">
      <c r="C331" s="0"/>
      <c r="D331" s="0"/>
    </row>
    <row r="332" customFormat="false" ht="12.75" hidden="false" customHeight="false" outlineLevel="0" collapsed="false">
      <c r="C332" s="0"/>
      <c r="D332" s="0"/>
    </row>
    <row r="333" customFormat="false" ht="12.75" hidden="false" customHeight="false" outlineLevel="0" collapsed="false">
      <c r="C333" s="0"/>
      <c r="D333" s="0"/>
    </row>
    <row r="334" customFormat="false" ht="12.75" hidden="false" customHeight="false" outlineLevel="0" collapsed="false">
      <c r="C334" s="0"/>
      <c r="D334" s="0"/>
    </row>
    <row r="335" customFormat="false" ht="12.75" hidden="false" customHeight="false" outlineLevel="0" collapsed="false">
      <c r="C335" s="0"/>
      <c r="D335" s="0"/>
    </row>
    <row r="336" customFormat="false" ht="12.75" hidden="false" customHeight="false" outlineLevel="0" collapsed="false">
      <c r="C336" s="0"/>
      <c r="D336" s="0"/>
    </row>
    <row r="337" customFormat="false" ht="12.75" hidden="false" customHeight="false" outlineLevel="0" collapsed="false">
      <c r="C337" s="0"/>
      <c r="D337" s="0"/>
    </row>
    <row r="338" customFormat="false" ht="12.75" hidden="false" customHeight="false" outlineLevel="0" collapsed="false">
      <c r="C338" s="0"/>
      <c r="D338" s="0"/>
    </row>
    <row r="339" customFormat="false" ht="12.75" hidden="false" customHeight="false" outlineLevel="0" collapsed="false">
      <c r="C339" s="0"/>
      <c r="D339" s="0"/>
    </row>
    <row r="340" customFormat="false" ht="12.75" hidden="false" customHeight="false" outlineLevel="0" collapsed="false">
      <c r="C340" s="0"/>
      <c r="D340" s="0"/>
    </row>
    <row r="341" customFormat="false" ht="12.75" hidden="false" customHeight="false" outlineLevel="0" collapsed="false">
      <c r="C341" s="0"/>
      <c r="D341" s="0"/>
    </row>
    <row r="342" customFormat="false" ht="12.75" hidden="false" customHeight="false" outlineLevel="0" collapsed="false">
      <c r="C342" s="0"/>
      <c r="D342" s="0"/>
    </row>
    <row r="343" customFormat="false" ht="12.75" hidden="false" customHeight="false" outlineLevel="0" collapsed="false">
      <c r="C343" s="0"/>
      <c r="D343" s="0"/>
    </row>
    <row r="344" customFormat="false" ht="12.75" hidden="false" customHeight="false" outlineLevel="0" collapsed="false">
      <c r="C344" s="0"/>
      <c r="D344" s="0"/>
    </row>
    <row r="345" customFormat="false" ht="12.75" hidden="false" customHeight="false" outlineLevel="0" collapsed="false">
      <c r="C345" s="0"/>
      <c r="D345" s="0"/>
    </row>
    <row r="346" customFormat="false" ht="12.75" hidden="false" customHeight="false" outlineLevel="0" collapsed="false">
      <c r="C346" s="0"/>
      <c r="D346" s="0"/>
    </row>
    <row r="347" customFormat="false" ht="12.75" hidden="false" customHeight="false" outlineLevel="0" collapsed="false">
      <c r="C347" s="0"/>
      <c r="D347" s="0"/>
    </row>
    <row r="348" customFormat="false" ht="12.75" hidden="false" customHeight="false" outlineLevel="0" collapsed="false">
      <c r="C348" s="0"/>
      <c r="D348" s="0"/>
    </row>
    <row r="349" customFormat="false" ht="12.75" hidden="false" customHeight="false" outlineLevel="0" collapsed="false">
      <c r="C349" s="0"/>
      <c r="D349" s="0"/>
    </row>
    <row r="350" customFormat="false" ht="12.75" hidden="false" customHeight="false" outlineLevel="0" collapsed="false">
      <c r="C350" s="0"/>
      <c r="D350" s="0"/>
    </row>
    <row r="351" customFormat="false" ht="12.75" hidden="false" customHeight="false" outlineLevel="0" collapsed="false">
      <c r="C351" s="0"/>
      <c r="D351" s="0"/>
    </row>
    <row r="352" customFormat="false" ht="12.75" hidden="false" customHeight="false" outlineLevel="0" collapsed="false">
      <c r="C352" s="0"/>
      <c r="D352" s="0"/>
    </row>
    <row r="353" customFormat="false" ht="12.75" hidden="false" customHeight="false" outlineLevel="0" collapsed="false">
      <c r="C353" s="0"/>
      <c r="D353" s="0"/>
    </row>
    <row r="354" customFormat="false" ht="12.75" hidden="false" customHeight="false" outlineLevel="0" collapsed="false">
      <c r="C354" s="0"/>
      <c r="D354" s="0"/>
    </row>
    <row r="355" customFormat="false" ht="12.75" hidden="false" customHeight="false" outlineLevel="0" collapsed="false">
      <c r="C355" s="0"/>
      <c r="D355" s="0"/>
    </row>
    <row r="356" customFormat="false" ht="12.75" hidden="false" customHeight="false" outlineLevel="0" collapsed="false">
      <c r="C356" s="0"/>
      <c r="D356" s="0"/>
    </row>
    <row r="357" customFormat="false" ht="12.75" hidden="false" customHeight="false" outlineLevel="0" collapsed="false">
      <c r="C357" s="0"/>
      <c r="D357" s="0"/>
    </row>
    <row r="358" customFormat="false" ht="12.75" hidden="false" customHeight="false" outlineLevel="0" collapsed="false">
      <c r="C358" s="0"/>
      <c r="D358" s="0"/>
    </row>
    <row r="359" customFormat="false" ht="12.75" hidden="false" customHeight="false" outlineLevel="0" collapsed="false">
      <c r="C359" s="0"/>
      <c r="D359" s="0"/>
    </row>
    <row r="360" customFormat="false" ht="12.75" hidden="false" customHeight="false" outlineLevel="0" collapsed="false">
      <c r="C360" s="0"/>
      <c r="D360" s="0"/>
    </row>
    <row r="361" customFormat="false" ht="12.75" hidden="false" customHeight="false" outlineLevel="0" collapsed="false">
      <c r="C361" s="0"/>
      <c r="D361" s="0"/>
    </row>
    <row r="362" customFormat="false" ht="12.75" hidden="false" customHeight="false" outlineLevel="0" collapsed="false">
      <c r="C362" s="0"/>
      <c r="D362" s="0"/>
    </row>
    <row r="363" customFormat="false" ht="12.75" hidden="false" customHeight="false" outlineLevel="0" collapsed="false">
      <c r="C363" s="0"/>
      <c r="D363" s="0"/>
    </row>
    <row r="364" customFormat="false" ht="12.75" hidden="false" customHeight="false" outlineLevel="0" collapsed="false">
      <c r="C364" s="0"/>
      <c r="D364" s="0"/>
    </row>
    <row r="365" customFormat="false" ht="12.75" hidden="false" customHeight="false" outlineLevel="0" collapsed="false">
      <c r="C365" s="0"/>
      <c r="D365" s="0"/>
    </row>
    <row r="366" customFormat="false" ht="12.75" hidden="false" customHeight="false" outlineLevel="0" collapsed="false">
      <c r="C366" s="0"/>
      <c r="D366" s="0"/>
    </row>
    <row r="367" customFormat="false" ht="12.75" hidden="false" customHeight="false" outlineLevel="0" collapsed="false">
      <c r="C367" s="0"/>
      <c r="D367" s="0"/>
    </row>
    <row r="368" customFormat="false" ht="12.75" hidden="false" customHeight="false" outlineLevel="0" collapsed="false">
      <c r="C368" s="0"/>
      <c r="D368" s="0"/>
    </row>
    <row r="369" customFormat="false" ht="12.75" hidden="false" customHeight="false" outlineLevel="0" collapsed="false">
      <c r="C369" s="0"/>
      <c r="D369" s="0"/>
    </row>
    <row r="370" customFormat="false" ht="12.75" hidden="false" customHeight="false" outlineLevel="0" collapsed="false">
      <c r="C370" s="0"/>
      <c r="D370" s="0"/>
    </row>
    <row r="371" customFormat="false" ht="12.75" hidden="false" customHeight="false" outlineLevel="0" collapsed="false">
      <c r="C371" s="0"/>
      <c r="D371" s="0"/>
    </row>
    <row r="372" customFormat="false" ht="12.75" hidden="false" customHeight="false" outlineLevel="0" collapsed="false">
      <c r="C372" s="0"/>
      <c r="D372" s="0"/>
    </row>
    <row r="373" customFormat="false" ht="12.75" hidden="false" customHeight="false" outlineLevel="0" collapsed="false">
      <c r="C373" s="0"/>
      <c r="D373" s="0"/>
    </row>
    <row r="374" customFormat="false" ht="12.75" hidden="false" customHeight="false" outlineLevel="0" collapsed="false">
      <c r="C374" s="0"/>
      <c r="D374" s="0"/>
    </row>
    <row r="375" customFormat="false" ht="12.75" hidden="false" customHeight="false" outlineLevel="0" collapsed="false">
      <c r="C375" s="0"/>
      <c r="D375" s="0"/>
    </row>
    <row r="376" customFormat="false" ht="12.75" hidden="false" customHeight="false" outlineLevel="0" collapsed="false">
      <c r="C376" s="0"/>
      <c r="D376" s="0"/>
    </row>
    <row r="377" customFormat="false" ht="12.75" hidden="false" customHeight="false" outlineLevel="0" collapsed="false">
      <c r="C377" s="0"/>
      <c r="D377" s="0"/>
    </row>
    <row r="378" customFormat="false" ht="12.75" hidden="false" customHeight="false" outlineLevel="0" collapsed="false">
      <c r="C378" s="0"/>
      <c r="D378" s="0"/>
    </row>
    <row r="379" customFormat="false" ht="12.75" hidden="false" customHeight="false" outlineLevel="0" collapsed="false">
      <c r="C379" s="0"/>
      <c r="D379" s="0"/>
    </row>
    <row r="380" customFormat="false" ht="12.75" hidden="false" customHeight="false" outlineLevel="0" collapsed="false">
      <c r="C380" s="0"/>
      <c r="D380" s="0"/>
    </row>
    <row r="381" customFormat="false" ht="12.75" hidden="false" customHeight="false" outlineLevel="0" collapsed="false">
      <c r="C381" s="0"/>
      <c r="D381" s="0"/>
    </row>
    <row r="382" customFormat="false" ht="12.75" hidden="false" customHeight="false" outlineLevel="0" collapsed="false">
      <c r="C382" s="0"/>
      <c r="D382" s="0"/>
    </row>
    <row r="383" customFormat="false" ht="12.75" hidden="false" customHeight="false" outlineLevel="0" collapsed="false">
      <c r="C383" s="0"/>
      <c r="D383" s="0"/>
    </row>
    <row r="384" customFormat="false" ht="12.75" hidden="false" customHeight="false" outlineLevel="0" collapsed="false">
      <c r="C384" s="0"/>
      <c r="D384" s="0"/>
    </row>
    <row r="385" customFormat="false" ht="12.75" hidden="false" customHeight="false" outlineLevel="0" collapsed="false">
      <c r="C385" s="0"/>
      <c r="D385" s="0"/>
    </row>
    <row r="386" customFormat="false" ht="12.75" hidden="false" customHeight="false" outlineLevel="0" collapsed="false">
      <c r="C386" s="0"/>
      <c r="D386" s="0"/>
    </row>
    <row r="387" customFormat="false" ht="12.75" hidden="false" customHeight="false" outlineLevel="0" collapsed="false">
      <c r="C387" s="0"/>
      <c r="D387" s="0"/>
    </row>
    <row r="388" customFormat="false" ht="12.75" hidden="false" customHeight="false" outlineLevel="0" collapsed="false">
      <c r="C388" s="0"/>
      <c r="D388" s="0"/>
    </row>
    <row r="389" customFormat="false" ht="12.75" hidden="false" customHeight="false" outlineLevel="0" collapsed="false">
      <c r="C389" s="0"/>
      <c r="D389" s="0"/>
    </row>
    <row r="390" customFormat="false" ht="12.75" hidden="false" customHeight="false" outlineLevel="0" collapsed="false">
      <c r="C390" s="0"/>
      <c r="D390" s="0"/>
    </row>
    <row r="391" customFormat="false" ht="12.75" hidden="false" customHeight="false" outlineLevel="0" collapsed="false">
      <c r="C391" s="0"/>
      <c r="D391" s="0"/>
    </row>
    <row r="392" customFormat="false" ht="12.75" hidden="false" customHeight="false" outlineLevel="0" collapsed="false">
      <c r="C392" s="0"/>
      <c r="D392" s="0"/>
    </row>
    <row r="393" customFormat="false" ht="12.75" hidden="false" customHeight="false" outlineLevel="0" collapsed="false">
      <c r="C393" s="0"/>
      <c r="D393" s="0"/>
    </row>
    <row r="394" customFormat="false" ht="12.75" hidden="false" customHeight="false" outlineLevel="0" collapsed="false">
      <c r="C394" s="0"/>
      <c r="D394" s="0"/>
    </row>
    <row r="395" customFormat="false" ht="12.75" hidden="false" customHeight="false" outlineLevel="0" collapsed="false">
      <c r="C395" s="0"/>
      <c r="D395" s="0"/>
    </row>
    <row r="396" customFormat="false" ht="12.75" hidden="false" customHeight="false" outlineLevel="0" collapsed="false">
      <c r="C396" s="0"/>
      <c r="D396" s="0"/>
    </row>
    <row r="397" customFormat="false" ht="12.75" hidden="false" customHeight="false" outlineLevel="0" collapsed="false">
      <c r="C397" s="0"/>
      <c r="D397" s="0"/>
    </row>
    <row r="398" customFormat="false" ht="12.75" hidden="false" customHeight="false" outlineLevel="0" collapsed="false">
      <c r="C398" s="0"/>
      <c r="D398" s="0"/>
    </row>
    <row r="399" customFormat="false" ht="12.75" hidden="false" customHeight="false" outlineLevel="0" collapsed="false">
      <c r="C399" s="0"/>
      <c r="D399" s="0"/>
    </row>
    <row r="400" customFormat="false" ht="12.75" hidden="false" customHeight="false" outlineLevel="0" collapsed="false">
      <c r="C400" s="0"/>
      <c r="D400" s="0"/>
    </row>
    <row r="401" customFormat="false" ht="12.75" hidden="false" customHeight="false" outlineLevel="0" collapsed="false">
      <c r="C401" s="0"/>
      <c r="D401" s="0"/>
    </row>
    <row r="402" customFormat="false" ht="12.75" hidden="false" customHeight="false" outlineLevel="0" collapsed="false">
      <c r="C402" s="0"/>
      <c r="D402" s="0"/>
    </row>
    <row r="403" customFormat="false" ht="12.75" hidden="false" customHeight="false" outlineLevel="0" collapsed="false">
      <c r="C403" s="0"/>
      <c r="D403" s="0"/>
    </row>
    <row r="404" customFormat="false" ht="12.75" hidden="false" customHeight="false" outlineLevel="0" collapsed="false">
      <c r="C404" s="0"/>
      <c r="D404" s="0"/>
    </row>
    <row r="405" customFormat="false" ht="12.75" hidden="false" customHeight="false" outlineLevel="0" collapsed="false">
      <c r="C405" s="0"/>
      <c r="D405" s="0"/>
    </row>
    <row r="406" customFormat="false" ht="12.75" hidden="false" customHeight="false" outlineLevel="0" collapsed="false">
      <c r="C406" s="0"/>
      <c r="D406" s="0"/>
    </row>
    <row r="407" customFormat="false" ht="12.75" hidden="false" customHeight="false" outlineLevel="0" collapsed="false">
      <c r="C407" s="0"/>
      <c r="D407" s="0"/>
    </row>
    <row r="408" customFormat="false" ht="12.75" hidden="false" customHeight="false" outlineLevel="0" collapsed="false">
      <c r="C408" s="0"/>
      <c r="D408" s="0"/>
    </row>
    <row r="409" customFormat="false" ht="12.75" hidden="false" customHeight="false" outlineLevel="0" collapsed="false">
      <c r="C409" s="0"/>
      <c r="D409" s="0"/>
    </row>
    <row r="410" customFormat="false" ht="12.75" hidden="false" customHeight="false" outlineLevel="0" collapsed="false">
      <c r="C410" s="0"/>
      <c r="D410" s="0"/>
    </row>
    <row r="411" customFormat="false" ht="12.75" hidden="false" customHeight="false" outlineLevel="0" collapsed="false">
      <c r="C411" s="0"/>
      <c r="D411" s="0"/>
    </row>
    <row r="412" customFormat="false" ht="12.75" hidden="false" customHeight="false" outlineLevel="0" collapsed="false">
      <c r="C412" s="0"/>
      <c r="D412" s="0"/>
    </row>
    <row r="413" customFormat="false" ht="12.75" hidden="false" customHeight="false" outlineLevel="0" collapsed="false">
      <c r="C413" s="0"/>
      <c r="D413" s="0"/>
    </row>
    <row r="414" customFormat="false" ht="12.75" hidden="false" customHeight="false" outlineLevel="0" collapsed="false">
      <c r="C414" s="0"/>
      <c r="D414" s="0"/>
    </row>
    <row r="415" customFormat="false" ht="12.75" hidden="false" customHeight="false" outlineLevel="0" collapsed="false">
      <c r="C415" s="0"/>
      <c r="D415" s="0"/>
    </row>
    <row r="416" customFormat="false" ht="12.75" hidden="false" customHeight="false" outlineLevel="0" collapsed="false">
      <c r="C416" s="0"/>
      <c r="D416" s="0"/>
    </row>
    <row r="417" customFormat="false" ht="12.75" hidden="false" customHeight="false" outlineLevel="0" collapsed="false">
      <c r="C417" s="0"/>
      <c r="D417" s="0"/>
    </row>
    <row r="418" customFormat="false" ht="12.75" hidden="false" customHeight="false" outlineLevel="0" collapsed="false">
      <c r="C418" s="0"/>
      <c r="D418" s="0"/>
    </row>
    <row r="419" customFormat="false" ht="12.75" hidden="false" customHeight="false" outlineLevel="0" collapsed="false">
      <c r="C419" s="0"/>
      <c r="D419" s="0"/>
    </row>
    <row r="420" customFormat="false" ht="12.75" hidden="false" customHeight="false" outlineLevel="0" collapsed="false">
      <c r="C420" s="0"/>
      <c r="D420" s="0"/>
    </row>
    <row r="421" customFormat="false" ht="12.75" hidden="false" customHeight="false" outlineLevel="0" collapsed="false">
      <c r="C421" s="0"/>
      <c r="D421" s="0"/>
    </row>
    <row r="422" customFormat="false" ht="12.75" hidden="false" customHeight="false" outlineLevel="0" collapsed="false">
      <c r="C422" s="0"/>
      <c r="D422" s="0"/>
    </row>
    <row r="423" customFormat="false" ht="12.75" hidden="false" customHeight="false" outlineLevel="0" collapsed="false">
      <c r="C423" s="0"/>
      <c r="D423" s="0"/>
    </row>
    <row r="424" customFormat="false" ht="12.75" hidden="false" customHeight="false" outlineLevel="0" collapsed="false">
      <c r="C424" s="0"/>
      <c r="D424" s="0"/>
    </row>
    <row r="425" customFormat="false" ht="12.75" hidden="false" customHeight="false" outlineLevel="0" collapsed="false">
      <c r="C425" s="0"/>
      <c r="D425" s="0"/>
    </row>
    <row r="426" customFormat="false" ht="12.75" hidden="false" customHeight="false" outlineLevel="0" collapsed="false">
      <c r="C426" s="0"/>
      <c r="D426" s="0"/>
    </row>
    <row r="427" customFormat="false" ht="12.75" hidden="false" customHeight="false" outlineLevel="0" collapsed="false">
      <c r="C427" s="0"/>
      <c r="D427" s="0"/>
    </row>
    <row r="428" customFormat="false" ht="12.75" hidden="false" customHeight="false" outlineLevel="0" collapsed="false">
      <c r="C428" s="0"/>
      <c r="D428" s="0"/>
    </row>
    <row r="429" customFormat="false" ht="12.75" hidden="false" customHeight="false" outlineLevel="0" collapsed="false">
      <c r="C429" s="0"/>
      <c r="D429" s="0"/>
    </row>
    <row r="430" customFormat="false" ht="12.75" hidden="false" customHeight="false" outlineLevel="0" collapsed="false">
      <c r="C430" s="0"/>
      <c r="D430" s="0"/>
    </row>
    <row r="431" customFormat="false" ht="12.75" hidden="false" customHeight="false" outlineLevel="0" collapsed="false">
      <c r="C431" s="0"/>
      <c r="D431" s="0"/>
    </row>
    <row r="432" customFormat="false" ht="12.75" hidden="false" customHeight="false" outlineLevel="0" collapsed="false">
      <c r="C432" s="0"/>
      <c r="D432" s="0"/>
    </row>
    <row r="433" customFormat="false" ht="12.75" hidden="false" customHeight="false" outlineLevel="0" collapsed="false">
      <c r="C433" s="0"/>
      <c r="D433" s="0"/>
    </row>
    <row r="434" customFormat="false" ht="12.75" hidden="false" customHeight="false" outlineLevel="0" collapsed="false">
      <c r="C434" s="0"/>
      <c r="D434" s="0"/>
    </row>
    <row r="435" customFormat="false" ht="12.75" hidden="false" customHeight="false" outlineLevel="0" collapsed="false">
      <c r="C435" s="0"/>
      <c r="D435" s="0"/>
    </row>
    <row r="436" customFormat="false" ht="12.75" hidden="false" customHeight="false" outlineLevel="0" collapsed="false">
      <c r="C436" s="0"/>
      <c r="D436" s="0"/>
    </row>
    <row r="437" customFormat="false" ht="12.75" hidden="false" customHeight="false" outlineLevel="0" collapsed="false">
      <c r="C437" s="0"/>
      <c r="D437" s="0"/>
    </row>
    <row r="438" customFormat="false" ht="12.75" hidden="false" customHeight="false" outlineLevel="0" collapsed="false">
      <c r="C438" s="0"/>
      <c r="D438" s="0"/>
    </row>
    <row r="439" customFormat="false" ht="12.75" hidden="false" customHeight="false" outlineLevel="0" collapsed="false">
      <c r="C439" s="0"/>
      <c r="D439" s="0"/>
    </row>
    <row r="440" customFormat="false" ht="12.75" hidden="false" customHeight="false" outlineLevel="0" collapsed="false">
      <c r="C440" s="0"/>
      <c r="D440" s="0"/>
    </row>
    <row r="441" customFormat="false" ht="12.75" hidden="false" customHeight="false" outlineLevel="0" collapsed="false">
      <c r="C441" s="0"/>
      <c r="D441" s="0"/>
    </row>
    <row r="442" customFormat="false" ht="12.75" hidden="false" customHeight="false" outlineLevel="0" collapsed="false">
      <c r="C442" s="0"/>
      <c r="D442" s="0"/>
    </row>
    <row r="443" customFormat="false" ht="12.75" hidden="false" customHeight="false" outlineLevel="0" collapsed="false">
      <c r="C443" s="0"/>
      <c r="D443" s="0"/>
    </row>
    <row r="444" customFormat="false" ht="12.75" hidden="false" customHeight="false" outlineLevel="0" collapsed="false">
      <c r="C444" s="0"/>
      <c r="D444" s="0"/>
    </row>
    <row r="445" customFormat="false" ht="12.75" hidden="false" customHeight="false" outlineLevel="0" collapsed="false">
      <c r="C445" s="0"/>
      <c r="D445" s="0"/>
    </row>
    <row r="446" customFormat="false" ht="12.75" hidden="false" customHeight="false" outlineLevel="0" collapsed="false">
      <c r="C446" s="0"/>
      <c r="D446" s="0"/>
    </row>
    <row r="447" customFormat="false" ht="12.75" hidden="false" customHeight="false" outlineLevel="0" collapsed="false">
      <c r="C447" s="0"/>
      <c r="D447" s="0"/>
    </row>
    <row r="448" customFormat="false" ht="12.75" hidden="false" customHeight="false" outlineLevel="0" collapsed="false">
      <c r="C448" s="0"/>
      <c r="D448" s="0"/>
    </row>
    <row r="449" customFormat="false" ht="12.75" hidden="false" customHeight="false" outlineLevel="0" collapsed="false">
      <c r="C449" s="0"/>
      <c r="D449" s="0"/>
    </row>
    <row r="450" customFormat="false" ht="12.75" hidden="false" customHeight="false" outlineLevel="0" collapsed="false">
      <c r="C450" s="0"/>
      <c r="D450" s="0"/>
    </row>
    <row r="451" customFormat="false" ht="12.75" hidden="false" customHeight="false" outlineLevel="0" collapsed="false">
      <c r="C451" s="0"/>
      <c r="D451" s="0"/>
    </row>
    <row r="452" customFormat="false" ht="12.75" hidden="false" customHeight="false" outlineLevel="0" collapsed="false">
      <c r="C452" s="0"/>
      <c r="D452" s="0"/>
    </row>
    <row r="453" customFormat="false" ht="12.75" hidden="false" customHeight="false" outlineLevel="0" collapsed="false">
      <c r="C453" s="0"/>
      <c r="D453" s="0"/>
    </row>
    <row r="454" customFormat="false" ht="12.75" hidden="false" customHeight="false" outlineLevel="0" collapsed="false">
      <c r="C454" s="0"/>
      <c r="D454" s="0"/>
    </row>
    <row r="455" customFormat="false" ht="12.75" hidden="false" customHeight="false" outlineLevel="0" collapsed="false">
      <c r="C455" s="0"/>
      <c r="D455" s="0"/>
    </row>
    <row r="456" customFormat="false" ht="12.75" hidden="false" customHeight="false" outlineLevel="0" collapsed="false">
      <c r="C456" s="0"/>
      <c r="D456" s="0"/>
    </row>
    <row r="457" customFormat="false" ht="12.75" hidden="false" customHeight="false" outlineLevel="0" collapsed="false">
      <c r="C457" s="0"/>
      <c r="D457" s="0"/>
    </row>
    <row r="458" customFormat="false" ht="12.75" hidden="false" customHeight="false" outlineLevel="0" collapsed="false">
      <c r="C458" s="0"/>
      <c r="D458" s="0"/>
    </row>
    <row r="459" customFormat="false" ht="12.75" hidden="false" customHeight="false" outlineLevel="0" collapsed="false">
      <c r="C459" s="0"/>
      <c r="D459" s="0"/>
    </row>
    <row r="460" customFormat="false" ht="12.75" hidden="false" customHeight="false" outlineLevel="0" collapsed="false">
      <c r="C460" s="0"/>
      <c r="D460" s="0"/>
    </row>
    <row r="461" customFormat="false" ht="12.75" hidden="false" customHeight="false" outlineLevel="0" collapsed="false">
      <c r="C461" s="0"/>
      <c r="D461" s="0"/>
    </row>
    <row r="462" customFormat="false" ht="12.75" hidden="false" customHeight="false" outlineLevel="0" collapsed="false">
      <c r="C462" s="0"/>
      <c r="D462" s="0"/>
    </row>
    <row r="463" customFormat="false" ht="12.75" hidden="false" customHeight="false" outlineLevel="0" collapsed="false">
      <c r="C463" s="0"/>
      <c r="D463" s="0"/>
    </row>
    <row r="464" customFormat="false" ht="12.75" hidden="false" customHeight="false" outlineLevel="0" collapsed="false">
      <c r="C464" s="0"/>
      <c r="D464" s="0"/>
    </row>
    <row r="465" customFormat="false" ht="12.75" hidden="false" customHeight="false" outlineLevel="0" collapsed="false">
      <c r="C465" s="0"/>
      <c r="D465" s="0"/>
    </row>
    <row r="466" customFormat="false" ht="12.75" hidden="false" customHeight="false" outlineLevel="0" collapsed="false">
      <c r="C466" s="0"/>
      <c r="D466" s="0"/>
    </row>
    <row r="467" customFormat="false" ht="12.75" hidden="false" customHeight="false" outlineLevel="0" collapsed="false">
      <c r="C467" s="0"/>
      <c r="D467" s="0"/>
    </row>
    <row r="468" customFormat="false" ht="12.75" hidden="false" customHeight="false" outlineLevel="0" collapsed="false">
      <c r="C468" s="0"/>
      <c r="D468" s="0"/>
    </row>
    <row r="469" customFormat="false" ht="12.75" hidden="false" customHeight="false" outlineLevel="0" collapsed="false">
      <c r="C469" s="0"/>
      <c r="D469" s="0"/>
    </row>
    <row r="470" customFormat="false" ht="12.75" hidden="false" customHeight="false" outlineLevel="0" collapsed="false">
      <c r="C470" s="0"/>
      <c r="D470" s="0"/>
    </row>
    <row r="471" customFormat="false" ht="12.75" hidden="false" customHeight="false" outlineLevel="0" collapsed="false">
      <c r="C471" s="0"/>
      <c r="D471" s="0"/>
    </row>
    <row r="472" customFormat="false" ht="12.75" hidden="false" customHeight="false" outlineLevel="0" collapsed="false">
      <c r="C472" s="0"/>
      <c r="D472" s="0"/>
    </row>
    <row r="473" customFormat="false" ht="12.75" hidden="false" customHeight="false" outlineLevel="0" collapsed="false">
      <c r="C473" s="0"/>
      <c r="D473" s="0"/>
    </row>
    <row r="474" customFormat="false" ht="12.75" hidden="false" customHeight="false" outlineLevel="0" collapsed="false">
      <c r="C474" s="0"/>
      <c r="D474" s="0"/>
    </row>
    <row r="475" customFormat="false" ht="12.75" hidden="false" customHeight="false" outlineLevel="0" collapsed="false">
      <c r="C475" s="0"/>
      <c r="D475" s="0"/>
    </row>
    <row r="476" customFormat="false" ht="12.75" hidden="false" customHeight="false" outlineLevel="0" collapsed="false">
      <c r="C476" s="0"/>
      <c r="D476" s="0"/>
    </row>
    <row r="477" customFormat="false" ht="12.75" hidden="false" customHeight="false" outlineLevel="0" collapsed="false">
      <c r="C477" s="0"/>
      <c r="D477" s="0"/>
    </row>
    <row r="478" customFormat="false" ht="12.75" hidden="false" customHeight="false" outlineLevel="0" collapsed="false">
      <c r="C478" s="0"/>
      <c r="D478" s="0"/>
    </row>
    <row r="479" customFormat="false" ht="12.75" hidden="false" customHeight="false" outlineLevel="0" collapsed="false">
      <c r="C479" s="0"/>
      <c r="D479" s="0"/>
    </row>
    <row r="480" customFormat="false" ht="12.75" hidden="false" customHeight="false" outlineLevel="0" collapsed="false">
      <c r="C480" s="0"/>
      <c r="D480" s="0"/>
    </row>
    <row r="481" customFormat="false" ht="12.75" hidden="false" customHeight="false" outlineLevel="0" collapsed="false">
      <c r="C481" s="0"/>
      <c r="D481" s="0"/>
    </row>
    <row r="482" customFormat="false" ht="12.75" hidden="false" customHeight="false" outlineLevel="0" collapsed="false">
      <c r="C482" s="0"/>
      <c r="D482" s="0"/>
    </row>
    <row r="483" customFormat="false" ht="12.75" hidden="false" customHeight="false" outlineLevel="0" collapsed="false">
      <c r="C483" s="0"/>
      <c r="D483" s="0"/>
    </row>
    <row r="484" customFormat="false" ht="12.75" hidden="false" customHeight="false" outlineLevel="0" collapsed="false">
      <c r="C484" s="0"/>
      <c r="D484" s="0"/>
    </row>
    <row r="485" customFormat="false" ht="12.75" hidden="false" customHeight="false" outlineLevel="0" collapsed="false">
      <c r="C485" s="0"/>
      <c r="D485" s="0"/>
    </row>
    <row r="486" customFormat="false" ht="12.75" hidden="false" customHeight="false" outlineLevel="0" collapsed="false">
      <c r="C486" s="0"/>
      <c r="D486" s="0"/>
    </row>
    <row r="487" customFormat="false" ht="12.75" hidden="false" customHeight="false" outlineLevel="0" collapsed="false">
      <c r="C487" s="0"/>
      <c r="D487" s="0"/>
    </row>
    <row r="488" customFormat="false" ht="12.75" hidden="false" customHeight="false" outlineLevel="0" collapsed="false">
      <c r="C488" s="0"/>
      <c r="D488" s="0"/>
    </row>
    <row r="489" customFormat="false" ht="12.75" hidden="false" customHeight="false" outlineLevel="0" collapsed="false">
      <c r="C489" s="0"/>
      <c r="D489" s="0"/>
    </row>
    <row r="490" customFormat="false" ht="12.75" hidden="false" customHeight="false" outlineLevel="0" collapsed="false">
      <c r="C490" s="0"/>
      <c r="D490" s="0"/>
    </row>
    <row r="491" customFormat="false" ht="12.75" hidden="false" customHeight="false" outlineLevel="0" collapsed="false">
      <c r="C491" s="0"/>
      <c r="D491" s="0"/>
    </row>
    <row r="492" customFormat="false" ht="12.75" hidden="false" customHeight="false" outlineLevel="0" collapsed="false">
      <c r="C492" s="0"/>
      <c r="D492" s="0"/>
    </row>
    <row r="493" customFormat="false" ht="12.75" hidden="false" customHeight="false" outlineLevel="0" collapsed="false">
      <c r="C493" s="0"/>
      <c r="D493" s="0"/>
    </row>
    <row r="494" customFormat="false" ht="12.75" hidden="false" customHeight="false" outlineLevel="0" collapsed="false">
      <c r="C494" s="0"/>
      <c r="D494" s="0"/>
    </row>
    <row r="495" customFormat="false" ht="12.75" hidden="false" customHeight="false" outlineLevel="0" collapsed="false">
      <c r="C495" s="0"/>
      <c r="D495" s="0"/>
    </row>
    <row r="496" customFormat="false" ht="12.75" hidden="false" customHeight="false" outlineLevel="0" collapsed="false">
      <c r="C496" s="0"/>
      <c r="D496" s="0"/>
    </row>
    <row r="497" customFormat="false" ht="12.75" hidden="false" customHeight="false" outlineLevel="0" collapsed="false">
      <c r="C497" s="0"/>
      <c r="D497" s="0"/>
    </row>
    <row r="498" customFormat="false" ht="12.75" hidden="false" customHeight="false" outlineLevel="0" collapsed="false">
      <c r="C498" s="0"/>
      <c r="D498" s="0"/>
    </row>
    <row r="499" customFormat="false" ht="12.75" hidden="false" customHeight="false" outlineLevel="0" collapsed="false">
      <c r="C499" s="0"/>
      <c r="D499" s="0"/>
    </row>
    <row r="500" customFormat="false" ht="12.75" hidden="false" customHeight="false" outlineLevel="0" collapsed="false">
      <c r="C500" s="0"/>
      <c r="D500" s="0"/>
    </row>
    <row r="501" customFormat="false" ht="12.75" hidden="false" customHeight="false" outlineLevel="0" collapsed="false">
      <c r="C501" s="0"/>
      <c r="D501" s="0"/>
    </row>
    <row r="502" customFormat="false" ht="12.75" hidden="false" customHeight="false" outlineLevel="0" collapsed="false">
      <c r="C502" s="0"/>
      <c r="D502" s="0"/>
    </row>
    <row r="503" customFormat="false" ht="12.75" hidden="false" customHeight="false" outlineLevel="0" collapsed="false">
      <c r="C503" s="0"/>
      <c r="D503" s="0"/>
    </row>
    <row r="504" customFormat="false" ht="12.75" hidden="false" customHeight="false" outlineLevel="0" collapsed="false">
      <c r="C504" s="0"/>
      <c r="D504" s="0"/>
    </row>
    <row r="505" customFormat="false" ht="12.75" hidden="false" customHeight="false" outlineLevel="0" collapsed="false">
      <c r="C505" s="0"/>
      <c r="D505" s="0"/>
    </row>
    <row r="506" customFormat="false" ht="12.75" hidden="false" customHeight="false" outlineLevel="0" collapsed="false">
      <c r="C506" s="0"/>
      <c r="D506" s="0"/>
    </row>
    <row r="507" customFormat="false" ht="12.75" hidden="false" customHeight="false" outlineLevel="0" collapsed="false">
      <c r="C507" s="0"/>
      <c r="D507" s="0"/>
    </row>
    <row r="508" customFormat="false" ht="12.75" hidden="false" customHeight="false" outlineLevel="0" collapsed="false">
      <c r="C508" s="0"/>
      <c r="D508" s="0"/>
    </row>
    <row r="509" customFormat="false" ht="12.75" hidden="false" customHeight="false" outlineLevel="0" collapsed="false">
      <c r="C509" s="0"/>
      <c r="D509" s="0"/>
    </row>
    <row r="510" customFormat="false" ht="12.75" hidden="false" customHeight="false" outlineLevel="0" collapsed="false">
      <c r="C510" s="0"/>
      <c r="D510" s="0"/>
    </row>
    <row r="511" customFormat="false" ht="12.75" hidden="false" customHeight="false" outlineLevel="0" collapsed="false">
      <c r="C511" s="0"/>
      <c r="D511" s="0"/>
    </row>
    <row r="512" customFormat="false" ht="12.75" hidden="false" customHeight="false" outlineLevel="0" collapsed="false">
      <c r="C512" s="0"/>
      <c r="D512" s="0"/>
    </row>
    <row r="513" customFormat="false" ht="12.75" hidden="false" customHeight="false" outlineLevel="0" collapsed="false">
      <c r="C513" s="0"/>
      <c r="D513" s="0"/>
    </row>
    <row r="514" customFormat="false" ht="12.75" hidden="false" customHeight="false" outlineLevel="0" collapsed="false">
      <c r="C514" s="0"/>
      <c r="D514" s="0"/>
    </row>
    <row r="515" customFormat="false" ht="12.75" hidden="false" customHeight="false" outlineLevel="0" collapsed="false">
      <c r="C515" s="0"/>
      <c r="D515" s="0"/>
    </row>
    <row r="516" customFormat="false" ht="12.75" hidden="false" customHeight="false" outlineLevel="0" collapsed="false">
      <c r="C516" s="0"/>
      <c r="D516" s="0"/>
    </row>
    <row r="517" customFormat="false" ht="12.75" hidden="false" customHeight="false" outlineLevel="0" collapsed="false">
      <c r="C517" s="0"/>
      <c r="D517" s="0"/>
    </row>
    <row r="518" customFormat="false" ht="12.75" hidden="false" customHeight="false" outlineLevel="0" collapsed="false">
      <c r="C518" s="0"/>
      <c r="D518" s="0"/>
    </row>
    <row r="519" customFormat="false" ht="12.75" hidden="false" customHeight="false" outlineLevel="0" collapsed="false">
      <c r="C519" s="0"/>
      <c r="D519" s="0"/>
    </row>
    <row r="520" customFormat="false" ht="12.75" hidden="false" customHeight="false" outlineLevel="0" collapsed="false">
      <c r="C520" s="0"/>
      <c r="D520" s="0"/>
    </row>
    <row r="521" customFormat="false" ht="12.75" hidden="false" customHeight="false" outlineLevel="0" collapsed="false">
      <c r="C521" s="0"/>
      <c r="D521" s="0"/>
    </row>
    <row r="522" customFormat="false" ht="12.75" hidden="false" customHeight="false" outlineLevel="0" collapsed="false">
      <c r="C522" s="0"/>
      <c r="D522" s="0"/>
    </row>
    <row r="523" customFormat="false" ht="12.75" hidden="false" customHeight="false" outlineLevel="0" collapsed="false">
      <c r="C523" s="0"/>
      <c r="D523" s="0"/>
    </row>
    <row r="524" customFormat="false" ht="12.75" hidden="false" customHeight="false" outlineLevel="0" collapsed="false">
      <c r="C524" s="0"/>
      <c r="D524" s="0"/>
    </row>
    <row r="525" customFormat="false" ht="12.75" hidden="false" customHeight="false" outlineLevel="0" collapsed="false">
      <c r="C525" s="0"/>
      <c r="D525" s="0"/>
    </row>
    <row r="526" customFormat="false" ht="12.75" hidden="false" customHeight="false" outlineLevel="0" collapsed="false">
      <c r="C526" s="0"/>
      <c r="D526" s="0"/>
    </row>
    <row r="527" customFormat="false" ht="12.75" hidden="false" customHeight="false" outlineLevel="0" collapsed="false">
      <c r="C527" s="0"/>
      <c r="D527" s="0"/>
    </row>
    <row r="528" customFormat="false" ht="12.75" hidden="false" customHeight="false" outlineLevel="0" collapsed="false">
      <c r="C528" s="0"/>
      <c r="D528" s="0"/>
    </row>
    <row r="529" customFormat="false" ht="12.75" hidden="true" customHeight="false" outlineLevel="0" collapsed="false">
      <c r="C529" s="158" t="s">
        <v>236</v>
      </c>
      <c r="D529" s="158" t="s">
        <v>237</v>
      </c>
    </row>
    <row r="530" customFormat="false" ht="12.75" hidden="true" customHeight="false" outlineLevel="0" collapsed="false">
      <c r="C530" s="158" t="s">
        <v>238</v>
      </c>
      <c r="D530" s="158" t="n">
        <v>400</v>
      </c>
    </row>
    <row r="531" customFormat="false" ht="12.75" hidden="true" customHeight="false" outlineLevel="0" collapsed="false">
      <c r="C531" s="158" t="s">
        <v>239</v>
      </c>
      <c r="D531" s="158" t="n">
        <v>533</v>
      </c>
    </row>
    <row r="532" customFormat="false" ht="12.75" hidden="true" customHeight="false" outlineLevel="0" collapsed="false">
      <c r="C532" s="158" t="s">
        <v>240</v>
      </c>
      <c r="D532" s="158" t="n">
        <v>667</v>
      </c>
    </row>
    <row r="533" customFormat="false" ht="12.75" hidden="true" customHeight="false" outlineLevel="0" collapsed="false">
      <c r="C533" s="158" t="s">
        <v>241</v>
      </c>
      <c r="D533" s="158" t="n">
        <v>800</v>
      </c>
    </row>
  </sheetData>
  <sheetProtection sheet="true" password="d9ff" objects="true" scenarios="true"/>
  <mergeCells count="26">
    <mergeCell ref="B2:R2"/>
    <mergeCell ref="B3:R3"/>
    <mergeCell ref="B4:R6"/>
    <mergeCell ref="B7:R8"/>
    <mergeCell ref="B16:B17"/>
    <mergeCell ref="C16:G17"/>
    <mergeCell ref="D18:E18"/>
    <mergeCell ref="D19:E19"/>
    <mergeCell ref="J19:P19"/>
    <mergeCell ref="B21:B22"/>
    <mergeCell ref="C21:K22"/>
    <mergeCell ref="C23:E24"/>
    <mergeCell ref="C25:C26"/>
    <mergeCell ref="D25:E25"/>
    <mergeCell ref="B30:B31"/>
    <mergeCell ref="C30:C31"/>
    <mergeCell ref="B34:B35"/>
    <mergeCell ref="C34:E35"/>
    <mergeCell ref="B40:B41"/>
    <mergeCell ref="C40:E41"/>
    <mergeCell ref="C42:E42"/>
    <mergeCell ref="C43:E43"/>
    <mergeCell ref="C44:E44"/>
    <mergeCell ref="B47:B48"/>
    <mergeCell ref="C47:E48"/>
    <mergeCell ref="C49:E49"/>
  </mergeCells>
  <conditionalFormatting sqref="G27">
    <cfRule type="containsText" priority="2" aboveAverage="0" equalAverage="0" bottom="0" percent="0" rank="0" text="ERROR - Invalid clock length(s)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49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C17" activeCellId="0" sqref="C17"/>
    </sheetView>
  </sheetViews>
  <sheetFormatPr defaultRowHeight="12.75"/>
  <cols>
    <col collapsed="false" hidden="false" max="1" min="1" style="155" width="2.85204081632653"/>
    <col collapsed="false" hidden="false" max="2" min="2" style="155" width="31.7040816326531"/>
    <col collapsed="false" hidden="false" max="3" min="3" style="155" width="17.7091836734694"/>
    <col collapsed="false" hidden="false" max="5" min="4" style="155" width="16.5663265306122"/>
    <col collapsed="false" hidden="false" max="6" min="6" style="155" width="15.4234693877551"/>
    <col collapsed="false" hidden="false" max="7" min="7" style="155" width="16.8571428571429"/>
    <col collapsed="false" hidden="false" max="8" min="8" style="155" width="15.4234693877551"/>
    <col collapsed="false" hidden="false" max="9" min="9" style="155" width="15.8571428571429"/>
    <col collapsed="false" hidden="false" max="10" min="10" style="155" width="9.14285714285714"/>
    <col collapsed="false" hidden="true" max="14" min="11" style="155" width="0"/>
    <col collapsed="false" hidden="false" max="28" min="15" style="155" width="9.14285714285714"/>
    <col collapsed="false" hidden="false" max="29" min="29" style="155" width="4.57142857142857"/>
    <col collapsed="false" hidden="false" max="1025" min="30" style="155" width="9.14285714285714"/>
  </cols>
  <sheetData>
    <row r="1" s="122" customFormat="true" ht="12.75" hidden="false" customHeight="true" outlineLevel="0" collapsed="false">
      <c r="A1" s="223"/>
      <c r="B1" s="217"/>
      <c r="C1" s="217"/>
      <c r="D1" s="217"/>
      <c r="E1" s="217"/>
      <c r="F1" s="217"/>
      <c r="G1" s="304"/>
      <c r="H1" s="304"/>
      <c r="I1" s="217"/>
      <c r="J1" s="217"/>
    </row>
    <row r="2" customFormat="false" ht="12.75" hidden="false" customHeight="true" outlineLevel="0" collapsed="false">
      <c r="A2" s="223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true" outlineLevel="0" collapsed="false">
      <c r="A3" s="223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true" outlineLevel="0" collapsed="false">
      <c r="A4" s="223"/>
      <c r="B4" s="306" t="s">
        <v>242</v>
      </c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223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true" outlineLevel="0" collapsed="false">
      <c r="A6" s="223"/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223"/>
      <c r="B7" s="307" t="s">
        <v>19</v>
      </c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223"/>
      <c r="B8" s="307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true" outlineLevel="0" collapsed="false">
      <c r="A9" s="223"/>
      <c r="B9" s="308"/>
      <c r="C9" s="309" t="s">
        <v>243</v>
      </c>
      <c r="D9" s="309"/>
      <c r="E9" s="310" t="s">
        <v>20</v>
      </c>
      <c r="F9" s="311" t="s">
        <v>244</v>
      </c>
      <c r="G9" s="312"/>
      <c r="H9" s="312"/>
      <c r="I9" s="313"/>
      <c r="J9" s="314"/>
      <c r="K9" s="312"/>
      <c r="L9" s="312"/>
      <c r="M9" s="312"/>
      <c r="N9" s="312"/>
      <c r="O9" s="312"/>
      <c r="P9" s="312"/>
      <c r="Q9" s="312"/>
      <c r="R9" s="312"/>
      <c r="S9" s="315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true" outlineLevel="0" collapsed="false">
      <c r="A10" s="221"/>
      <c r="B10" s="316"/>
      <c r="C10" s="317"/>
      <c r="D10" s="318"/>
      <c r="E10" s="319"/>
      <c r="F10" s="319"/>
      <c r="G10" s="320"/>
      <c r="H10" s="320"/>
      <c r="I10" s="321"/>
      <c r="J10" s="322"/>
      <c r="K10" s="320"/>
      <c r="L10" s="320"/>
      <c r="M10" s="320"/>
      <c r="N10" s="320"/>
      <c r="O10" s="320"/>
      <c r="P10" s="320"/>
      <c r="Q10" s="320"/>
      <c r="R10" s="320"/>
      <c r="S10" s="323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true" outlineLevel="0" collapsed="false">
      <c r="A11" s="221"/>
      <c r="B11" s="250"/>
      <c r="C11" s="250"/>
      <c r="D11" s="250"/>
      <c r="E11" s="250"/>
      <c r="F11" s="250"/>
      <c r="G11" s="251"/>
      <c r="H11" s="251"/>
      <c r="I11" s="250"/>
      <c r="J11" s="25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3" customFormat="false" ht="12.75" hidden="false" customHeight="false" outlineLevel="0" collapsed="false">
      <c r="A13" s="0"/>
      <c r="B13" s="324" t="s">
        <v>208</v>
      </c>
      <c r="C13" s="207" t="n">
        <f aca="false">'Step3-Board Details'!F19</f>
        <v>180</v>
      </c>
      <c r="D13" s="325" t="s">
        <v>209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0"/>
      <c r="B14" s="324" t="s">
        <v>245</v>
      </c>
      <c r="C14" s="158" t="n">
        <f aca="false">'Step1-System Details'!E35</f>
        <v>1600</v>
      </c>
      <c r="D14" s="325" t="s">
        <v>57</v>
      </c>
      <c r="E14" s="326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0"/>
      <c r="B15" s="324" t="s">
        <v>246</v>
      </c>
      <c r="C15" s="99" t="n">
        <f aca="false">'Step1-System Details'!E20</f>
        <v>303</v>
      </c>
      <c r="D15" s="325" t="s">
        <v>37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0"/>
      <c r="B16" s="324" t="s">
        <v>247</v>
      </c>
      <c r="C16" s="327" t="n">
        <f aca="false">1000000/C15</f>
        <v>3300.3300330033</v>
      </c>
      <c r="D16" s="325" t="s">
        <v>209</v>
      </c>
      <c r="E16" s="326"/>
      <c r="F16" s="328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0"/>
      <c r="B17" s="324" t="s">
        <v>248</v>
      </c>
      <c r="C17" s="329" t="n">
        <v>0</v>
      </c>
      <c r="D17" s="325"/>
      <c r="E17" s="326"/>
      <c r="F17" s="0"/>
      <c r="G17" s="0"/>
      <c r="H17" s="33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0"/>
      <c r="B18" s="331" t="s">
        <v>248</v>
      </c>
      <c r="C18" s="325"/>
      <c r="D18" s="332"/>
      <c r="E18" s="333" t="n">
        <f aca="false">IF('Step1-System Details'!E19="DDR3",IF(MIN(H22:H25)&lt;0,1,0),0)</f>
        <v>1</v>
      </c>
      <c r="F18" s="334" t="str">
        <f aca="false">IF('Step1-System Details'!E19="DDR3",IF(AND(MIN(I22:I25)&lt;0)," ",IF(E18="1","Read Latency increased by 1"," ")),"")</f>
        <v> </v>
      </c>
      <c r="G18" s="334"/>
      <c r="H18" s="33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0"/>
      <c r="B19" s="335"/>
      <c r="C19" s="0"/>
      <c r="D19" s="0"/>
      <c r="E19" s="0"/>
      <c r="F19" s="334" t="str">
        <f aca="false">IF('Step1-System Details'!E19="DDR3",IF(AND(MIN(I22:I25)&lt;0), "ERROR - Invalid clock length(s)", ""),"")</f>
        <v>ERROR - Invalid clock length(s)</v>
      </c>
      <c r="G19" s="334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true" outlineLevel="0" collapsed="false">
      <c r="A20" s="0"/>
      <c r="B20" s="336" t="s">
        <v>249</v>
      </c>
      <c r="C20" s="337" t="s">
        <v>250</v>
      </c>
      <c r="D20" s="337"/>
      <c r="E20" s="337"/>
      <c r="F20" s="337" t="s">
        <v>251</v>
      </c>
      <c r="G20" s="337" t="s">
        <v>252</v>
      </c>
      <c r="H20" s="337" t="s">
        <v>253</v>
      </c>
      <c r="I20" s="337" t="s">
        <v>253</v>
      </c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338" customFormat="true" ht="25.5" hidden="false" customHeight="true" outlineLevel="0" collapsed="false">
      <c r="B21" s="336"/>
      <c r="C21" s="337"/>
      <c r="D21" s="337"/>
      <c r="E21" s="337"/>
      <c r="F21" s="337"/>
      <c r="G21" s="337"/>
      <c r="H21" s="337"/>
      <c r="I21" s="337"/>
    </row>
    <row r="22" customFormat="false" ht="12.75" hidden="false" customHeight="false" outlineLevel="0" collapsed="false">
      <c r="B22" s="325" t="s">
        <v>254</v>
      </c>
      <c r="C22" s="339" t="n">
        <f aca="false">'Step3-Board Details'!D28</f>
        <v>1.193</v>
      </c>
      <c r="D22" s="339" t="n">
        <v>0</v>
      </c>
      <c r="E22" s="339" t="n">
        <f aca="false">C22+D22</f>
        <v>1.193</v>
      </c>
      <c r="F22" s="340" t="n">
        <f aca="false">C22*C13</f>
        <v>214.74</v>
      </c>
      <c r="G22" s="341" t="n">
        <f aca="false">IF('Step1-System Details'!E19="DDR3",CLK_PERIOD-I22-G494-I494,"NA")</f>
        <v>3283.0500330033</v>
      </c>
      <c r="H22" s="341" t="n">
        <f aca="false">IF(F22&lt;0.001, 0, F23-F22-I494-G495+CLK_PERIOD/2*INVERT_CLK)</f>
        <v>-347.72</v>
      </c>
      <c r="I22" s="341" t="n">
        <f aca="false">IF('Step1-System Details'!E19="DDR3",IF(E18="1",H22+CLK_PERIOD/2,H22),"NA")</f>
        <v>-347.72</v>
      </c>
      <c r="K22" s="342"/>
      <c r="L22" s="338"/>
      <c r="M22" s="338"/>
      <c r="N22" s="338"/>
      <c r="O22" s="261" t="str">
        <f aca="false">IF('Step1-System Details'!E19="LPDDR2","Not Required for LPDDR2","")</f>
        <v/>
      </c>
      <c r="P22" s="261"/>
      <c r="Q22" s="261"/>
      <c r="R22" s="261"/>
      <c r="S22" s="261"/>
      <c r="T22" s="261"/>
      <c r="U22" s="261"/>
      <c r="V22" s="330"/>
      <c r="W22" s="0"/>
      <c r="X22" s="0"/>
      <c r="Y22" s="0"/>
      <c r="Z22" s="0"/>
      <c r="AA22" s="0"/>
      <c r="AB22" s="0"/>
      <c r="AC22" s="0"/>
      <c r="AD22" s="0"/>
      <c r="AE22" s="0"/>
      <c r="AF22" s="0"/>
    </row>
    <row r="23" customFormat="false" ht="12.75" hidden="false" customHeight="false" outlineLevel="0" collapsed="false">
      <c r="B23" s="325" t="s">
        <v>255</v>
      </c>
      <c r="C23" s="339" t="n">
        <f aca="false">'Step3-Board Details'!D27</f>
        <v>1.289</v>
      </c>
      <c r="D23" s="339" t="n">
        <v>0</v>
      </c>
      <c r="E23" s="339" t="n">
        <f aca="false">C23+D23</f>
        <v>1.289</v>
      </c>
      <c r="F23" s="340" t="n">
        <f aca="false">C23*C13</f>
        <v>232.02</v>
      </c>
      <c r="G23" s="341"/>
      <c r="H23" s="341"/>
      <c r="I23" s="341"/>
      <c r="K23" s="342"/>
      <c r="L23" s="338"/>
      <c r="M23" s="338"/>
      <c r="N23" s="338"/>
      <c r="O23" s="261"/>
      <c r="P23" s="261"/>
      <c r="Q23" s="261"/>
      <c r="R23" s="261"/>
      <c r="S23" s="261"/>
      <c r="T23" s="261"/>
      <c r="U23" s="261"/>
      <c r="V23" s="330"/>
      <c r="W23" s="0"/>
      <c r="X23" s="0"/>
      <c r="Y23" s="0"/>
      <c r="Z23" s="0"/>
      <c r="AA23" s="0"/>
      <c r="AB23" s="0"/>
      <c r="AC23" s="0"/>
      <c r="AD23" s="0"/>
      <c r="AE23" s="0"/>
      <c r="AF23" s="0"/>
    </row>
    <row r="24" customFormat="false" ht="12.75" hidden="false" customHeight="false" outlineLevel="0" collapsed="false">
      <c r="B24" s="325" t="s">
        <v>256</v>
      </c>
      <c r="C24" s="339" t="n">
        <f aca="false">'Step3-Board Details'!E28</f>
        <v>1.194</v>
      </c>
      <c r="D24" s="339" t="n">
        <v>0</v>
      </c>
      <c r="E24" s="339" t="n">
        <f aca="false">C24+D24</f>
        <v>1.194</v>
      </c>
      <c r="F24" s="340" t="n">
        <f aca="false">C24*C13</f>
        <v>214.92</v>
      </c>
      <c r="G24" s="341" t="n">
        <f aca="false">IF('Step1-System Details'!E19="DDR3",CLK_PERIOD-I24-G494-I494,"NA")</f>
        <v>3283.2300330033</v>
      </c>
      <c r="H24" s="341" t="n">
        <f aca="false">IF(F24&lt;0.001, 0, F25-F24-I494-G495+CLK_PERIOD/2*INVERT_CLK)</f>
        <v>-347.9</v>
      </c>
      <c r="I24" s="341" t="n">
        <f aca="false">IF('Step1-System Details'!E19="DDR3",IF(E18="1",H24+CLK_PERIOD/2,H24),"NA")</f>
        <v>-347.9</v>
      </c>
      <c r="K24" s="342"/>
      <c r="L24" s="338"/>
      <c r="M24" s="338"/>
      <c r="N24" s="338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</row>
    <row r="25" customFormat="false" ht="12.75" hidden="false" customHeight="false" outlineLevel="0" collapsed="false">
      <c r="B25" s="325" t="s">
        <v>257</v>
      </c>
      <c r="C25" s="339" t="n">
        <f aca="false">'Step3-Board Details'!E27</f>
        <v>1.289</v>
      </c>
      <c r="D25" s="339" t="n">
        <v>0</v>
      </c>
      <c r="E25" s="339" t="n">
        <f aca="false">C25+D25</f>
        <v>1.289</v>
      </c>
      <c r="F25" s="340" t="n">
        <f aca="false">C25*C13</f>
        <v>232.02</v>
      </c>
      <c r="G25" s="341"/>
      <c r="H25" s="341"/>
      <c r="I25" s="341"/>
      <c r="K25" s="342"/>
      <c r="L25" s="338"/>
      <c r="M25" s="338"/>
      <c r="N25" s="338"/>
      <c r="O25" s="0"/>
      <c r="P25" s="334"/>
      <c r="Q25" s="334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</row>
    <row r="26" customFormat="false" ht="12.75" hidden="false" customHeight="false" outlineLevel="0" collapsed="false">
      <c r="B26" s="0"/>
      <c r="C26" s="343"/>
      <c r="D26" s="344"/>
      <c r="E26" s="344"/>
      <c r="F26" s="343"/>
      <c r="G26" s="0"/>
      <c r="H26" s="0"/>
      <c r="I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</row>
    <row r="27" customFormat="false" ht="12.75" hidden="false" customHeight="false" outlineLevel="0" collapsed="false">
      <c r="B27" s="345" t="s">
        <v>258</v>
      </c>
      <c r="C27" s="0"/>
      <c r="D27" s="0"/>
      <c r="E27" s="0"/>
      <c r="F27" s="0"/>
      <c r="G27" s="0"/>
      <c r="H27" s="0"/>
      <c r="I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</row>
    <row r="28" customFormat="false" ht="12.75" hidden="false" customHeight="false" outlineLevel="0" collapsed="false">
      <c r="B28" s="345"/>
      <c r="C28" s="0"/>
      <c r="D28" s="0"/>
      <c r="E28" s="0"/>
      <c r="F28" s="0"/>
      <c r="G28" s="0"/>
      <c r="H28" s="0"/>
      <c r="I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</row>
    <row r="29" customFormat="false" ht="12.75" hidden="false" customHeight="false" outlineLevel="0" collapsed="false">
      <c r="B29" s="346" t="s">
        <v>259</v>
      </c>
      <c r="C29" s="346"/>
      <c r="D29" s="346"/>
      <c r="E29" s="346"/>
      <c r="F29" s="346"/>
      <c r="G29" s="346"/>
      <c r="H29" s="346"/>
      <c r="I29" s="346"/>
      <c r="O29" s="347" t="s">
        <v>260</v>
      </c>
      <c r="P29" s="347"/>
      <c r="Q29" s="347"/>
      <c r="R29" s="347"/>
      <c r="S29" s="347"/>
      <c r="T29" s="347"/>
      <c r="U29" s="347"/>
      <c r="V29" s="347"/>
      <c r="W29" s="347"/>
      <c r="X29" s="347"/>
      <c r="Y29" s="347"/>
      <c r="Z29" s="347"/>
      <c r="AA29" s="347"/>
      <c r="AB29" s="347"/>
      <c r="AC29" s="347"/>
      <c r="AD29" s="0"/>
      <c r="AE29" s="0"/>
      <c r="AF29" s="0"/>
    </row>
    <row r="30" customFormat="false" ht="13.5" hidden="false" customHeight="false" outlineLevel="0" collapsed="false">
      <c r="B30" s="346"/>
      <c r="C30" s="346"/>
      <c r="D30" s="346"/>
      <c r="E30" s="346"/>
      <c r="F30" s="346"/>
      <c r="G30" s="346"/>
      <c r="H30" s="346"/>
      <c r="I30" s="346"/>
      <c r="O30" s="347"/>
      <c r="P30" s="347"/>
      <c r="Q30" s="347"/>
      <c r="R30" s="347"/>
      <c r="S30" s="347"/>
      <c r="T30" s="347"/>
      <c r="U30" s="347"/>
      <c r="V30" s="347"/>
      <c r="W30" s="347"/>
      <c r="X30" s="347"/>
      <c r="Y30" s="347"/>
      <c r="Z30" s="347"/>
      <c r="AA30" s="347"/>
      <c r="AB30" s="347"/>
      <c r="AC30" s="347"/>
      <c r="AD30" s="0"/>
      <c r="AE30" s="0"/>
      <c r="AF30" s="0"/>
    </row>
    <row r="31" customFormat="false" ht="12.75" hidden="false" customHeight="false" outlineLevel="0" collapsed="false">
      <c r="B31" s="348"/>
      <c r="C31" s="349"/>
      <c r="D31" s="349"/>
      <c r="E31" s="349"/>
      <c r="F31" s="349"/>
      <c r="G31" s="349"/>
      <c r="H31" s="349"/>
      <c r="I31" s="350"/>
      <c r="O31" s="348"/>
      <c r="P31" s="349"/>
      <c r="Q31" s="349"/>
      <c r="R31" s="349"/>
      <c r="S31" s="349"/>
      <c r="T31" s="349"/>
      <c r="U31" s="349"/>
      <c r="V31" s="349"/>
      <c r="W31" s="349"/>
      <c r="X31" s="349"/>
      <c r="Y31" s="349"/>
      <c r="Z31" s="349"/>
      <c r="AA31" s="349"/>
      <c r="AB31" s="349"/>
      <c r="AC31" s="350"/>
      <c r="AD31" s="0"/>
      <c r="AE31" s="0"/>
      <c r="AF31" s="0"/>
    </row>
    <row r="32" customFormat="false" ht="12.75" hidden="false" customHeight="false" outlineLevel="0" collapsed="false">
      <c r="B32" s="351"/>
      <c r="C32" s="326"/>
      <c r="D32" s="326"/>
      <c r="E32" s="326"/>
      <c r="F32" s="326"/>
      <c r="G32" s="326"/>
      <c r="H32" s="326"/>
      <c r="I32" s="352"/>
      <c r="O32" s="351"/>
      <c r="P32" s="326"/>
      <c r="Q32" s="326"/>
      <c r="R32" s="326"/>
      <c r="S32" s="326"/>
      <c r="T32" s="326"/>
      <c r="U32" s="326"/>
      <c r="V32" s="326"/>
      <c r="W32" s="326"/>
      <c r="X32" s="326"/>
      <c r="Y32" s="326"/>
      <c r="Z32" s="326"/>
      <c r="AA32" s="326"/>
      <c r="AB32" s="326"/>
      <c r="AC32" s="352"/>
      <c r="AD32" s="0"/>
      <c r="AE32" s="0"/>
      <c r="AF32" s="0"/>
    </row>
    <row r="33" customFormat="false" ht="12.75" hidden="false" customHeight="false" outlineLevel="0" collapsed="false">
      <c r="B33" s="351"/>
      <c r="C33" s="326"/>
      <c r="D33" s="326"/>
      <c r="E33" s="326"/>
      <c r="F33" s="326"/>
      <c r="G33" s="326"/>
      <c r="H33" s="326"/>
      <c r="I33" s="352"/>
      <c r="O33" s="351"/>
      <c r="P33" s="326"/>
      <c r="Q33" s="326"/>
      <c r="R33" s="326"/>
      <c r="S33" s="326"/>
      <c r="T33" s="326"/>
      <c r="U33" s="326"/>
      <c r="V33" s="326"/>
      <c r="W33" s="326"/>
      <c r="X33" s="326"/>
      <c r="Y33" s="326"/>
      <c r="Z33" s="326"/>
      <c r="AA33" s="326"/>
      <c r="AB33" s="326"/>
      <c r="AC33" s="352"/>
      <c r="AD33" s="0"/>
      <c r="AE33" s="0"/>
      <c r="AF33" s="0"/>
    </row>
    <row r="34" customFormat="false" ht="12.75" hidden="false" customHeight="false" outlineLevel="0" collapsed="false">
      <c r="B34" s="351"/>
      <c r="C34" s="326"/>
      <c r="D34" s="326"/>
      <c r="E34" s="326"/>
      <c r="F34" s="326"/>
      <c r="G34" s="326"/>
      <c r="H34" s="326"/>
      <c r="I34" s="352"/>
      <c r="O34" s="351"/>
      <c r="P34" s="326"/>
      <c r="Q34" s="326"/>
      <c r="R34" s="326"/>
      <c r="S34" s="326"/>
      <c r="T34" s="326"/>
      <c r="U34" s="326"/>
      <c r="V34" s="326"/>
      <c r="W34" s="326"/>
      <c r="X34" s="326"/>
      <c r="Y34" s="326"/>
      <c r="Z34" s="326"/>
      <c r="AA34" s="326"/>
      <c r="AB34" s="326"/>
      <c r="AC34" s="352"/>
      <c r="AD34" s="326"/>
      <c r="AE34" s="326"/>
      <c r="AF34" s="326"/>
    </row>
    <row r="35" customFormat="false" ht="12.75" hidden="false" customHeight="false" outlineLevel="0" collapsed="false">
      <c r="B35" s="351"/>
      <c r="C35" s="326"/>
      <c r="D35" s="326"/>
      <c r="E35" s="326"/>
      <c r="F35" s="326"/>
      <c r="G35" s="326"/>
      <c r="H35" s="326"/>
      <c r="I35" s="352"/>
      <c r="O35" s="351"/>
      <c r="P35" s="326"/>
      <c r="Q35" s="326"/>
      <c r="R35" s="326"/>
      <c r="S35" s="326"/>
      <c r="T35" s="326"/>
      <c r="U35" s="326"/>
      <c r="V35" s="326"/>
      <c r="W35" s="326"/>
      <c r="X35" s="326"/>
      <c r="Y35" s="326"/>
      <c r="Z35" s="326"/>
      <c r="AA35" s="326"/>
      <c r="AB35" s="326"/>
      <c r="AC35" s="352"/>
      <c r="AD35" s="326"/>
      <c r="AE35" s="326"/>
      <c r="AF35" s="326"/>
    </row>
    <row r="36" customFormat="false" ht="12.75" hidden="false" customHeight="false" outlineLevel="0" collapsed="false">
      <c r="B36" s="351"/>
      <c r="C36" s="326"/>
      <c r="D36" s="326"/>
      <c r="E36" s="326"/>
      <c r="F36" s="326"/>
      <c r="G36" s="326"/>
      <c r="H36" s="326"/>
      <c r="I36" s="352"/>
      <c r="O36" s="351"/>
      <c r="P36" s="326"/>
      <c r="Q36" s="326"/>
      <c r="R36" s="326"/>
      <c r="S36" s="326"/>
      <c r="T36" s="326"/>
      <c r="U36" s="326"/>
      <c r="V36" s="326"/>
      <c r="W36" s="326"/>
      <c r="X36" s="326"/>
      <c r="Y36" s="326"/>
      <c r="Z36" s="326"/>
      <c r="AA36" s="326"/>
      <c r="AB36" s="326"/>
      <c r="AC36" s="352"/>
      <c r="AD36" s="326"/>
      <c r="AE36" s="326"/>
      <c r="AF36" s="326"/>
    </row>
    <row r="37" customFormat="false" ht="12.75" hidden="false" customHeight="false" outlineLevel="0" collapsed="false">
      <c r="B37" s="351"/>
      <c r="C37" s="326"/>
      <c r="D37" s="326"/>
      <c r="E37" s="326"/>
      <c r="F37" s="326"/>
      <c r="G37" s="326"/>
      <c r="H37" s="326"/>
      <c r="I37" s="352"/>
      <c r="O37" s="351"/>
      <c r="P37" s="326"/>
      <c r="Q37" s="326"/>
      <c r="R37" s="326"/>
      <c r="S37" s="326"/>
      <c r="T37" s="326"/>
      <c r="U37" s="326"/>
      <c r="V37" s="326"/>
      <c r="W37" s="326"/>
      <c r="X37" s="326"/>
      <c r="Y37" s="326"/>
      <c r="Z37" s="326"/>
      <c r="AA37" s="326"/>
      <c r="AB37" s="326"/>
      <c r="AC37" s="352"/>
      <c r="AD37" s="326"/>
      <c r="AE37" s="326"/>
      <c r="AF37" s="326"/>
    </row>
    <row r="38" customFormat="false" ht="12.75" hidden="false" customHeight="false" outlineLevel="0" collapsed="false">
      <c r="B38" s="351"/>
      <c r="C38" s="326"/>
      <c r="D38" s="326"/>
      <c r="E38" s="326"/>
      <c r="F38" s="326"/>
      <c r="G38" s="326"/>
      <c r="H38" s="326"/>
      <c r="I38" s="352"/>
      <c r="O38" s="351"/>
      <c r="P38" s="326"/>
      <c r="Q38" s="326"/>
      <c r="R38" s="326"/>
      <c r="S38" s="326"/>
      <c r="T38" s="326"/>
      <c r="U38" s="326"/>
      <c r="V38" s="326"/>
      <c r="W38" s="326"/>
      <c r="X38" s="326"/>
      <c r="Y38" s="326"/>
      <c r="Z38" s="326"/>
      <c r="AA38" s="326"/>
      <c r="AB38" s="326"/>
      <c r="AC38" s="352"/>
      <c r="AD38" s="326"/>
      <c r="AE38" s="326"/>
      <c r="AF38" s="326"/>
    </row>
    <row r="39" customFormat="false" ht="12.75" hidden="false" customHeight="false" outlineLevel="0" collapsed="false">
      <c r="B39" s="351"/>
      <c r="C39" s="326"/>
      <c r="D39" s="326"/>
      <c r="E39" s="326"/>
      <c r="F39" s="326"/>
      <c r="G39" s="326"/>
      <c r="H39" s="326"/>
      <c r="I39" s="352"/>
      <c r="O39" s="351"/>
      <c r="P39" s="326"/>
      <c r="Q39" s="326"/>
      <c r="R39" s="326"/>
      <c r="S39" s="326"/>
      <c r="T39" s="326"/>
      <c r="U39" s="326"/>
      <c r="V39" s="326"/>
      <c r="W39" s="326"/>
      <c r="X39" s="326"/>
      <c r="Y39" s="326"/>
      <c r="Z39" s="326"/>
      <c r="AA39" s="326"/>
      <c r="AB39" s="326"/>
      <c r="AC39" s="352"/>
      <c r="AD39" s="326"/>
      <c r="AE39" s="326"/>
      <c r="AF39" s="326"/>
    </row>
    <row r="40" customFormat="false" ht="12.75" hidden="false" customHeight="false" outlineLevel="0" collapsed="false">
      <c r="B40" s="351"/>
      <c r="C40" s="326"/>
      <c r="D40" s="326"/>
      <c r="E40" s="326"/>
      <c r="F40" s="326"/>
      <c r="G40" s="326"/>
      <c r="H40" s="326"/>
      <c r="I40" s="352"/>
      <c r="O40" s="351"/>
      <c r="P40" s="326"/>
      <c r="Q40" s="326"/>
      <c r="R40" s="326"/>
      <c r="S40" s="326"/>
      <c r="T40" s="326"/>
      <c r="U40" s="326"/>
      <c r="V40" s="326"/>
      <c r="W40" s="326"/>
      <c r="X40" s="326"/>
      <c r="Y40" s="326"/>
      <c r="Z40" s="326"/>
      <c r="AA40" s="326"/>
      <c r="AB40" s="326"/>
      <c r="AC40" s="352"/>
      <c r="AD40" s="326"/>
      <c r="AE40" s="326"/>
      <c r="AF40" s="326"/>
    </row>
    <row r="41" customFormat="false" ht="12.75" hidden="false" customHeight="false" outlineLevel="0" collapsed="false">
      <c r="B41" s="351"/>
      <c r="C41" s="326"/>
      <c r="D41" s="326"/>
      <c r="E41" s="326"/>
      <c r="F41" s="326"/>
      <c r="G41" s="326"/>
      <c r="H41" s="326"/>
      <c r="I41" s="352"/>
      <c r="O41" s="351"/>
      <c r="P41" s="326"/>
      <c r="Q41" s="326"/>
      <c r="R41" s="326"/>
      <c r="S41" s="326"/>
      <c r="T41" s="326"/>
      <c r="U41" s="326"/>
      <c r="V41" s="326"/>
      <c r="W41" s="326"/>
      <c r="X41" s="326"/>
      <c r="Y41" s="326"/>
      <c r="Z41" s="326"/>
      <c r="AA41" s="326"/>
      <c r="AB41" s="326"/>
      <c r="AC41" s="352"/>
      <c r="AD41" s="326"/>
      <c r="AE41" s="326"/>
      <c r="AF41" s="326"/>
    </row>
    <row r="42" customFormat="false" ht="12.75" hidden="false" customHeight="false" outlineLevel="0" collapsed="false">
      <c r="B42" s="351"/>
      <c r="C42" s="326"/>
      <c r="D42" s="326"/>
      <c r="E42" s="326"/>
      <c r="F42" s="326"/>
      <c r="G42" s="326"/>
      <c r="H42" s="326"/>
      <c r="I42" s="352"/>
      <c r="O42" s="351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52"/>
      <c r="AD42" s="326"/>
      <c r="AE42" s="326"/>
      <c r="AF42" s="326"/>
    </row>
    <row r="43" customFormat="false" ht="12.75" hidden="false" customHeight="false" outlineLevel="0" collapsed="false">
      <c r="B43" s="351"/>
      <c r="C43" s="326"/>
      <c r="D43" s="326"/>
      <c r="E43" s="326"/>
      <c r="F43" s="326"/>
      <c r="G43" s="326"/>
      <c r="H43" s="326"/>
      <c r="I43" s="352"/>
      <c r="O43" s="351"/>
      <c r="P43" s="326"/>
      <c r="Q43" s="326"/>
      <c r="R43" s="326"/>
      <c r="S43" s="326"/>
      <c r="T43" s="326"/>
      <c r="U43" s="326"/>
      <c r="V43" s="326"/>
      <c r="W43" s="326"/>
      <c r="X43" s="326"/>
      <c r="Y43" s="326"/>
      <c r="Z43" s="326"/>
      <c r="AA43" s="326"/>
      <c r="AB43" s="326"/>
      <c r="AC43" s="352"/>
      <c r="AD43" s="326"/>
      <c r="AE43" s="326"/>
      <c r="AF43" s="326"/>
    </row>
    <row r="44" customFormat="false" ht="12.75" hidden="false" customHeight="false" outlineLevel="0" collapsed="false">
      <c r="B44" s="351"/>
      <c r="C44" s="326"/>
      <c r="D44" s="326"/>
      <c r="E44" s="326"/>
      <c r="F44" s="326"/>
      <c r="G44" s="326"/>
      <c r="H44" s="326"/>
      <c r="I44" s="352"/>
      <c r="O44" s="351"/>
      <c r="P44" s="326"/>
      <c r="Q44" s="326"/>
      <c r="R44" s="326"/>
      <c r="S44" s="326"/>
      <c r="T44" s="326"/>
      <c r="U44" s="326"/>
      <c r="V44" s="326"/>
      <c r="W44" s="326"/>
      <c r="X44" s="326"/>
      <c r="Y44" s="326"/>
      <c r="Z44" s="326"/>
      <c r="AA44" s="326"/>
      <c r="AB44" s="326"/>
      <c r="AC44" s="352"/>
      <c r="AD44" s="326"/>
      <c r="AE44" s="326"/>
      <c r="AF44" s="326"/>
    </row>
    <row r="45" customFormat="false" ht="13.5" hidden="false" customHeight="false" outlineLevel="0" collapsed="false">
      <c r="B45" s="353"/>
      <c r="C45" s="354"/>
      <c r="D45" s="354"/>
      <c r="E45" s="354"/>
      <c r="F45" s="354"/>
      <c r="G45" s="354"/>
      <c r="H45" s="354"/>
      <c r="I45" s="355"/>
      <c r="O45" s="351"/>
      <c r="P45" s="326"/>
      <c r="Q45" s="326"/>
      <c r="R45" s="326"/>
      <c r="S45" s="326"/>
      <c r="T45" s="326"/>
      <c r="U45" s="326"/>
      <c r="V45" s="326"/>
      <c r="W45" s="326"/>
      <c r="X45" s="326"/>
      <c r="Y45" s="326"/>
      <c r="Z45" s="326"/>
      <c r="AA45" s="326"/>
      <c r="AB45" s="326"/>
      <c r="AC45" s="352"/>
      <c r="AD45" s="326"/>
      <c r="AE45" s="326"/>
      <c r="AF45" s="326"/>
    </row>
    <row r="46" customFormat="false" ht="12.75" hidden="false" customHeight="false" outlineLevel="0" collapsed="false">
      <c r="B46" s="0"/>
      <c r="C46" s="0"/>
      <c r="D46" s="0"/>
      <c r="E46" s="0"/>
      <c r="F46" s="0"/>
      <c r="G46" s="0"/>
      <c r="H46" s="0"/>
      <c r="I46" s="0"/>
      <c r="O46" s="351"/>
      <c r="P46" s="326"/>
      <c r="Q46" s="326"/>
      <c r="R46" s="326"/>
      <c r="S46" s="326"/>
      <c r="T46" s="326"/>
      <c r="U46" s="326"/>
      <c r="V46" s="326"/>
      <c r="W46" s="326"/>
      <c r="X46" s="326"/>
      <c r="Y46" s="326"/>
      <c r="Z46" s="326"/>
      <c r="AA46" s="326"/>
      <c r="AB46" s="326"/>
      <c r="AC46" s="352"/>
      <c r="AD46" s="326"/>
      <c r="AE46" s="326"/>
      <c r="AF46" s="326"/>
    </row>
    <row r="47" customFormat="false" ht="12.75" hidden="false" customHeight="false" outlineLevel="0" collapsed="false">
      <c r="B47" s="0"/>
      <c r="C47" s="0"/>
      <c r="D47" s="0"/>
      <c r="E47" s="0"/>
      <c r="F47" s="0"/>
      <c r="G47" s="0"/>
      <c r="H47" s="0"/>
      <c r="I47" s="0"/>
      <c r="O47" s="351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52"/>
      <c r="AD47" s="326"/>
      <c r="AE47" s="326"/>
      <c r="AF47" s="326"/>
    </row>
    <row r="48" customFormat="false" ht="12.75" hidden="false" customHeight="false" outlineLevel="0" collapsed="false">
      <c r="B48" s="346" t="s">
        <v>261</v>
      </c>
      <c r="C48" s="346"/>
      <c r="D48" s="346"/>
      <c r="E48" s="346"/>
      <c r="F48" s="346"/>
      <c r="G48" s="346"/>
      <c r="H48" s="346"/>
      <c r="I48" s="346"/>
      <c r="O48" s="351"/>
      <c r="P48" s="326"/>
      <c r="Q48" s="326"/>
      <c r="R48" s="326"/>
      <c r="S48" s="326"/>
      <c r="T48" s="326"/>
      <c r="U48" s="326"/>
      <c r="V48" s="326"/>
      <c r="W48" s="326"/>
      <c r="X48" s="326"/>
      <c r="Y48" s="326"/>
      <c r="Z48" s="326"/>
      <c r="AA48" s="326"/>
      <c r="AB48" s="326"/>
      <c r="AC48" s="352"/>
      <c r="AD48" s="326"/>
      <c r="AE48" s="326"/>
      <c r="AF48" s="326"/>
    </row>
    <row r="49" customFormat="false" ht="13.5" hidden="false" customHeight="false" outlineLevel="0" collapsed="false">
      <c r="B49" s="346"/>
      <c r="C49" s="346"/>
      <c r="D49" s="346"/>
      <c r="E49" s="346"/>
      <c r="F49" s="346"/>
      <c r="G49" s="346"/>
      <c r="H49" s="346"/>
      <c r="I49" s="346"/>
      <c r="O49" s="351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6"/>
      <c r="AA49" s="326"/>
      <c r="AB49" s="326"/>
      <c r="AC49" s="352"/>
      <c r="AD49" s="326"/>
      <c r="AE49" s="326"/>
      <c r="AF49" s="326"/>
    </row>
    <row r="50" customFormat="false" ht="12.75" hidden="false" customHeight="false" outlineLevel="0" collapsed="false">
      <c r="B50" s="348"/>
      <c r="C50" s="349"/>
      <c r="D50" s="349"/>
      <c r="E50" s="349"/>
      <c r="F50" s="349"/>
      <c r="G50" s="349"/>
      <c r="H50" s="349"/>
      <c r="I50" s="350"/>
      <c r="O50" s="351"/>
      <c r="P50" s="326"/>
      <c r="Q50" s="326"/>
      <c r="R50" s="326"/>
      <c r="S50" s="326"/>
      <c r="T50" s="326"/>
      <c r="U50" s="326"/>
      <c r="V50" s="326"/>
      <c r="W50" s="326"/>
      <c r="X50" s="326"/>
      <c r="Y50" s="326"/>
      <c r="Z50" s="326"/>
      <c r="AA50" s="326"/>
      <c r="AB50" s="326"/>
      <c r="AC50" s="352"/>
      <c r="AD50" s="326"/>
      <c r="AE50" s="326"/>
      <c r="AF50" s="326"/>
    </row>
    <row r="51" customFormat="false" ht="12.75" hidden="false" customHeight="false" outlineLevel="0" collapsed="false">
      <c r="B51" s="351"/>
      <c r="C51" s="326"/>
      <c r="D51" s="326"/>
      <c r="E51" s="326"/>
      <c r="F51" s="326"/>
      <c r="G51" s="326"/>
      <c r="H51" s="326"/>
      <c r="I51" s="352"/>
      <c r="O51" s="351"/>
      <c r="P51" s="326"/>
      <c r="Q51" s="326"/>
      <c r="R51" s="326"/>
      <c r="S51" s="326"/>
      <c r="T51" s="326"/>
      <c r="U51" s="326"/>
      <c r="V51" s="326"/>
      <c r="W51" s="326"/>
      <c r="X51" s="326"/>
      <c r="Y51" s="326"/>
      <c r="Z51" s="326"/>
      <c r="AA51" s="326"/>
      <c r="AB51" s="326"/>
      <c r="AC51" s="352"/>
      <c r="AD51" s="326"/>
      <c r="AE51" s="326"/>
      <c r="AF51" s="326"/>
    </row>
    <row r="52" customFormat="false" ht="12.75" hidden="false" customHeight="false" outlineLevel="0" collapsed="false">
      <c r="B52" s="351"/>
      <c r="C52" s="326"/>
      <c r="D52" s="326"/>
      <c r="E52" s="326"/>
      <c r="F52" s="326"/>
      <c r="G52" s="326"/>
      <c r="H52" s="326"/>
      <c r="I52" s="352"/>
      <c r="O52" s="351"/>
      <c r="P52" s="326"/>
      <c r="Q52" s="326"/>
      <c r="R52" s="326"/>
      <c r="S52" s="326"/>
      <c r="T52" s="326"/>
      <c r="U52" s="326"/>
      <c r="V52" s="326"/>
      <c r="W52" s="326"/>
      <c r="X52" s="326"/>
      <c r="Y52" s="326"/>
      <c r="Z52" s="326"/>
      <c r="AA52" s="326"/>
      <c r="AB52" s="326"/>
      <c r="AC52" s="352"/>
      <c r="AD52" s="326"/>
      <c r="AE52" s="326"/>
      <c r="AF52" s="326"/>
    </row>
    <row r="53" customFormat="false" ht="12.75" hidden="false" customHeight="false" outlineLevel="0" collapsed="false">
      <c r="B53" s="351"/>
      <c r="C53" s="326"/>
      <c r="D53" s="326"/>
      <c r="E53" s="326"/>
      <c r="F53" s="326"/>
      <c r="G53" s="326"/>
      <c r="H53" s="326"/>
      <c r="I53" s="352"/>
      <c r="O53" s="351"/>
      <c r="P53" s="326"/>
      <c r="Q53" s="326"/>
      <c r="R53" s="326"/>
      <c r="S53" s="326"/>
      <c r="T53" s="326"/>
      <c r="U53" s="326"/>
      <c r="V53" s="326"/>
      <c r="W53" s="326"/>
      <c r="X53" s="326"/>
      <c r="Y53" s="326"/>
      <c r="Z53" s="326"/>
      <c r="AA53" s="326"/>
      <c r="AB53" s="326"/>
      <c r="AC53" s="352"/>
      <c r="AD53" s="326"/>
      <c r="AE53" s="326"/>
      <c r="AF53" s="326"/>
    </row>
    <row r="54" customFormat="false" ht="12.75" hidden="false" customHeight="false" outlineLevel="0" collapsed="false">
      <c r="B54" s="351"/>
      <c r="C54" s="326"/>
      <c r="D54" s="326"/>
      <c r="E54" s="326"/>
      <c r="F54" s="326"/>
      <c r="G54" s="326"/>
      <c r="H54" s="326"/>
      <c r="I54" s="352"/>
      <c r="O54" s="351"/>
      <c r="P54" s="326"/>
      <c r="Q54" s="326"/>
      <c r="R54" s="326"/>
      <c r="S54" s="326"/>
      <c r="T54" s="326"/>
      <c r="U54" s="326"/>
      <c r="V54" s="326"/>
      <c r="W54" s="326"/>
      <c r="X54" s="326"/>
      <c r="Y54" s="326"/>
      <c r="Z54" s="326"/>
      <c r="AA54" s="326"/>
      <c r="AB54" s="326"/>
      <c r="AC54" s="352"/>
      <c r="AD54" s="326"/>
      <c r="AE54" s="326"/>
      <c r="AF54" s="326"/>
    </row>
    <row r="55" customFormat="false" ht="12.75" hidden="false" customHeight="false" outlineLevel="0" collapsed="false">
      <c r="B55" s="351"/>
      <c r="C55" s="326"/>
      <c r="D55" s="326"/>
      <c r="E55" s="326"/>
      <c r="F55" s="326"/>
      <c r="G55" s="326"/>
      <c r="H55" s="326"/>
      <c r="I55" s="352"/>
      <c r="O55" s="351"/>
      <c r="P55" s="326"/>
      <c r="Q55" s="326"/>
      <c r="R55" s="326"/>
      <c r="S55" s="326"/>
      <c r="T55" s="326"/>
      <c r="U55" s="326"/>
      <c r="V55" s="326"/>
      <c r="W55" s="326"/>
      <c r="X55" s="326"/>
      <c r="Y55" s="326"/>
      <c r="Z55" s="326"/>
      <c r="AA55" s="326"/>
      <c r="AB55" s="326"/>
      <c r="AC55" s="352"/>
      <c r="AD55" s="326"/>
      <c r="AE55" s="326"/>
      <c r="AF55" s="326"/>
    </row>
    <row r="56" customFormat="false" ht="13.5" hidden="false" customHeight="false" outlineLevel="0" collapsed="false">
      <c r="B56" s="351"/>
      <c r="C56" s="326"/>
      <c r="D56" s="326"/>
      <c r="E56" s="326"/>
      <c r="F56" s="326"/>
      <c r="G56" s="326"/>
      <c r="H56" s="326"/>
      <c r="I56" s="352"/>
      <c r="O56" s="353"/>
      <c r="P56" s="354"/>
      <c r="Q56" s="354"/>
      <c r="R56" s="354"/>
      <c r="S56" s="354"/>
      <c r="T56" s="354"/>
      <c r="U56" s="354"/>
      <c r="V56" s="354"/>
      <c r="W56" s="354"/>
      <c r="X56" s="354"/>
      <c r="Y56" s="354"/>
      <c r="Z56" s="354"/>
      <c r="AA56" s="354"/>
      <c r="AB56" s="354"/>
      <c r="AC56" s="355"/>
      <c r="AD56" s="326"/>
      <c r="AE56" s="326"/>
      <c r="AF56" s="326"/>
    </row>
    <row r="57" customFormat="false" ht="12.75" hidden="false" customHeight="false" outlineLevel="0" collapsed="false">
      <c r="B57" s="351"/>
      <c r="C57" s="326"/>
      <c r="D57" s="326"/>
      <c r="E57" s="326"/>
      <c r="F57" s="326"/>
      <c r="G57" s="326"/>
      <c r="H57" s="326"/>
      <c r="I57" s="352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326"/>
      <c r="AB57" s="326"/>
      <c r="AC57" s="326"/>
      <c r="AD57" s="326"/>
      <c r="AE57" s="326"/>
      <c r="AF57" s="326"/>
    </row>
    <row r="58" customFormat="false" ht="12.75" hidden="false" customHeight="false" outlineLevel="0" collapsed="false">
      <c r="B58" s="351"/>
      <c r="C58" s="326"/>
      <c r="D58" s="326"/>
      <c r="E58" s="326"/>
      <c r="F58" s="326"/>
      <c r="G58" s="326"/>
      <c r="H58" s="326"/>
      <c r="I58" s="352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326"/>
      <c r="AB58" s="326"/>
      <c r="AC58" s="326"/>
      <c r="AD58" s="326"/>
      <c r="AE58" s="326"/>
      <c r="AF58" s="326"/>
    </row>
    <row r="59" customFormat="false" ht="12.75" hidden="false" customHeight="false" outlineLevel="0" collapsed="false">
      <c r="B59" s="351"/>
      <c r="C59" s="326"/>
      <c r="D59" s="326"/>
      <c r="E59" s="326"/>
      <c r="F59" s="326"/>
      <c r="G59" s="326"/>
      <c r="H59" s="326"/>
      <c r="I59" s="352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326"/>
      <c r="AB59" s="326"/>
      <c r="AC59" s="326"/>
      <c r="AD59" s="326"/>
      <c r="AE59" s="326"/>
      <c r="AF59" s="326"/>
    </row>
    <row r="60" customFormat="false" ht="12.75" hidden="false" customHeight="false" outlineLevel="0" collapsed="false">
      <c r="B60" s="351"/>
      <c r="C60" s="326"/>
      <c r="D60" s="326"/>
      <c r="E60" s="326"/>
      <c r="F60" s="326"/>
      <c r="G60" s="326"/>
      <c r="H60" s="326"/>
      <c r="I60" s="352"/>
      <c r="O60" s="326"/>
      <c r="P60" s="326"/>
      <c r="Q60" s="326"/>
      <c r="R60" s="326"/>
      <c r="S60" s="326"/>
      <c r="T60" s="326"/>
      <c r="U60" s="326"/>
      <c r="V60" s="326"/>
      <c r="W60" s="326"/>
      <c r="X60" s="326"/>
      <c r="Y60" s="326"/>
      <c r="Z60" s="326"/>
      <c r="AA60" s="326"/>
      <c r="AB60" s="326"/>
      <c r="AC60" s="326"/>
      <c r="AD60" s="326"/>
      <c r="AE60" s="326"/>
      <c r="AF60" s="326"/>
    </row>
    <row r="61" customFormat="false" ht="12.75" hidden="false" customHeight="false" outlineLevel="0" collapsed="false">
      <c r="B61" s="351"/>
      <c r="C61" s="326"/>
      <c r="D61" s="326"/>
      <c r="E61" s="326"/>
      <c r="F61" s="326"/>
      <c r="G61" s="326"/>
      <c r="H61" s="326"/>
      <c r="I61" s="352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326"/>
      <c r="Z61" s="326"/>
      <c r="AA61" s="326"/>
      <c r="AB61" s="326"/>
      <c r="AC61" s="326"/>
      <c r="AD61" s="326"/>
      <c r="AE61" s="326"/>
      <c r="AF61" s="326"/>
    </row>
    <row r="62" customFormat="false" ht="12.75" hidden="false" customHeight="false" outlineLevel="0" collapsed="false">
      <c r="B62" s="351"/>
      <c r="C62" s="326"/>
      <c r="D62" s="326"/>
      <c r="E62" s="326"/>
      <c r="F62" s="326"/>
      <c r="G62" s="326"/>
      <c r="H62" s="326"/>
      <c r="I62" s="352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</row>
    <row r="63" customFormat="false" ht="12.75" hidden="false" customHeight="false" outlineLevel="0" collapsed="false">
      <c r="B63" s="351"/>
      <c r="C63" s="326"/>
      <c r="D63" s="326"/>
      <c r="E63" s="326"/>
      <c r="F63" s="326"/>
      <c r="G63" s="326"/>
      <c r="H63" s="326"/>
      <c r="I63" s="352"/>
      <c r="O63" s="326"/>
      <c r="P63" s="326"/>
      <c r="Q63" s="326"/>
      <c r="R63" s="326"/>
      <c r="S63" s="326"/>
      <c r="T63" s="326"/>
      <c r="U63" s="326"/>
      <c r="V63" s="326"/>
      <c r="W63" s="326"/>
      <c r="X63" s="326"/>
      <c r="Y63" s="326"/>
      <c r="Z63" s="326"/>
      <c r="AA63" s="326"/>
      <c r="AB63" s="326"/>
      <c r="AC63" s="326"/>
      <c r="AD63" s="326"/>
      <c r="AE63" s="326"/>
      <c r="AF63" s="326"/>
    </row>
    <row r="64" customFormat="false" ht="13.5" hidden="false" customHeight="false" outlineLevel="0" collapsed="false">
      <c r="B64" s="353"/>
      <c r="C64" s="354"/>
      <c r="D64" s="354"/>
      <c r="E64" s="354"/>
      <c r="F64" s="354"/>
      <c r="G64" s="354"/>
      <c r="H64" s="354"/>
      <c r="I64" s="355"/>
      <c r="O64" s="326"/>
      <c r="P64" s="326"/>
      <c r="Q64" s="326"/>
      <c r="R64" s="326"/>
      <c r="S64" s="326"/>
      <c r="T64" s="326"/>
      <c r="U64" s="326"/>
      <c r="V64" s="326"/>
      <c r="W64" s="326"/>
      <c r="X64" s="326"/>
      <c r="Y64" s="326"/>
      <c r="Z64" s="326"/>
      <c r="AA64" s="326"/>
      <c r="AB64" s="326"/>
      <c r="AC64" s="326"/>
      <c r="AD64" s="326"/>
      <c r="AE64" s="326"/>
      <c r="AF64" s="326"/>
    </row>
    <row r="65" customFormat="false" ht="12.75" hidden="false" customHeight="false" outlineLevel="0" collapsed="false">
      <c r="C65" s="0"/>
      <c r="D65" s="0"/>
      <c r="E65" s="0"/>
      <c r="F65" s="0"/>
      <c r="G65" s="0"/>
      <c r="H65" s="0"/>
      <c r="I65" s="0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6"/>
      <c r="AA65" s="326"/>
      <c r="AB65" s="326"/>
      <c r="AC65" s="326"/>
      <c r="AD65" s="326"/>
      <c r="AE65" s="326"/>
      <c r="AF65" s="326"/>
    </row>
    <row r="66" customFormat="false" ht="12.75" hidden="false" customHeight="false" outlineLevel="0" collapsed="false">
      <c r="C66" s="0"/>
      <c r="D66" s="0"/>
      <c r="E66" s="0"/>
      <c r="F66" s="0"/>
      <c r="G66" s="0"/>
      <c r="H66" s="0"/>
      <c r="I66" s="0"/>
      <c r="O66" s="326"/>
      <c r="P66" s="326"/>
      <c r="Q66" s="326"/>
      <c r="R66" s="326"/>
      <c r="S66" s="326"/>
      <c r="T66" s="326"/>
      <c r="U66" s="326"/>
      <c r="V66" s="326"/>
      <c r="W66" s="326"/>
      <c r="X66" s="326"/>
      <c r="Y66" s="326"/>
      <c r="Z66" s="326"/>
      <c r="AA66" s="326"/>
      <c r="AB66" s="326"/>
      <c r="AC66" s="326"/>
      <c r="AD66" s="326"/>
      <c r="AE66" s="326"/>
      <c r="AF66" s="326"/>
    </row>
    <row r="67" customFormat="false" ht="12.75" hidden="false" customHeight="false" outlineLevel="0" collapsed="false">
      <c r="C67" s="0"/>
      <c r="D67" s="0"/>
      <c r="E67" s="0"/>
      <c r="F67" s="0"/>
      <c r="G67" s="0"/>
      <c r="H67" s="0"/>
      <c r="I67" s="0"/>
      <c r="O67" s="326"/>
      <c r="P67" s="326"/>
      <c r="Q67" s="326"/>
      <c r="R67" s="326"/>
      <c r="S67" s="326"/>
      <c r="T67" s="326"/>
      <c r="U67" s="326"/>
      <c r="V67" s="326"/>
      <c r="W67" s="326"/>
      <c r="X67" s="326"/>
      <c r="Y67" s="326"/>
      <c r="Z67" s="326"/>
      <c r="AA67" s="326"/>
      <c r="AB67" s="326"/>
      <c r="AC67" s="326"/>
      <c r="AD67" s="326"/>
      <c r="AE67" s="326"/>
      <c r="AF67" s="326"/>
    </row>
    <row r="68" customFormat="false" ht="12.75" hidden="false" customHeight="false" outlineLevel="0" collapsed="false">
      <c r="C68" s="0"/>
      <c r="D68" s="0"/>
      <c r="E68" s="0"/>
      <c r="F68" s="0"/>
      <c r="G68" s="0"/>
      <c r="H68" s="0"/>
      <c r="I68" s="0"/>
      <c r="O68" s="326"/>
      <c r="P68" s="326"/>
      <c r="Q68" s="326"/>
      <c r="R68" s="326"/>
      <c r="S68" s="326"/>
      <c r="T68" s="326"/>
      <c r="U68" s="326"/>
      <c r="V68" s="326"/>
      <c r="W68" s="326"/>
      <c r="X68" s="326"/>
      <c r="Y68" s="326"/>
      <c r="Z68" s="326"/>
      <c r="AA68" s="326"/>
      <c r="AB68" s="326"/>
      <c r="AC68" s="326"/>
      <c r="AD68" s="326"/>
      <c r="AE68" s="326"/>
      <c r="AF68" s="326"/>
    </row>
    <row r="69" customFormat="false" ht="12.75" hidden="false" customHeight="false" outlineLevel="0" collapsed="false">
      <c r="C69" s="0"/>
      <c r="D69" s="0"/>
      <c r="E69" s="0"/>
      <c r="F69" s="0"/>
      <c r="G69" s="0"/>
      <c r="H69" s="0"/>
      <c r="I69" s="0"/>
      <c r="AA69" s="326"/>
      <c r="AB69" s="326"/>
      <c r="AC69" s="326"/>
    </row>
    <row r="70" customFormat="false" ht="12.75" hidden="false" customHeight="false" outlineLevel="0" collapsed="false">
      <c r="C70" s="0"/>
      <c r="D70" s="0"/>
      <c r="E70" s="0"/>
      <c r="F70" s="0"/>
      <c r="G70" s="0"/>
      <c r="H70" s="0"/>
      <c r="I70" s="0"/>
      <c r="AA70" s="326"/>
      <c r="AB70" s="326"/>
      <c r="AC70" s="326"/>
    </row>
    <row r="71" customFormat="false" ht="12.75" hidden="false" customHeight="false" outlineLevel="0" collapsed="false">
      <c r="C71" s="0"/>
      <c r="D71" s="0"/>
      <c r="E71" s="0"/>
      <c r="F71" s="0"/>
      <c r="G71" s="0"/>
      <c r="H71" s="0"/>
      <c r="I71" s="0"/>
      <c r="AA71" s="326"/>
      <c r="AB71" s="326"/>
      <c r="AC71" s="326"/>
    </row>
    <row r="72" customFormat="false" ht="12.75" hidden="false" customHeight="false" outlineLevel="0" collapsed="false">
      <c r="C72" s="0"/>
      <c r="D72" s="0"/>
      <c r="E72" s="0"/>
      <c r="F72" s="0"/>
      <c r="G72" s="0"/>
      <c r="H72" s="0"/>
      <c r="I72" s="0"/>
      <c r="AA72" s="326"/>
      <c r="AB72" s="326"/>
      <c r="AC72" s="326"/>
    </row>
    <row r="73" customFormat="false" ht="12.75" hidden="false" customHeight="false" outlineLevel="0" collapsed="false">
      <c r="C73" s="0"/>
      <c r="D73" s="0"/>
      <c r="E73" s="0"/>
      <c r="F73" s="0"/>
      <c r="G73" s="0"/>
      <c r="H73" s="0"/>
      <c r="I73" s="0"/>
      <c r="AA73" s="326"/>
      <c r="AB73" s="326"/>
      <c r="AC73" s="326"/>
    </row>
    <row r="74" customFormat="false" ht="12.75" hidden="false" customHeight="false" outlineLevel="0" collapsed="false">
      <c r="C74" s="0"/>
      <c r="D74" s="0"/>
      <c r="E74" s="0"/>
      <c r="F74" s="0"/>
      <c r="G74" s="0"/>
      <c r="H74" s="0"/>
      <c r="I74" s="0"/>
      <c r="AA74" s="326"/>
      <c r="AB74" s="326"/>
      <c r="AC74" s="326"/>
    </row>
    <row r="75" customFormat="false" ht="12.75" hidden="false" customHeight="false" outlineLevel="0" collapsed="false">
      <c r="C75" s="0"/>
      <c r="D75" s="0"/>
      <c r="E75" s="0"/>
      <c r="F75" s="0"/>
      <c r="G75" s="0"/>
      <c r="H75" s="0"/>
      <c r="I75" s="0"/>
      <c r="AA75" s="326"/>
      <c r="AB75" s="326"/>
      <c r="AC75" s="326"/>
    </row>
    <row r="76" customFormat="false" ht="12.75" hidden="false" customHeight="false" outlineLevel="0" collapsed="false">
      <c r="C76" s="0"/>
      <c r="D76" s="0"/>
      <c r="E76" s="0"/>
      <c r="F76" s="0"/>
      <c r="G76" s="0"/>
      <c r="H76" s="0"/>
      <c r="I76" s="0"/>
    </row>
    <row r="77" customFormat="false" ht="12.75" hidden="false" customHeight="false" outlineLevel="0" collapsed="false">
      <c r="C77" s="0"/>
      <c r="D77" s="0"/>
      <c r="E77" s="0"/>
      <c r="F77" s="0"/>
      <c r="G77" s="0"/>
      <c r="H77" s="0"/>
      <c r="I77" s="0"/>
    </row>
    <row r="78" customFormat="false" ht="12.75" hidden="false" customHeight="false" outlineLevel="0" collapsed="false">
      <c r="C78" s="0"/>
      <c r="D78" s="0"/>
      <c r="E78" s="0"/>
      <c r="F78" s="0"/>
      <c r="G78" s="0"/>
      <c r="H78" s="0"/>
      <c r="I78" s="0"/>
    </row>
    <row r="79" customFormat="false" ht="12.75" hidden="false" customHeight="false" outlineLevel="0" collapsed="false">
      <c r="C79" s="0"/>
      <c r="D79" s="0"/>
      <c r="E79" s="0"/>
      <c r="F79" s="0"/>
      <c r="G79" s="0"/>
      <c r="H79" s="0"/>
      <c r="I79" s="0"/>
    </row>
    <row r="80" customFormat="false" ht="12.75" hidden="false" customHeight="false" outlineLevel="0" collapsed="false">
      <c r="C80" s="0"/>
      <c r="D80" s="0"/>
      <c r="E80" s="0"/>
      <c r="F80" s="0"/>
      <c r="G80" s="0"/>
      <c r="H80" s="0"/>
      <c r="I80" s="0"/>
    </row>
    <row r="81" customFormat="false" ht="12.75" hidden="false" customHeight="false" outlineLevel="0" collapsed="false">
      <c r="C81" s="0"/>
      <c r="D81" s="0"/>
      <c r="E81" s="0"/>
      <c r="F81" s="0"/>
      <c r="G81" s="0"/>
      <c r="H81" s="0"/>
      <c r="I81" s="0"/>
    </row>
    <row r="82" customFormat="false" ht="12.75" hidden="false" customHeight="false" outlineLevel="0" collapsed="false">
      <c r="C82" s="0"/>
      <c r="D82" s="0"/>
      <c r="E82" s="0"/>
      <c r="F82" s="0"/>
      <c r="G82" s="0"/>
      <c r="H82" s="0"/>
      <c r="I82" s="0"/>
    </row>
    <row r="83" customFormat="false" ht="12.75" hidden="false" customHeight="false" outlineLevel="0" collapsed="false">
      <c r="C83" s="0"/>
      <c r="D83" s="0"/>
      <c r="E83" s="0"/>
      <c r="F83" s="0"/>
      <c r="G83" s="0"/>
      <c r="H83" s="0"/>
      <c r="I83" s="0"/>
    </row>
    <row r="84" customFormat="false" ht="12.75" hidden="false" customHeight="false" outlineLevel="0" collapsed="false">
      <c r="C84" s="0"/>
      <c r="D84" s="0"/>
      <c r="E84" s="0"/>
      <c r="F84" s="0"/>
      <c r="G84" s="0"/>
      <c r="H84" s="0"/>
      <c r="I84" s="0"/>
    </row>
    <row r="85" customFormat="false" ht="12.75" hidden="false" customHeight="false" outlineLevel="0" collapsed="false">
      <c r="C85" s="0"/>
      <c r="D85" s="0"/>
      <c r="E85" s="0"/>
      <c r="F85" s="0"/>
      <c r="G85" s="0"/>
      <c r="H85" s="0"/>
      <c r="I85" s="0"/>
    </row>
    <row r="86" customFormat="false" ht="12.75" hidden="false" customHeight="false" outlineLevel="0" collapsed="false">
      <c r="C86" s="0"/>
      <c r="D86" s="0"/>
      <c r="E86" s="0"/>
      <c r="F86" s="0"/>
      <c r="G86" s="0"/>
      <c r="H86" s="0"/>
      <c r="I86" s="0"/>
    </row>
    <row r="87" customFormat="false" ht="12.75" hidden="false" customHeight="false" outlineLevel="0" collapsed="false">
      <c r="C87" s="0"/>
      <c r="D87" s="0"/>
      <c r="E87" s="0"/>
      <c r="F87" s="0"/>
      <c r="G87" s="0"/>
      <c r="H87" s="0"/>
      <c r="I87" s="0"/>
    </row>
    <row r="88" customFormat="false" ht="12.75" hidden="false" customHeight="false" outlineLevel="0" collapsed="false">
      <c r="C88" s="0"/>
      <c r="D88" s="0"/>
      <c r="E88" s="0"/>
      <c r="F88" s="0"/>
      <c r="G88" s="0"/>
      <c r="H88" s="0"/>
      <c r="I88" s="0"/>
    </row>
    <row r="89" customFormat="false" ht="12.75" hidden="false" customHeight="false" outlineLevel="0" collapsed="false">
      <c r="C89" s="0"/>
      <c r="D89" s="0"/>
      <c r="E89" s="0"/>
      <c r="F89" s="0"/>
      <c r="G89" s="0"/>
      <c r="H89" s="0"/>
      <c r="I89" s="0"/>
    </row>
    <row r="90" customFormat="false" ht="12.75" hidden="false" customHeight="false" outlineLevel="0" collapsed="false">
      <c r="C90" s="0"/>
      <c r="D90" s="0"/>
      <c r="E90" s="0"/>
      <c r="F90" s="0"/>
      <c r="G90" s="0"/>
      <c r="H90" s="0"/>
      <c r="I90" s="0"/>
    </row>
    <row r="91" customFormat="false" ht="12.75" hidden="false" customHeight="false" outlineLevel="0" collapsed="false">
      <c r="C91" s="0"/>
      <c r="D91" s="0"/>
      <c r="E91" s="0"/>
      <c r="F91" s="0"/>
      <c r="G91" s="0"/>
      <c r="H91" s="0"/>
      <c r="I91" s="0"/>
    </row>
    <row r="92" customFormat="false" ht="12.75" hidden="false" customHeight="false" outlineLevel="0" collapsed="false">
      <c r="C92" s="0"/>
      <c r="D92" s="0"/>
      <c r="E92" s="0"/>
      <c r="F92" s="0"/>
      <c r="G92" s="0"/>
      <c r="H92" s="0"/>
      <c r="I92" s="0"/>
    </row>
    <row r="93" customFormat="false" ht="12.75" hidden="false" customHeight="false" outlineLevel="0" collapsed="false">
      <c r="C93" s="0"/>
      <c r="D93" s="0"/>
      <c r="E93" s="0"/>
      <c r="F93" s="0"/>
      <c r="G93" s="0"/>
      <c r="H93" s="0"/>
      <c r="I93" s="0"/>
    </row>
    <row r="94" customFormat="false" ht="12.75" hidden="false" customHeight="false" outlineLevel="0" collapsed="false">
      <c r="C94" s="0"/>
      <c r="D94" s="0"/>
      <c r="E94" s="0"/>
      <c r="F94" s="0"/>
      <c r="G94" s="0"/>
      <c r="H94" s="0"/>
      <c r="I94" s="0"/>
    </row>
    <row r="95" customFormat="false" ht="12.75" hidden="false" customHeight="false" outlineLevel="0" collapsed="false">
      <c r="C95" s="0"/>
      <c r="D95" s="0"/>
      <c r="E95" s="0"/>
      <c r="F95" s="0"/>
      <c r="G95" s="0"/>
      <c r="H95" s="0"/>
      <c r="I95" s="0"/>
    </row>
    <row r="96" customFormat="false" ht="12.75" hidden="false" customHeight="false" outlineLevel="0" collapsed="false">
      <c r="C96" s="0"/>
      <c r="D96" s="0"/>
      <c r="E96" s="0"/>
      <c r="F96" s="0"/>
      <c r="G96" s="0"/>
      <c r="H96" s="0"/>
      <c r="I96" s="0"/>
    </row>
    <row r="97" customFormat="false" ht="12.75" hidden="false" customHeight="false" outlineLevel="0" collapsed="false">
      <c r="C97" s="0"/>
      <c r="D97" s="0"/>
      <c r="E97" s="0"/>
      <c r="F97" s="0"/>
      <c r="G97" s="0"/>
      <c r="H97" s="0"/>
      <c r="I97" s="0"/>
    </row>
    <row r="98" customFormat="false" ht="12.75" hidden="false" customHeight="false" outlineLevel="0" collapsed="false">
      <c r="C98" s="0"/>
      <c r="D98" s="0"/>
      <c r="E98" s="0"/>
      <c r="F98" s="0"/>
      <c r="G98" s="0"/>
      <c r="H98" s="0"/>
      <c r="I98" s="0"/>
    </row>
    <row r="99" customFormat="false" ht="12.75" hidden="false" customHeight="false" outlineLevel="0" collapsed="false">
      <c r="C99" s="0"/>
      <c r="D99" s="0"/>
      <c r="E99" s="0"/>
      <c r="F99" s="0"/>
      <c r="G99" s="0"/>
      <c r="H99" s="0"/>
      <c r="I99" s="0"/>
    </row>
    <row r="100" customFormat="false" ht="12.75" hidden="false" customHeight="false" outlineLevel="0" collapsed="false">
      <c r="C100" s="0"/>
      <c r="D100" s="0"/>
      <c r="E100" s="0"/>
      <c r="F100" s="0"/>
      <c r="G100" s="0"/>
      <c r="H100" s="0"/>
      <c r="I100" s="0"/>
    </row>
    <row r="101" customFormat="false" ht="12.75" hidden="false" customHeight="false" outlineLevel="0" collapsed="false">
      <c r="C101" s="0"/>
      <c r="D101" s="0"/>
      <c r="E101" s="0"/>
      <c r="F101" s="0"/>
      <c r="G101" s="0"/>
      <c r="H101" s="0"/>
      <c r="I101" s="0"/>
    </row>
    <row r="102" customFormat="false" ht="12.75" hidden="false" customHeight="false" outlineLevel="0" collapsed="false">
      <c r="C102" s="0"/>
      <c r="D102" s="0"/>
      <c r="E102" s="0"/>
      <c r="F102" s="0"/>
      <c r="G102" s="0"/>
      <c r="H102" s="0"/>
      <c r="I102" s="0"/>
    </row>
    <row r="103" customFormat="false" ht="12.75" hidden="false" customHeight="false" outlineLevel="0" collapsed="false">
      <c r="C103" s="0"/>
      <c r="D103" s="0"/>
      <c r="E103" s="0"/>
      <c r="F103" s="0"/>
      <c r="G103" s="0"/>
      <c r="H103" s="0"/>
      <c r="I103" s="0"/>
    </row>
    <row r="104" customFormat="false" ht="12.75" hidden="false" customHeight="false" outlineLevel="0" collapsed="false">
      <c r="C104" s="0"/>
      <c r="D104" s="0"/>
      <c r="E104" s="0"/>
      <c r="F104" s="0"/>
      <c r="G104" s="0"/>
      <c r="H104" s="0"/>
      <c r="I104" s="0"/>
    </row>
    <row r="105" customFormat="false" ht="12.75" hidden="false" customHeight="false" outlineLevel="0" collapsed="false">
      <c r="C105" s="0"/>
      <c r="D105" s="0"/>
      <c r="E105" s="0"/>
      <c r="F105" s="0"/>
      <c r="G105" s="0"/>
      <c r="H105" s="0"/>
      <c r="I105" s="0"/>
    </row>
    <row r="106" customFormat="false" ht="12.75" hidden="false" customHeight="false" outlineLevel="0" collapsed="false">
      <c r="C106" s="0"/>
      <c r="D106" s="0"/>
      <c r="E106" s="0"/>
      <c r="F106" s="0"/>
      <c r="G106" s="0"/>
      <c r="H106" s="0"/>
      <c r="I106" s="0"/>
    </row>
    <row r="107" customFormat="false" ht="12.75" hidden="false" customHeight="false" outlineLevel="0" collapsed="false">
      <c r="C107" s="0"/>
      <c r="D107" s="0"/>
      <c r="E107" s="0"/>
      <c r="F107" s="0"/>
      <c r="G107" s="0"/>
      <c r="H107" s="0"/>
      <c r="I107" s="0"/>
    </row>
    <row r="108" customFormat="false" ht="12.75" hidden="false" customHeight="false" outlineLevel="0" collapsed="false">
      <c r="C108" s="0"/>
      <c r="D108" s="0"/>
      <c r="E108" s="0"/>
      <c r="F108" s="0"/>
      <c r="G108" s="0"/>
      <c r="H108" s="0"/>
      <c r="I108" s="0"/>
    </row>
    <row r="109" customFormat="false" ht="12.75" hidden="false" customHeight="false" outlineLevel="0" collapsed="false">
      <c r="C109" s="0"/>
      <c r="D109" s="0"/>
      <c r="E109" s="0"/>
      <c r="F109" s="0"/>
      <c r="G109" s="0"/>
      <c r="H109" s="0"/>
      <c r="I109" s="0"/>
    </row>
    <row r="110" customFormat="false" ht="12.75" hidden="false" customHeight="false" outlineLevel="0" collapsed="false">
      <c r="C110" s="0"/>
      <c r="D110" s="0"/>
      <c r="E110" s="0"/>
      <c r="F110" s="0"/>
      <c r="G110" s="0"/>
      <c r="H110" s="0"/>
      <c r="I110" s="0"/>
    </row>
    <row r="111" customFormat="false" ht="12.75" hidden="false" customHeight="false" outlineLevel="0" collapsed="false">
      <c r="C111" s="0"/>
      <c r="D111" s="0"/>
      <c r="E111" s="0"/>
      <c r="F111" s="0"/>
      <c r="G111" s="0"/>
      <c r="H111" s="0"/>
      <c r="I111" s="0"/>
    </row>
    <row r="112" customFormat="false" ht="12.75" hidden="false" customHeight="false" outlineLevel="0" collapsed="false">
      <c r="C112" s="0"/>
      <c r="D112" s="0"/>
      <c r="E112" s="0"/>
      <c r="F112" s="0"/>
      <c r="G112" s="0"/>
      <c r="H112" s="0"/>
      <c r="I112" s="0"/>
    </row>
    <row r="113" customFormat="false" ht="12.75" hidden="false" customHeight="false" outlineLevel="0" collapsed="false">
      <c r="C113" s="0"/>
      <c r="D113" s="0"/>
      <c r="E113" s="0"/>
      <c r="F113" s="0"/>
      <c r="G113" s="0"/>
      <c r="H113" s="0"/>
      <c r="I113" s="0"/>
    </row>
    <row r="114" customFormat="false" ht="12.75" hidden="false" customHeight="false" outlineLevel="0" collapsed="false">
      <c r="C114" s="0"/>
      <c r="D114" s="0"/>
      <c r="E114" s="0"/>
      <c r="F114" s="0"/>
      <c r="G114" s="0"/>
      <c r="H114" s="0"/>
      <c r="I114" s="0"/>
    </row>
    <row r="115" customFormat="false" ht="12.75" hidden="false" customHeight="false" outlineLevel="0" collapsed="false">
      <c r="C115" s="0"/>
      <c r="D115" s="0"/>
      <c r="E115" s="0"/>
      <c r="F115" s="0"/>
      <c r="G115" s="0"/>
      <c r="H115" s="0"/>
      <c r="I115" s="0"/>
    </row>
    <row r="116" customFormat="false" ht="12.75" hidden="false" customHeight="false" outlineLevel="0" collapsed="false">
      <c r="C116" s="0"/>
      <c r="D116" s="0"/>
      <c r="E116" s="0"/>
      <c r="F116" s="0"/>
      <c r="G116" s="0"/>
      <c r="H116" s="0"/>
      <c r="I116" s="0"/>
    </row>
    <row r="117" customFormat="false" ht="12.75" hidden="false" customHeight="false" outlineLevel="0" collapsed="false">
      <c r="C117" s="0"/>
      <c r="D117" s="0"/>
      <c r="E117" s="0"/>
      <c r="F117" s="0"/>
      <c r="G117" s="0"/>
      <c r="H117" s="0"/>
      <c r="I117" s="0"/>
    </row>
    <row r="118" customFormat="false" ht="12.75" hidden="false" customHeight="false" outlineLevel="0" collapsed="false">
      <c r="C118" s="0"/>
      <c r="D118" s="0"/>
      <c r="E118" s="0"/>
      <c r="F118" s="0"/>
      <c r="G118" s="0"/>
      <c r="H118" s="0"/>
      <c r="I118" s="0"/>
    </row>
    <row r="119" customFormat="false" ht="12.75" hidden="false" customHeight="false" outlineLevel="0" collapsed="false">
      <c r="C119" s="0"/>
      <c r="D119" s="0"/>
      <c r="E119" s="0"/>
      <c r="F119" s="0"/>
      <c r="G119" s="0"/>
      <c r="H119" s="0"/>
      <c r="I119" s="0"/>
    </row>
    <row r="120" customFormat="false" ht="12.75" hidden="false" customHeight="false" outlineLevel="0" collapsed="false">
      <c r="C120" s="0"/>
      <c r="D120" s="0"/>
      <c r="E120" s="0"/>
      <c r="F120" s="0"/>
      <c r="G120" s="0"/>
      <c r="H120" s="0"/>
      <c r="I120" s="0"/>
    </row>
    <row r="121" customFormat="false" ht="12.75" hidden="false" customHeight="false" outlineLevel="0" collapsed="false">
      <c r="C121" s="0"/>
      <c r="D121" s="0"/>
      <c r="E121" s="0"/>
      <c r="F121" s="0"/>
      <c r="G121" s="0"/>
      <c r="H121" s="0"/>
      <c r="I121" s="0"/>
    </row>
    <row r="122" customFormat="false" ht="12.75" hidden="false" customHeight="false" outlineLevel="0" collapsed="false">
      <c r="C122" s="0"/>
      <c r="D122" s="0"/>
      <c r="E122" s="0"/>
      <c r="F122" s="0"/>
      <c r="G122" s="0"/>
      <c r="H122" s="0"/>
      <c r="I122" s="0"/>
    </row>
    <row r="123" customFormat="false" ht="12.75" hidden="false" customHeight="false" outlineLevel="0" collapsed="false">
      <c r="C123" s="0"/>
      <c r="D123" s="0"/>
      <c r="E123" s="0"/>
      <c r="F123" s="0"/>
      <c r="G123" s="0"/>
      <c r="H123" s="0"/>
      <c r="I123" s="0"/>
    </row>
    <row r="124" customFormat="false" ht="12.75" hidden="false" customHeight="false" outlineLevel="0" collapsed="false">
      <c r="C124" s="0"/>
      <c r="D124" s="0"/>
      <c r="E124" s="0"/>
      <c r="F124" s="0"/>
      <c r="G124" s="0"/>
      <c r="H124" s="0"/>
      <c r="I124" s="0"/>
    </row>
    <row r="125" customFormat="false" ht="12.75" hidden="false" customHeight="false" outlineLevel="0" collapsed="false">
      <c r="C125" s="0"/>
      <c r="D125" s="0"/>
      <c r="E125" s="0"/>
      <c r="F125" s="0"/>
      <c r="G125" s="0"/>
      <c r="H125" s="0"/>
      <c r="I125" s="0"/>
    </row>
    <row r="126" customFormat="false" ht="12.75" hidden="false" customHeight="false" outlineLevel="0" collapsed="false">
      <c r="C126" s="0"/>
      <c r="D126" s="0"/>
      <c r="E126" s="0"/>
      <c r="F126" s="0"/>
      <c r="G126" s="0"/>
      <c r="H126" s="0"/>
      <c r="I126" s="0"/>
    </row>
    <row r="127" customFormat="false" ht="12.75" hidden="false" customHeight="false" outlineLevel="0" collapsed="false">
      <c r="C127" s="0"/>
      <c r="D127" s="0"/>
      <c r="E127" s="0"/>
      <c r="F127" s="0"/>
      <c r="G127" s="0"/>
      <c r="H127" s="0"/>
      <c r="I127" s="0"/>
    </row>
    <row r="128" customFormat="false" ht="12.75" hidden="false" customHeight="false" outlineLevel="0" collapsed="false">
      <c r="C128" s="0"/>
      <c r="D128" s="0"/>
      <c r="E128" s="0"/>
      <c r="F128" s="0"/>
      <c r="G128" s="0"/>
      <c r="H128" s="0"/>
      <c r="I128" s="0"/>
    </row>
    <row r="129" customFormat="false" ht="12.75" hidden="false" customHeight="false" outlineLevel="0" collapsed="false">
      <c r="C129" s="0"/>
      <c r="D129" s="0"/>
      <c r="E129" s="0"/>
      <c r="F129" s="0"/>
      <c r="G129" s="0"/>
      <c r="H129" s="0"/>
      <c r="I129" s="0"/>
    </row>
    <row r="130" customFormat="false" ht="12.75" hidden="false" customHeight="false" outlineLevel="0" collapsed="false">
      <c r="C130" s="0"/>
      <c r="D130" s="0"/>
      <c r="E130" s="0"/>
      <c r="F130" s="0"/>
      <c r="G130" s="0"/>
      <c r="H130" s="0"/>
      <c r="I130" s="0"/>
    </row>
    <row r="131" customFormat="false" ht="12.75" hidden="false" customHeight="false" outlineLevel="0" collapsed="false">
      <c r="C131" s="0"/>
      <c r="D131" s="0"/>
      <c r="E131" s="0"/>
      <c r="F131" s="0"/>
      <c r="G131" s="0"/>
      <c r="H131" s="0"/>
      <c r="I131" s="0"/>
    </row>
    <row r="132" customFormat="false" ht="12.75" hidden="false" customHeight="false" outlineLevel="0" collapsed="false">
      <c r="C132" s="0"/>
      <c r="D132" s="0"/>
      <c r="E132" s="0"/>
      <c r="F132" s="0"/>
      <c r="G132" s="0"/>
      <c r="H132" s="0"/>
      <c r="I132" s="0"/>
    </row>
    <row r="133" customFormat="false" ht="12.75" hidden="false" customHeight="false" outlineLevel="0" collapsed="false">
      <c r="C133" s="0"/>
      <c r="D133" s="0"/>
      <c r="E133" s="0"/>
      <c r="F133" s="0"/>
      <c r="G133" s="0"/>
      <c r="H133" s="0"/>
      <c r="I133" s="0"/>
    </row>
    <row r="134" customFormat="false" ht="12.75" hidden="false" customHeight="false" outlineLevel="0" collapsed="false">
      <c r="C134" s="0"/>
      <c r="D134" s="0"/>
      <c r="E134" s="0"/>
      <c r="F134" s="0"/>
      <c r="G134" s="0"/>
      <c r="H134" s="0"/>
      <c r="I134" s="0"/>
    </row>
    <row r="135" customFormat="false" ht="12.75" hidden="false" customHeight="false" outlineLevel="0" collapsed="false">
      <c r="C135" s="0"/>
      <c r="D135" s="0"/>
      <c r="E135" s="0"/>
      <c r="F135" s="0"/>
      <c r="G135" s="0"/>
      <c r="H135" s="0"/>
      <c r="I135" s="0"/>
    </row>
    <row r="136" customFormat="false" ht="12.75" hidden="false" customHeight="false" outlineLevel="0" collapsed="false">
      <c r="C136" s="0"/>
      <c r="D136" s="0"/>
      <c r="E136" s="0"/>
      <c r="F136" s="0"/>
      <c r="G136" s="0"/>
      <c r="H136" s="0"/>
      <c r="I136" s="0"/>
    </row>
    <row r="137" customFormat="false" ht="12.75" hidden="false" customHeight="false" outlineLevel="0" collapsed="false">
      <c r="C137" s="0"/>
      <c r="D137" s="0"/>
      <c r="E137" s="0"/>
      <c r="F137" s="0"/>
      <c r="G137" s="0"/>
      <c r="H137" s="0"/>
      <c r="I137" s="0"/>
    </row>
    <row r="138" customFormat="false" ht="12.75" hidden="false" customHeight="false" outlineLevel="0" collapsed="false">
      <c r="C138" s="0"/>
      <c r="D138" s="0"/>
      <c r="E138" s="0"/>
      <c r="F138" s="0"/>
      <c r="G138" s="0"/>
      <c r="H138" s="0"/>
      <c r="I138" s="0"/>
    </row>
    <row r="139" customFormat="false" ht="12.75" hidden="false" customHeight="false" outlineLevel="0" collapsed="false">
      <c r="C139" s="0"/>
      <c r="D139" s="0"/>
      <c r="E139" s="0"/>
      <c r="F139" s="0"/>
      <c r="G139" s="0"/>
      <c r="H139" s="0"/>
      <c r="I139" s="0"/>
    </row>
    <row r="140" customFormat="false" ht="12.75" hidden="false" customHeight="false" outlineLevel="0" collapsed="false">
      <c r="C140" s="0"/>
      <c r="D140" s="0"/>
      <c r="E140" s="0"/>
      <c r="F140" s="0"/>
      <c r="G140" s="0"/>
      <c r="H140" s="0"/>
      <c r="I140" s="0"/>
    </row>
    <row r="141" customFormat="false" ht="12.75" hidden="false" customHeight="false" outlineLevel="0" collapsed="false">
      <c r="C141" s="0"/>
      <c r="D141" s="0"/>
      <c r="E141" s="0"/>
      <c r="F141" s="0"/>
      <c r="G141" s="0"/>
      <c r="H141" s="0"/>
      <c r="I141" s="0"/>
    </row>
    <row r="142" customFormat="false" ht="12.75" hidden="false" customHeight="false" outlineLevel="0" collapsed="false">
      <c r="C142" s="0"/>
      <c r="D142" s="0"/>
      <c r="E142" s="0"/>
      <c r="F142" s="0"/>
      <c r="G142" s="0"/>
      <c r="H142" s="0"/>
      <c r="I142" s="0"/>
    </row>
    <row r="143" customFormat="false" ht="12.75" hidden="false" customHeight="false" outlineLevel="0" collapsed="false">
      <c r="C143" s="0"/>
      <c r="D143" s="0"/>
      <c r="E143" s="0"/>
      <c r="F143" s="0"/>
      <c r="G143" s="0"/>
      <c r="H143" s="0"/>
      <c r="I143" s="0"/>
    </row>
    <row r="144" customFormat="false" ht="12.75" hidden="false" customHeight="false" outlineLevel="0" collapsed="false">
      <c r="C144" s="0"/>
      <c r="D144" s="0"/>
      <c r="E144" s="0"/>
      <c r="F144" s="0"/>
      <c r="G144" s="0"/>
      <c r="H144" s="0"/>
      <c r="I144" s="0"/>
    </row>
    <row r="145" customFormat="false" ht="12.75" hidden="false" customHeight="false" outlineLevel="0" collapsed="false">
      <c r="C145" s="0"/>
      <c r="D145" s="0"/>
      <c r="E145" s="0"/>
      <c r="F145" s="0"/>
      <c r="G145" s="0"/>
      <c r="H145" s="0"/>
      <c r="I145" s="0"/>
    </row>
    <row r="146" customFormat="false" ht="12.75" hidden="false" customHeight="false" outlineLevel="0" collapsed="false">
      <c r="C146" s="0"/>
      <c r="D146" s="0"/>
      <c r="E146" s="0"/>
      <c r="F146" s="0"/>
      <c r="G146" s="0"/>
      <c r="H146" s="0"/>
      <c r="I146" s="0"/>
    </row>
    <row r="147" customFormat="false" ht="12.75" hidden="false" customHeight="false" outlineLevel="0" collapsed="false">
      <c r="C147" s="0"/>
      <c r="D147" s="0"/>
      <c r="E147" s="0"/>
      <c r="F147" s="0"/>
      <c r="G147" s="0"/>
      <c r="H147" s="0"/>
      <c r="I147" s="0"/>
    </row>
    <row r="148" customFormat="false" ht="12.75" hidden="false" customHeight="false" outlineLevel="0" collapsed="false">
      <c r="C148" s="0"/>
      <c r="D148" s="0"/>
      <c r="E148" s="0"/>
      <c r="F148" s="0"/>
      <c r="G148" s="0"/>
      <c r="H148" s="0"/>
      <c r="I148" s="0"/>
    </row>
    <row r="149" customFormat="false" ht="12.75" hidden="false" customHeight="false" outlineLevel="0" collapsed="false">
      <c r="C149" s="0"/>
      <c r="D149" s="0"/>
      <c r="E149" s="0"/>
      <c r="F149" s="0"/>
      <c r="G149" s="0"/>
      <c r="H149" s="0"/>
      <c r="I149" s="0"/>
    </row>
    <row r="150" customFormat="false" ht="12.75" hidden="false" customHeight="false" outlineLevel="0" collapsed="false">
      <c r="C150" s="0"/>
      <c r="D150" s="0"/>
      <c r="E150" s="0"/>
      <c r="F150" s="0"/>
      <c r="G150" s="0"/>
      <c r="H150" s="0"/>
      <c r="I150" s="0"/>
    </row>
    <row r="151" customFormat="false" ht="12.75" hidden="false" customHeight="false" outlineLevel="0" collapsed="false">
      <c r="C151" s="0"/>
      <c r="D151" s="0"/>
      <c r="E151" s="0"/>
      <c r="F151" s="0"/>
      <c r="G151" s="0"/>
      <c r="H151" s="0"/>
      <c r="I151" s="0"/>
    </row>
    <row r="152" customFormat="false" ht="12.75" hidden="false" customHeight="false" outlineLevel="0" collapsed="false">
      <c r="C152" s="0"/>
      <c r="D152" s="0"/>
      <c r="E152" s="0"/>
      <c r="F152" s="0"/>
      <c r="G152" s="0"/>
      <c r="H152" s="0"/>
      <c r="I152" s="0"/>
    </row>
    <row r="153" customFormat="false" ht="12.75" hidden="false" customHeight="false" outlineLevel="0" collapsed="false">
      <c r="C153" s="0"/>
      <c r="D153" s="0"/>
      <c r="E153" s="0"/>
      <c r="F153" s="0"/>
      <c r="G153" s="0"/>
      <c r="H153" s="0"/>
      <c r="I153" s="0"/>
    </row>
    <row r="154" customFormat="false" ht="12.75" hidden="false" customHeight="false" outlineLevel="0" collapsed="false">
      <c r="C154" s="0"/>
      <c r="D154" s="0"/>
      <c r="E154" s="0"/>
      <c r="F154" s="0"/>
      <c r="G154" s="0"/>
      <c r="H154" s="0"/>
      <c r="I154" s="0"/>
    </row>
    <row r="155" customFormat="false" ht="12.75" hidden="false" customHeight="false" outlineLevel="0" collapsed="false">
      <c r="C155" s="0"/>
      <c r="D155" s="0"/>
      <c r="E155" s="0"/>
      <c r="F155" s="0"/>
      <c r="G155" s="0"/>
      <c r="H155" s="0"/>
      <c r="I155" s="0"/>
    </row>
    <row r="156" customFormat="false" ht="12.75" hidden="false" customHeight="false" outlineLevel="0" collapsed="false">
      <c r="C156" s="0"/>
      <c r="D156" s="0"/>
      <c r="E156" s="0"/>
      <c r="F156" s="0"/>
      <c r="G156" s="0"/>
      <c r="H156" s="0"/>
      <c r="I156" s="0"/>
    </row>
    <row r="157" customFormat="false" ht="12.75" hidden="false" customHeight="false" outlineLevel="0" collapsed="false">
      <c r="C157" s="0"/>
      <c r="D157" s="0"/>
      <c r="E157" s="0"/>
      <c r="F157" s="0"/>
      <c r="G157" s="0"/>
      <c r="H157" s="0"/>
      <c r="I157" s="0"/>
    </row>
    <row r="158" customFormat="false" ht="12.75" hidden="false" customHeight="false" outlineLevel="0" collapsed="false">
      <c r="C158" s="0"/>
      <c r="D158" s="0"/>
      <c r="E158" s="0"/>
      <c r="F158" s="0"/>
      <c r="G158" s="0"/>
      <c r="H158" s="0"/>
      <c r="I158" s="0"/>
    </row>
    <row r="159" customFormat="false" ht="12.75" hidden="false" customHeight="false" outlineLevel="0" collapsed="false">
      <c r="C159" s="0"/>
      <c r="D159" s="0"/>
      <c r="E159" s="0"/>
      <c r="F159" s="0"/>
      <c r="G159" s="0"/>
      <c r="H159" s="0"/>
      <c r="I159" s="0"/>
    </row>
    <row r="160" customFormat="false" ht="12.75" hidden="false" customHeight="false" outlineLevel="0" collapsed="false">
      <c r="C160" s="0"/>
      <c r="D160" s="0"/>
      <c r="E160" s="0"/>
      <c r="F160" s="0"/>
      <c r="G160" s="0"/>
      <c r="H160" s="0"/>
      <c r="I160" s="0"/>
    </row>
    <row r="161" customFormat="false" ht="12.75" hidden="false" customHeight="false" outlineLevel="0" collapsed="false">
      <c r="C161" s="0"/>
      <c r="D161" s="0"/>
      <c r="E161" s="0"/>
      <c r="F161" s="0"/>
      <c r="G161" s="0"/>
      <c r="H161" s="0"/>
      <c r="I161" s="0"/>
    </row>
    <row r="162" customFormat="false" ht="12.75" hidden="false" customHeight="false" outlineLevel="0" collapsed="false">
      <c r="C162" s="0"/>
      <c r="D162" s="0"/>
      <c r="E162" s="0"/>
      <c r="F162" s="0"/>
      <c r="G162" s="0"/>
      <c r="H162" s="0"/>
      <c r="I162" s="0"/>
    </row>
    <row r="163" customFormat="false" ht="12.75" hidden="false" customHeight="false" outlineLevel="0" collapsed="false">
      <c r="C163" s="0"/>
      <c r="D163" s="0"/>
      <c r="E163" s="0"/>
      <c r="F163" s="0"/>
      <c r="G163" s="0"/>
      <c r="H163" s="0"/>
      <c r="I163" s="0"/>
    </row>
    <row r="164" customFormat="false" ht="12.75" hidden="false" customHeight="false" outlineLevel="0" collapsed="false">
      <c r="C164" s="0"/>
      <c r="D164" s="0"/>
      <c r="E164" s="0"/>
      <c r="F164" s="0"/>
      <c r="G164" s="0"/>
      <c r="H164" s="0"/>
      <c r="I164" s="0"/>
    </row>
    <row r="165" customFormat="false" ht="12.75" hidden="false" customHeight="false" outlineLevel="0" collapsed="false">
      <c r="C165" s="0"/>
      <c r="D165" s="0"/>
      <c r="E165" s="0"/>
      <c r="F165" s="0"/>
      <c r="G165" s="0"/>
      <c r="H165" s="0"/>
      <c r="I165" s="0"/>
    </row>
    <row r="166" customFormat="false" ht="12.75" hidden="false" customHeight="false" outlineLevel="0" collapsed="false">
      <c r="C166" s="0"/>
      <c r="D166" s="0"/>
      <c r="E166" s="0"/>
      <c r="F166" s="0"/>
      <c r="G166" s="0"/>
      <c r="H166" s="0"/>
      <c r="I166" s="0"/>
    </row>
    <row r="167" customFormat="false" ht="12.75" hidden="false" customHeight="false" outlineLevel="0" collapsed="false">
      <c r="C167" s="0"/>
      <c r="D167" s="0"/>
      <c r="E167" s="0"/>
      <c r="F167" s="0"/>
      <c r="G167" s="0"/>
      <c r="H167" s="0"/>
      <c r="I167" s="0"/>
    </row>
    <row r="168" customFormat="false" ht="12.75" hidden="false" customHeight="false" outlineLevel="0" collapsed="false">
      <c r="C168" s="0"/>
      <c r="D168" s="0"/>
      <c r="E168" s="0"/>
      <c r="F168" s="0"/>
      <c r="G168" s="0"/>
      <c r="H168" s="0"/>
      <c r="I168" s="0"/>
    </row>
    <row r="169" customFormat="false" ht="12.75" hidden="false" customHeight="false" outlineLevel="0" collapsed="false">
      <c r="C169" s="0"/>
      <c r="D169" s="0"/>
      <c r="E169" s="0"/>
      <c r="F169" s="0"/>
      <c r="G169" s="0"/>
      <c r="H169" s="0"/>
      <c r="I169" s="0"/>
    </row>
    <row r="170" customFormat="false" ht="12.75" hidden="false" customHeight="false" outlineLevel="0" collapsed="false">
      <c r="C170" s="0"/>
      <c r="D170" s="0"/>
      <c r="E170" s="0"/>
      <c r="F170" s="0"/>
      <c r="G170" s="0"/>
      <c r="H170" s="0"/>
      <c r="I170" s="0"/>
    </row>
    <row r="171" customFormat="false" ht="12.75" hidden="false" customHeight="false" outlineLevel="0" collapsed="false">
      <c r="C171" s="0"/>
      <c r="D171" s="0"/>
      <c r="E171" s="0"/>
      <c r="F171" s="0"/>
      <c r="G171" s="0"/>
      <c r="H171" s="0"/>
      <c r="I171" s="0"/>
    </row>
    <row r="172" customFormat="false" ht="12.75" hidden="false" customHeight="false" outlineLevel="0" collapsed="false">
      <c r="C172" s="0"/>
      <c r="D172" s="0"/>
      <c r="E172" s="0"/>
      <c r="F172" s="0"/>
      <c r="G172" s="0"/>
      <c r="H172" s="0"/>
      <c r="I172" s="0"/>
    </row>
    <row r="173" customFormat="false" ht="12.75" hidden="false" customHeight="false" outlineLevel="0" collapsed="false">
      <c r="C173" s="0"/>
      <c r="D173" s="0"/>
      <c r="E173" s="0"/>
      <c r="F173" s="0"/>
      <c r="G173" s="0"/>
      <c r="H173" s="0"/>
      <c r="I173" s="0"/>
    </row>
    <row r="174" customFormat="false" ht="12.75" hidden="false" customHeight="false" outlineLevel="0" collapsed="false">
      <c r="C174" s="0"/>
      <c r="D174" s="0"/>
      <c r="E174" s="0"/>
      <c r="F174" s="0"/>
      <c r="G174" s="0"/>
      <c r="H174" s="0"/>
      <c r="I174" s="0"/>
    </row>
    <row r="175" customFormat="false" ht="12.75" hidden="false" customHeight="false" outlineLevel="0" collapsed="false">
      <c r="C175" s="0"/>
      <c r="D175" s="0"/>
      <c r="E175" s="0"/>
      <c r="F175" s="0"/>
      <c r="G175" s="0"/>
      <c r="H175" s="0"/>
      <c r="I175" s="0"/>
    </row>
    <row r="176" customFormat="false" ht="12.75" hidden="false" customHeight="false" outlineLevel="0" collapsed="false">
      <c r="C176" s="0"/>
      <c r="D176" s="0"/>
      <c r="E176" s="0"/>
      <c r="F176" s="0"/>
      <c r="G176" s="0"/>
      <c r="H176" s="0"/>
      <c r="I176" s="0"/>
    </row>
    <row r="177" customFormat="false" ht="12.75" hidden="false" customHeight="false" outlineLevel="0" collapsed="false">
      <c r="C177" s="0"/>
      <c r="D177" s="0"/>
      <c r="E177" s="0"/>
      <c r="F177" s="0"/>
      <c r="G177" s="0"/>
      <c r="H177" s="0"/>
      <c r="I177" s="0"/>
    </row>
    <row r="178" customFormat="false" ht="12.75" hidden="false" customHeight="false" outlineLevel="0" collapsed="false">
      <c r="C178" s="0"/>
      <c r="D178" s="0"/>
      <c r="E178" s="0"/>
      <c r="F178" s="0"/>
      <c r="G178" s="0"/>
      <c r="H178" s="0"/>
      <c r="I178" s="0"/>
    </row>
    <row r="179" customFormat="false" ht="12.75" hidden="false" customHeight="false" outlineLevel="0" collapsed="false">
      <c r="C179" s="0"/>
      <c r="D179" s="0"/>
      <c r="E179" s="0"/>
      <c r="F179" s="0"/>
      <c r="G179" s="0"/>
      <c r="H179" s="0"/>
      <c r="I179" s="0"/>
    </row>
    <row r="180" customFormat="false" ht="12.75" hidden="false" customHeight="false" outlineLevel="0" collapsed="false">
      <c r="C180" s="0"/>
      <c r="D180" s="0"/>
      <c r="E180" s="0"/>
      <c r="F180" s="0"/>
      <c r="G180" s="0"/>
      <c r="H180" s="0"/>
      <c r="I180" s="0"/>
    </row>
    <row r="181" customFormat="false" ht="12.75" hidden="false" customHeight="false" outlineLevel="0" collapsed="false">
      <c r="C181" s="0"/>
      <c r="D181" s="0"/>
      <c r="E181" s="0"/>
      <c r="F181" s="0"/>
      <c r="G181" s="0"/>
      <c r="H181" s="0"/>
      <c r="I181" s="0"/>
    </row>
    <row r="182" customFormat="false" ht="12.75" hidden="false" customHeight="false" outlineLevel="0" collapsed="false">
      <c r="C182" s="0"/>
      <c r="D182" s="0"/>
      <c r="E182" s="0"/>
      <c r="F182" s="0"/>
      <c r="G182" s="0"/>
      <c r="H182" s="0"/>
      <c r="I182" s="0"/>
    </row>
    <row r="183" customFormat="false" ht="12.75" hidden="false" customHeight="false" outlineLevel="0" collapsed="false">
      <c r="C183" s="0"/>
      <c r="D183" s="0"/>
      <c r="E183" s="0"/>
      <c r="F183" s="0"/>
      <c r="G183" s="0"/>
      <c r="H183" s="0"/>
      <c r="I183" s="0"/>
    </row>
    <row r="184" customFormat="false" ht="12.75" hidden="false" customHeight="false" outlineLevel="0" collapsed="false">
      <c r="C184" s="0"/>
      <c r="D184" s="0"/>
      <c r="E184" s="0"/>
      <c r="F184" s="0"/>
      <c r="G184" s="0"/>
      <c r="H184" s="0"/>
      <c r="I184" s="0"/>
    </row>
    <row r="185" customFormat="false" ht="12.75" hidden="false" customHeight="false" outlineLevel="0" collapsed="false">
      <c r="C185" s="0"/>
      <c r="D185" s="0"/>
      <c r="E185" s="0"/>
      <c r="F185" s="0"/>
      <c r="G185" s="0"/>
      <c r="H185" s="0"/>
      <c r="I185" s="0"/>
    </row>
    <row r="186" customFormat="false" ht="12.75" hidden="false" customHeight="false" outlineLevel="0" collapsed="false">
      <c r="C186" s="0"/>
      <c r="D186" s="0"/>
      <c r="E186" s="0"/>
      <c r="F186" s="0"/>
      <c r="G186" s="0"/>
      <c r="H186" s="0"/>
      <c r="I186" s="0"/>
    </row>
    <row r="187" customFormat="false" ht="12.75" hidden="false" customHeight="false" outlineLevel="0" collapsed="false">
      <c r="C187" s="0"/>
      <c r="D187" s="0"/>
      <c r="E187" s="0"/>
      <c r="F187" s="0"/>
      <c r="G187" s="0"/>
      <c r="H187" s="0"/>
      <c r="I187" s="0"/>
    </row>
    <row r="188" customFormat="false" ht="12.75" hidden="false" customHeight="false" outlineLevel="0" collapsed="false">
      <c r="C188" s="0"/>
      <c r="D188" s="0"/>
      <c r="E188" s="0"/>
      <c r="F188" s="0"/>
      <c r="G188" s="0"/>
      <c r="H188" s="0"/>
      <c r="I188" s="0"/>
    </row>
    <row r="189" customFormat="false" ht="12.75" hidden="false" customHeight="false" outlineLevel="0" collapsed="false">
      <c r="C189" s="0"/>
      <c r="D189" s="0"/>
      <c r="E189" s="0"/>
      <c r="F189" s="0"/>
      <c r="G189" s="0"/>
      <c r="H189" s="0"/>
      <c r="I189" s="0"/>
    </row>
    <row r="190" customFormat="false" ht="12.75" hidden="false" customHeight="false" outlineLevel="0" collapsed="false">
      <c r="C190" s="0"/>
      <c r="D190" s="0"/>
      <c r="E190" s="0"/>
      <c r="F190" s="0"/>
      <c r="G190" s="0"/>
      <c r="H190" s="0"/>
      <c r="I190" s="0"/>
    </row>
    <row r="191" customFormat="false" ht="12.75" hidden="false" customHeight="false" outlineLevel="0" collapsed="false">
      <c r="C191" s="0"/>
      <c r="D191" s="0"/>
      <c r="E191" s="0"/>
      <c r="F191" s="0"/>
      <c r="G191" s="0"/>
      <c r="H191" s="0"/>
      <c r="I191" s="0"/>
    </row>
    <row r="192" customFormat="false" ht="12.75" hidden="false" customHeight="false" outlineLevel="0" collapsed="false">
      <c r="C192" s="0"/>
      <c r="D192" s="0"/>
      <c r="E192" s="0"/>
      <c r="F192" s="0"/>
      <c r="G192" s="0"/>
      <c r="H192" s="0"/>
      <c r="I192" s="0"/>
    </row>
    <row r="193" customFormat="false" ht="12.75" hidden="false" customHeight="false" outlineLevel="0" collapsed="false">
      <c r="C193" s="0"/>
      <c r="D193" s="0"/>
      <c r="E193" s="0"/>
      <c r="F193" s="0"/>
      <c r="G193" s="0"/>
      <c r="H193" s="0"/>
      <c r="I193" s="0"/>
    </row>
    <row r="194" customFormat="false" ht="12.75" hidden="false" customHeight="false" outlineLevel="0" collapsed="false">
      <c r="C194" s="0"/>
      <c r="D194" s="0"/>
      <c r="E194" s="0"/>
      <c r="F194" s="0"/>
      <c r="G194" s="0"/>
      <c r="H194" s="0"/>
      <c r="I194" s="0"/>
    </row>
    <row r="195" customFormat="false" ht="12.75" hidden="false" customHeight="false" outlineLevel="0" collapsed="false">
      <c r="C195" s="0"/>
      <c r="D195" s="0"/>
      <c r="E195" s="0"/>
      <c r="F195" s="0"/>
      <c r="G195" s="0"/>
      <c r="H195" s="0"/>
      <c r="I195" s="0"/>
    </row>
    <row r="196" customFormat="false" ht="12.75" hidden="false" customHeight="false" outlineLevel="0" collapsed="false">
      <c r="C196" s="0"/>
      <c r="D196" s="0"/>
      <c r="E196" s="0"/>
      <c r="F196" s="0"/>
      <c r="G196" s="0"/>
      <c r="H196" s="0"/>
      <c r="I196" s="0"/>
    </row>
    <row r="197" customFormat="false" ht="12.75" hidden="false" customHeight="false" outlineLevel="0" collapsed="false">
      <c r="C197" s="0"/>
      <c r="D197" s="0"/>
      <c r="E197" s="0"/>
      <c r="F197" s="0"/>
      <c r="G197" s="0"/>
      <c r="H197" s="0"/>
      <c r="I197" s="0"/>
    </row>
    <row r="198" customFormat="false" ht="12.75" hidden="false" customHeight="false" outlineLevel="0" collapsed="false">
      <c r="C198" s="0"/>
      <c r="D198" s="0"/>
      <c r="E198" s="0"/>
      <c r="F198" s="0"/>
      <c r="G198" s="0"/>
      <c r="H198" s="0"/>
      <c r="I198" s="0"/>
    </row>
    <row r="199" customFormat="false" ht="12.75" hidden="false" customHeight="false" outlineLevel="0" collapsed="false">
      <c r="C199" s="0"/>
      <c r="D199" s="0"/>
      <c r="E199" s="0"/>
      <c r="F199" s="0"/>
      <c r="G199" s="0"/>
      <c r="H199" s="0"/>
      <c r="I199" s="0"/>
    </row>
    <row r="200" customFormat="false" ht="12.75" hidden="false" customHeight="false" outlineLevel="0" collapsed="false">
      <c r="C200" s="0"/>
      <c r="D200" s="0"/>
      <c r="E200" s="0"/>
      <c r="F200" s="0"/>
      <c r="G200" s="0"/>
      <c r="H200" s="0"/>
      <c r="I200" s="0"/>
    </row>
    <row r="201" customFormat="false" ht="12.75" hidden="false" customHeight="false" outlineLevel="0" collapsed="false">
      <c r="C201" s="0"/>
      <c r="D201" s="0"/>
      <c r="E201" s="0"/>
      <c r="F201" s="0"/>
      <c r="G201" s="0"/>
      <c r="H201" s="0"/>
      <c r="I201" s="0"/>
    </row>
    <row r="202" customFormat="false" ht="12.75" hidden="false" customHeight="false" outlineLevel="0" collapsed="false">
      <c r="C202" s="0"/>
      <c r="D202" s="0"/>
      <c r="E202" s="0"/>
      <c r="F202" s="0"/>
      <c r="G202" s="0"/>
      <c r="H202" s="0"/>
      <c r="I202" s="0"/>
    </row>
    <row r="203" customFormat="false" ht="12.75" hidden="false" customHeight="false" outlineLevel="0" collapsed="false">
      <c r="C203" s="0"/>
      <c r="D203" s="0"/>
      <c r="E203" s="0"/>
      <c r="F203" s="0"/>
      <c r="G203" s="0"/>
      <c r="H203" s="0"/>
      <c r="I203" s="0"/>
    </row>
    <row r="204" customFormat="false" ht="12.75" hidden="false" customHeight="false" outlineLevel="0" collapsed="false">
      <c r="C204" s="0"/>
      <c r="D204" s="0"/>
      <c r="E204" s="0"/>
      <c r="F204" s="0"/>
      <c r="G204" s="0"/>
      <c r="H204" s="0"/>
      <c r="I204" s="0"/>
    </row>
    <row r="205" customFormat="false" ht="12.75" hidden="false" customHeight="false" outlineLevel="0" collapsed="false">
      <c r="C205" s="0"/>
      <c r="D205" s="0"/>
      <c r="E205" s="0"/>
      <c r="F205" s="0"/>
      <c r="G205" s="0"/>
      <c r="H205" s="0"/>
      <c r="I205" s="0"/>
    </row>
    <row r="206" customFormat="false" ht="12.75" hidden="false" customHeight="false" outlineLevel="0" collapsed="false">
      <c r="C206" s="0"/>
      <c r="D206" s="0"/>
      <c r="E206" s="0"/>
      <c r="F206" s="0"/>
      <c r="G206" s="0"/>
      <c r="H206" s="0"/>
      <c r="I206" s="0"/>
    </row>
    <row r="207" customFormat="false" ht="12.75" hidden="false" customHeight="false" outlineLevel="0" collapsed="false">
      <c r="C207" s="0"/>
      <c r="D207" s="0"/>
      <c r="E207" s="0"/>
      <c r="F207" s="0"/>
      <c r="G207" s="0"/>
      <c r="H207" s="0"/>
      <c r="I207" s="0"/>
    </row>
    <row r="208" customFormat="false" ht="12.75" hidden="false" customHeight="false" outlineLevel="0" collapsed="false">
      <c r="C208" s="0"/>
      <c r="D208" s="0"/>
      <c r="E208" s="0"/>
      <c r="F208" s="0"/>
      <c r="G208" s="0"/>
      <c r="H208" s="0"/>
      <c r="I208" s="0"/>
    </row>
    <row r="209" customFormat="false" ht="12.75" hidden="false" customHeight="false" outlineLevel="0" collapsed="false">
      <c r="C209" s="0"/>
      <c r="D209" s="0"/>
      <c r="E209" s="0"/>
      <c r="F209" s="0"/>
      <c r="G209" s="0"/>
      <c r="H209" s="0"/>
      <c r="I209" s="0"/>
    </row>
    <row r="210" customFormat="false" ht="12.75" hidden="false" customHeight="false" outlineLevel="0" collapsed="false">
      <c r="C210" s="0"/>
      <c r="D210" s="0"/>
      <c r="E210" s="0"/>
      <c r="F210" s="0"/>
      <c r="G210" s="0"/>
      <c r="H210" s="0"/>
      <c r="I210" s="0"/>
    </row>
    <row r="211" customFormat="false" ht="12.75" hidden="false" customHeight="false" outlineLevel="0" collapsed="false">
      <c r="C211" s="0"/>
      <c r="D211" s="0"/>
      <c r="E211" s="0"/>
      <c r="F211" s="0"/>
      <c r="G211" s="0"/>
      <c r="H211" s="0"/>
      <c r="I211" s="0"/>
    </row>
    <row r="212" customFormat="false" ht="12.75" hidden="false" customHeight="false" outlineLevel="0" collapsed="false">
      <c r="C212" s="0"/>
      <c r="D212" s="0"/>
      <c r="E212" s="0"/>
      <c r="F212" s="0"/>
      <c r="G212" s="0"/>
      <c r="H212" s="0"/>
      <c r="I212" s="0"/>
    </row>
    <row r="213" customFormat="false" ht="12.75" hidden="false" customHeight="false" outlineLevel="0" collapsed="false">
      <c r="C213" s="0"/>
      <c r="D213" s="0"/>
      <c r="E213" s="0"/>
      <c r="F213" s="0"/>
      <c r="G213" s="0"/>
      <c r="H213" s="0"/>
      <c r="I213" s="0"/>
    </row>
    <row r="214" customFormat="false" ht="12.75" hidden="false" customHeight="false" outlineLevel="0" collapsed="false">
      <c r="C214" s="0"/>
      <c r="D214" s="0"/>
      <c r="E214" s="0"/>
      <c r="F214" s="0"/>
      <c r="G214" s="0"/>
      <c r="H214" s="0"/>
      <c r="I214" s="0"/>
    </row>
    <row r="215" customFormat="false" ht="12.75" hidden="false" customHeight="false" outlineLevel="0" collapsed="false">
      <c r="C215" s="0"/>
      <c r="D215" s="0"/>
      <c r="E215" s="0"/>
      <c r="F215" s="0"/>
      <c r="G215" s="0"/>
      <c r="H215" s="0"/>
      <c r="I215" s="0"/>
    </row>
    <row r="216" customFormat="false" ht="12.75" hidden="false" customHeight="false" outlineLevel="0" collapsed="false">
      <c r="C216" s="0"/>
      <c r="D216" s="0"/>
      <c r="E216" s="0"/>
      <c r="F216" s="0"/>
      <c r="G216" s="0"/>
      <c r="H216" s="0"/>
      <c r="I216" s="0"/>
    </row>
    <row r="217" customFormat="false" ht="12.75" hidden="false" customHeight="false" outlineLevel="0" collapsed="false">
      <c r="C217" s="0"/>
      <c r="D217" s="0"/>
      <c r="E217" s="0"/>
      <c r="F217" s="0"/>
      <c r="G217" s="0"/>
      <c r="H217" s="0"/>
      <c r="I217" s="0"/>
    </row>
    <row r="218" customFormat="false" ht="12.75" hidden="false" customHeight="false" outlineLevel="0" collapsed="false">
      <c r="C218" s="0"/>
      <c r="D218" s="0"/>
      <c r="E218" s="0"/>
      <c r="F218" s="0"/>
      <c r="G218" s="0"/>
      <c r="H218" s="0"/>
      <c r="I218" s="0"/>
    </row>
    <row r="219" customFormat="false" ht="12.75" hidden="false" customHeight="false" outlineLevel="0" collapsed="false">
      <c r="C219" s="0"/>
      <c r="D219" s="0"/>
      <c r="E219" s="0"/>
      <c r="F219" s="0"/>
      <c r="G219" s="0"/>
      <c r="H219" s="0"/>
      <c r="I219" s="0"/>
    </row>
    <row r="220" customFormat="false" ht="12.75" hidden="false" customHeight="false" outlineLevel="0" collapsed="false">
      <c r="C220" s="0"/>
      <c r="D220" s="0"/>
      <c r="E220" s="0"/>
      <c r="F220" s="0"/>
      <c r="G220" s="0"/>
      <c r="H220" s="0"/>
      <c r="I220" s="0"/>
    </row>
    <row r="221" customFormat="false" ht="12.75" hidden="false" customHeight="false" outlineLevel="0" collapsed="false">
      <c r="C221" s="0"/>
      <c r="D221" s="0"/>
      <c r="E221" s="0"/>
      <c r="F221" s="0"/>
      <c r="G221" s="0"/>
      <c r="H221" s="0"/>
      <c r="I221" s="0"/>
    </row>
    <row r="222" customFormat="false" ht="12.75" hidden="false" customHeight="false" outlineLevel="0" collapsed="false">
      <c r="C222" s="0"/>
      <c r="D222" s="0"/>
      <c r="E222" s="0"/>
      <c r="F222" s="0"/>
      <c r="G222" s="0"/>
      <c r="H222" s="0"/>
      <c r="I222" s="0"/>
    </row>
    <row r="223" customFormat="false" ht="12.75" hidden="false" customHeight="false" outlineLevel="0" collapsed="false">
      <c r="C223" s="0"/>
      <c r="D223" s="0"/>
      <c r="E223" s="0"/>
      <c r="F223" s="0"/>
      <c r="G223" s="0"/>
      <c r="H223" s="0"/>
      <c r="I223" s="0"/>
    </row>
    <row r="224" customFormat="false" ht="12.75" hidden="false" customHeight="false" outlineLevel="0" collapsed="false">
      <c r="C224" s="0"/>
      <c r="D224" s="0"/>
      <c r="E224" s="0"/>
      <c r="F224" s="0"/>
      <c r="G224" s="0"/>
      <c r="H224" s="0"/>
      <c r="I224" s="0"/>
    </row>
    <row r="225" customFormat="false" ht="12.75" hidden="false" customHeight="false" outlineLevel="0" collapsed="false">
      <c r="C225" s="0"/>
      <c r="D225" s="0"/>
      <c r="E225" s="0"/>
      <c r="F225" s="0"/>
      <c r="G225" s="0"/>
      <c r="H225" s="0"/>
      <c r="I225" s="0"/>
    </row>
    <row r="226" customFormat="false" ht="12.75" hidden="false" customHeight="false" outlineLevel="0" collapsed="false">
      <c r="C226" s="0"/>
      <c r="D226" s="0"/>
      <c r="E226" s="0"/>
      <c r="F226" s="0"/>
      <c r="G226" s="0"/>
      <c r="H226" s="0"/>
      <c r="I226" s="0"/>
    </row>
    <row r="227" customFormat="false" ht="12.75" hidden="false" customHeight="false" outlineLevel="0" collapsed="false">
      <c r="C227" s="0"/>
      <c r="D227" s="0"/>
      <c r="E227" s="0"/>
      <c r="F227" s="0"/>
      <c r="G227" s="0"/>
      <c r="H227" s="0"/>
      <c r="I227" s="0"/>
    </row>
    <row r="228" customFormat="false" ht="12.75" hidden="false" customHeight="false" outlineLevel="0" collapsed="false">
      <c r="C228" s="0"/>
      <c r="D228" s="0"/>
      <c r="E228" s="0"/>
      <c r="F228" s="0"/>
      <c r="G228" s="0"/>
      <c r="H228" s="0"/>
      <c r="I228" s="0"/>
    </row>
    <row r="229" customFormat="false" ht="12.75" hidden="false" customHeight="false" outlineLevel="0" collapsed="false">
      <c r="C229" s="0"/>
      <c r="D229" s="0"/>
      <c r="E229" s="0"/>
      <c r="F229" s="0"/>
      <c r="G229" s="0"/>
      <c r="H229" s="0"/>
      <c r="I229" s="0"/>
    </row>
    <row r="230" customFormat="false" ht="12.75" hidden="false" customHeight="false" outlineLevel="0" collapsed="false">
      <c r="C230" s="0"/>
      <c r="D230" s="0"/>
      <c r="E230" s="0"/>
      <c r="F230" s="0"/>
      <c r="G230" s="0"/>
      <c r="H230" s="0"/>
      <c r="I230" s="0"/>
    </row>
    <row r="231" customFormat="false" ht="12.75" hidden="false" customHeight="false" outlineLevel="0" collapsed="false">
      <c r="C231" s="0"/>
      <c r="D231" s="0"/>
      <c r="E231" s="0"/>
      <c r="F231" s="0"/>
      <c r="G231" s="0"/>
      <c r="H231" s="0"/>
      <c r="I231" s="0"/>
    </row>
    <row r="232" customFormat="false" ht="12.75" hidden="false" customHeight="false" outlineLevel="0" collapsed="false">
      <c r="C232" s="0"/>
      <c r="D232" s="0"/>
      <c r="E232" s="0"/>
      <c r="F232" s="0"/>
      <c r="G232" s="0"/>
      <c r="H232" s="0"/>
      <c r="I232" s="0"/>
    </row>
    <row r="233" customFormat="false" ht="12.75" hidden="false" customHeight="false" outlineLevel="0" collapsed="false">
      <c r="C233" s="0"/>
      <c r="D233" s="0"/>
      <c r="E233" s="0"/>
      <c r="F233" s="0"/>
      <c r="G233" s="0"/>
      <c r="H233" s="0"/>
      <c r="I233" s="0"/>
    </row>
    <row r="234" customFormat="false" ht="12.75" hidden="false" customHeight="false" outlineLevel="0" collapsed="false">
      <c r="C234" s="0"/>
      <c r="D234" s="0"/>
      <c r="E234" s="0"/>
      <c r="F234" s="0"/>
      <c r="G234" s="0"/>
      <c r="H234" s="0"/>
      <c r="I234" s="0"/>
    </row>
    <row r="235" customFormat="false" ht="12.75" hidden="false" customHeight="false" outlineLevel="0" collapsed="false">
      <c r="C235" s="0"/>
      <c r="D235" s="0"/>
      <c r="E235" s="0"/>
      <c r="F235" s="0"/>
      <c r="G235" s="0"/>
      <c r="H235" s="0"/>
      <c r="I235" s="0"/>
    </row>
    <row r="236" customFormat="false" ht="12.75" hidden="false" customHeight="false" outlineLevel="0" collapsed="false">
      <c r="C236" s="0"/>
      <c r="D236" s="0"/>
      <c r="E236" s="0"/>
      <c r="F236" s="0"/>
      <c r="G236" s="0"/>
      <c r="H236" s="0"/>
      <c r="I236" s="0"/>
    </row>
    <row r="237" customFormat="false" ht="12.75" hidden="false" customHeight="false" outlineLevel="0" collapsed="false">
      <c r="C237" s="0"/>
      <c r="D237" s="0"/>
      <c r="E237" s="0"/>
      <c r="F237" s="0"/>
      <c r="G237" s="0"/>
      <c r="H237" s="0"/>
      <c r="I237" s="0"/>
    </row>
    <row r="238" customFormat="false" ht="12.75" hidden="false" customHeight="false" outlineLevel="0" collapsed="false">
      <c r="C238" s="0"/>
      <c r="D238" s="0"/>
      <c r="E238" s="0"/>
      <c r="F238" s="0"/>
      <c r="G238" s="0"/>
      <c r="H238" s="0"/>
      <c r="I238" s="0"/>
    </row>
    <row r="239" customFormat="false" ht="12.75" hidden="false" customHeight="false" outlineLevel="0" collapsed="false">
      <c r="C239" s="0"/>
      <c r="D239" s="0"/>
      <c r="E239" s="0"/>
      <c r="F239" s="0"/>
      <c r="G239" s="0"/>
      <c r="H239" s="0"/>
      <c r="I239" s="0"/>
    </row>
    <row r="240" customFormat="false" ht="12.75" hidden="false" customHeight="false" outlineLevel="0" collapsed="false">
      <c r="C240" s="0"/>
      <c r="D240" s="0"/>
      <c r="E240" s="0"/>
      <c r="F240" s="0"/>
      <c r="G240" s="0"/>
      <c r="H240" s="0"/>
      <c r="I240" s="0"/>
    </row>
    <row r="241" customFormat="false" ht="12.75" hidden="false" customHeight="false" outlineLevel="0" collapsed="false">
      <c r="C241" s="0"/>
      <c r="D241" s="0"/>
      <c r="E241" s="0"/>
      <c r="F241" s="0"/>
      <c r="G241" s="0"/>
      <c r="H241" s="0"/>
      <c r="I241" s="0"/>
    </row>
    <row r="242" customFormat="false" ht="12.75" hidden="false" customHeight="false" outlineLevel="0" collapsed="false">
      <c r="C242" s="0"/>
      <c r="D242" s="0"/>
      <c r="E242" s="0"/>
      <c r="F242" s="0"/>
      <c r="G242" s="0"/>
      <c r="H242" s="0"/>
      <c r="I242" s="0"/>
    </row>
    <row r="243" customFormat="false" ht="12.75" hidden="false" customHeight="false" outlineLevel="0" collapsed="false">
      <c r="C243" s="0"/>
      <c r="D243" s="0"/>
      <c r="E243" s="0"/>
      <c r="F243" s="0"/>
      <c r="G243" s="0"/>
      <c r="H243" s="0"/>
      <c r="I243" s="0"/>
    </row>
    <row r="244" customFormat="false" ht="12.75" hidden="false" customHeight="false" outlineLevel="0" collapsed="false">
      <c r="C244" s="0"/>
      <c r="D244" s="0"/>
      <c r="E244" s="0"/>
      <c r="F244" s="0"/>
      <c r="G244" s="0"/>
      <c r="H244" s="0"/>
      <c r="I244" s="0"/>
    </row>
    <row r="245" customFormat="false" ht="12.75" hidden="false" customHeight="false" outlineLevel="0" collapsed="false">
      <c r="C245" s="0"/>
      <c r="D245" s="0"/>
      <c r="E245" s="0"/>
      <c r="F245" s="0"/>
      <c r="G245" s="0"/>
      <c r="H245" s="0"/>
      <c r="I245" s="0"/>
    </row>
    <row r="246" customFormat="false" ht="12.75" hidden="false" customHeight="false" outlineLevel="0" collapsed="false">
      <c r="C246" s="0"/>
      <c r="D246" s="0"/>
      <c r="E246" s="0"/>
      <c r="F246" s="0"/>
      <c r="G246" s="0"/>
      <c r="H246" s="0"/>
      <c r="I246" s="0"/>
    </row>
    <row r="247" customFormat="false" ht="12.75" hidden="false" customHeight="false" outlineLevel="0" collapsed="false">
      <c r="C247" s="0"/>
      <c r="D247" s="0"/>
      <c r="E247" s="0"/>
      <c r="F247" s="0"/>
      <c r="G247" s="0"/>
      <c r="H247" s="0"/>
      <c r="I247" s="0"/>
    </row>
    <row r="248" customFormat="false" ht="12.75" hidden="false" customHeight="false" outlineLevel="0" collapsed="false">
      <c r="C248" s="0"/>
      <c r="D248" s="0"/>
      <c r="E248" s="0"/>
      <c r="F248" s="0"/>
      <c r="G248" s="0"/>
      <c r="H248" s="0"/>
      <c r="I248" s="0"/>
    </row>
    <row r="249" customFormat="false" ht="12.75" hidden="false" customHeight="false" outlineLevel="0" collapsed="false">
      <c r="C249" s="0"/>
      <c r="D249" s="0"/>
      <c r="E249" s="0"/>
      <c r="F249" s="0"/>
      <c r="G249" s="0"/>
      <c r="H249" s="0"/>
      <c r="I249" s="0"/>
    </row>
    <row r="250" customFormat="false" ht="12.75" hidden="false" customHeight="false" outlineLevel="0" collapsed="false">
      <c r="C250" s="0"/>
      <c r="D250" s="0"/>
      <c r="E250" s="0"/>
      <c r="F250" s="0"/>
      <c r="G250" s="0"/>
      <c r="H250" s="0"/>
      <c r="I250" s="0"/>
    </row>
    <row r="251" customFormat="false" ht="12.75" hidden="false" customHeight="false" outlineLevel="0" collapsed="false">
      <c r="C251" s="0"/>
      <c r="D251" s="0"/>
      <c r="E251" s="0"/>
      <c r="F251" s="0"/>
      <c r="G251" s="0"/>
      <c r="H251" s="0"/>
      <c r="I251" s="0"/>
    </row>
    <row r="252" customFormat="false" ht="12.75" hidden="false" customHeight="false" outlineLevel="0" collapsed="false">
      <c r="C252" s="0"/>
      <c r="D252" s="0"/>
      <c r="E252" s="0"/>
      <c r="F252" s="0"/>
      <c r="G252" s="0"/>
      <c r="H252" s="0"/>
      <c r="I252" s="0"/>
    </row>
    <row r="253" customFormat="false" ht="12.75" hidden="false" customHeight="false" outlineLevel="0" collapsed="false">
      <c r="C253" s="0"/>
      <c r="D253" s="0"/>
      <c r="E253" s="0"/>
      <c r="F253" s="0"/>
      <c r="G253" s="0"/>
      <c r="H253" s="0"/>
      <c r="I253" s="0"/>
    </row>
    <row r="254" customFormat="false" ht="12.75" hidden="false" customHeight="false" outlineLevel="0" collapsed="false">
      <c r="C254" s="0"/>
      <c r="D254" s="0"/>
      <c r="E254" s="0"/>
      <c r="F254" s="0"/>
      <c r="G254" s="0"/>
      <c r="H254" s="0"/>
      <c r="I254" s="0"/>
    </row>
    <row r="255" customFormat="false" ht="12.75" hidden="false" customHeight="false" outlineLevel="0" collapsed="false">
      <c r="C255" s="0"/>
      <c r="D255" s="0"/>
      <c r="E255" s="0"/>
      <c r="F255" s="0"/>
      <c r="G255" s="0"/>
      <c r="H255" s="0"/>
      <c r="I255" s="0"/>
    </row>
    <row r="256" customFormat="false" ht="12.75" hidden="false" customHeight="false" outlineLevel="0" collapsed="false">
      <c r="C256" s="0"/>
      <c r="D256" s="0"/>
      <c r="E256" s="0"/>
      <c r="F256" s="0"/>
      <c r="G256" s="0"/>
      <c r="H256" s="0"/>
      <c r="I256" s="0"/>
    </row>
    <row r="257" customFormat="false" ht="12.75" hidden="false" customHeight="false" outlineLevel="0" collapsed="false">
      <c r="C257" s="0"/>
      <c r="D257" s="0"/>
      <c r="E257" s="0"/>
      <c r="F257" s="0"/>
      <c r="G257" s="0"/>
      <c r="H257" s="0"/>
      <c r="I257" s="0"/>
    </row>
    <row r="258" customFormat="false" ht="12.75" hidden="false" customHeight="false" outlineLevel="0" collapsed="false">
      <c r="C258" s="0"/>
      <c r="D258" s="0"/>
      <c r="E258" s="0"/>
      <c r="F258" s="0"/>
      <c r="G258" s="0"/>
      <c r="H258" s="0"/>
      <c r="I258" s="0"/>
    </row>
    <row r="259" customFormat="false" ht="12.75" hidden="false" customHeight="false" outlineLevel="0" collapsed="false">
      <c r="C259" s="0"/>
      <c r="D259" s="0"/>
      <c r="E259" s="0"/>
      <c r="F259" s="0"/>
      <c r="G259" s="0"/>
      <c r="H259" s="0"/>
      <c r="I259" s="0"/>
    </row>
    <row r="260" customFormat="false" ht="12.75" hidden="false" customHeight="false" outlineLevel="0" collapsed="false">
      <c r="C260" s="0"/>
      <c r="D260" s="0"/>
      <c r="E260" s="0"/>
      <c r="F260" s="0"/>
      <c r="G260" s="0"/>
      <c r="H260" s="0"/>
      <c r="I260" s="0"/>
    </row>
    <row r="261" customFormat="false" ht="12.75" hidden="false" customHeight="false" outlineLevel="0" collapsed="false">
      <c r="C261" s="0"/>
      <c r="D261" s="0"/>
      <c r="E261" s="0"/>
      <c r="F261" s="0"/>
      <c r="G261" s="0"/>
      <c r="H261" s="0"/>
      <c r="I261" s="0"/>
    </row>
    <row r="262" customFormat="false" ht="12.75" hidden="false" customHeight="false" outlineLevel="0" collapsed="false">
      <c r="C262" s="0"/>
      <c r="D262" s="0"/>
      <c r="E262" s="0"/>
      <c r="F262" s="0"/>
      <c r="G262" s="0"/>
      <c r="H262" s="0"/>
      <c r="I262" s="0"/>
    </row>
    <row r="263" customFormat="false" ht="12.75" hidden="false" customHeight="false" outlineLevel="0" collapsed="false">
      <c r="C263" s="0"/>
      <c r="D263" s="0"/>
      <c r="E263" s="0"/>
      <c r="F263" s="0"/>
      <c r="G263" s="0"/>
      <c r="H263" s="0"/>
      <c r="I263" s="0"/>
    </row>
    <row r="264" customFormat="false" ht="12.75" hidden="false" customHeight="false" outlineLevel="0" collapsed="false">
      <c r="C264" s="0"/>
      <c r="D264" s="0"/>
      <c r="E264" s="0"/>
      <c r="F264" s="0"/>
      <c r="G264" s="0"/>
      <c r="H264" s="0"/>
      <c r="I264" s="0"/>
    </row>
    <row r="265" customFormat="false" ht="12.75" hidden="false" customHeight="false" outlineLevel="0" collapsed="false">
      <c r="C265" s="0"/>
      <c r="D265" s="0"/>
      <c r="E265" s="0"/>
      <c r="F265" s="0"/>
      <c r="G265" s="0"/>
      <c r="H265" s="0"/>
      <c r="I265" s="0"/>
    </row>
    <row r="266" customFormat="false" ht="12.75" hidden="false" customHeight="false" outlineLevel="0" collapsed="false">
      <c r="C266" s="0"/>
      <c r="D266" s="0"/>
      <c r="E266" s="0"/>
      <c r="F266" s="0"/>
      <c r="G266" s="0"/>
      <c r="H266" s="0"/>
      <c r="I266" s="0"/>
    </row>
    <row r="267" customFormat="false" ht="12.75" hidden="false" customHeight="false" outlineLevel="0" collapsed="false">
      <c r="C267" s="0"/>
      <c r="D267" s="0"/>
      <c r="E267" s="0"/>
      <c r="F267" s="0"/>
      <c r="G267" s="0"/>
      <c r="H267" s="0"/>
      <c r="I267" s="0"/>
    </row>
    <row r="268" customFormat="false" ht="12.75" hidden="false" customHeight="false" outlineLevel="0" collapsed="false">
      <c r="C268" s="0"/>
      <c r="D268" s="0"/>
      <c r="E268" s="0"/>
      <c r="F268" s="0"/>
      <c r="G268" s="0"/>
      <c r="H268" s="0"/>
      <c r="I268" s="0"/>
    </row>
    <row r="269" customFormat="false" ht="12.75" hidden="false" customHeight="false" outlineLevel="0" collapsed="false">
      <c r="C269" s="0"/>
      <c r="D269" s="0"/>
      <c r="E269" s="0"/>
      <c r="F269" s="0"/>
      <c r="G269" s="0"/>
      <c r="H269" s="0"/>
      <c r="I269" s="0"/>
    </row>
    <row r="270" customFormat="false" ht="12.75" hidden="false" customHeight="false" outlineLevel="0" collapsed="false">
      <c r="C270" s="0"/>
      <c r="D270" s="0"/>
      <c r="E270" s="0"/>
      <c r="F270" s="0"/>
      <c r="G270" s="0"/>
      <c r="H270" s="0"/>
      <c r="I270" s="0"/>
    </row>
    <row r="271" customFormat="false" ht="12.75" hidden="false" customHeight="false" outlineLevel="0" collapsed="false">
      <c r="C271" s="0"/>
      <c r="D271" s="0"/>
      <c r="E271" s="0"/>
      <c r="F271" s="0"/>
      <c r="G271" s="0"/>
      <c r="H271" s="0"/>
      <c r="I271" s="0"/>
    </row>
    <row r="272" customFormat="false" ht="12.75" hidden="false" customHeight="false" outlineLevel="0" collapsed="false">
      <c r="C272" s="0"/>
      <c r="D272" s="0"/>
      <c r="E272" s="0"/>
      <c r="F272" s="0"/>
      <c r="G272" s="0"/>
      <c r="H272" s="0"/>
      <c r="I272" s="0"/>
    </row>
    <row r="273" customFormat="false" ht="12.75" hidden="false" customHeight="false" outlineLevel="0" collapsed="false">
      <c r="C273" s="0"/>
      <c r="D273" s="0"/>
      <c r="E273" s="0"/>
      <c r="F273" s="0"/>
      <c r="G273" s="0"/>
      <c r="H273" s="0"/>
      <c r="I273" s="0"/>
    </row>
    <row r="274" customFormat="false" ht="12.75" hidden="false" customHeight="false" outlineLevel="0" collapsed="false">
      <c r="C274" s="0"/>
      <c r="D274" s="0"/>
      <c r="E274" s="0"/>
      <c r="F274" s="0"/>
      <c r="G274" s="0"/>
      <c r="H274" s="0"/>
      <c r="I274" s="0"/>
    </row>
    <row r="275" customFormat="false" ht="12.75" hidden="false" customHeight="false" outlineLevel="0" collapsed="false">
      <c r="C275" s="0"/>
      <c r="D275" s="0"/>
      <c r="E275" s="0"/>
      <c r="F275" s="0"/>
      <c r="G275" s="0"/>
      <c r="H275" s="0"/>
      <c r="I275" s="0"/>
    </row>
    <row r="276" customFormat="false" ht="12.75" hidden="false" customHeight="false" outlineLevel="0" collapsed="false">
      <c r="C276" s="0"/>
      <c r="D276" s="0"/>
      <c r="E276" s="0"/>
      <c r="F276" s="0"/>
      <c r="G276" s="0"/>
      <c r="H276" s="0"/>
      <c r="I276" s="0"/>
    </row>
    <row r="277" customFormat="false" ht="12.75" hidden="false" customHeight="false" outlineLevel="0" collapsed="false">
      <c r="C277" s="0"/>
      <c r="D277" s="0"/>
      <c r="E277" s="0"/>
      <c r="F277" s="0"/>
      <c r="G277" s="0"/>
      <c r="H277" s="0"/>
      <c r="I277" s="0"/>
    </row>
    <row r="278" customFormat="false" ht="12.75" hidden="false" customHeight="false" outlineLevel="0" collapsed="false">
      <c r="C278" s="0"/>
      <c r="D278" s="0"/>
      <c r="E278" s="0"/>
      <c r="F278" s="0"/>
      <c r="G278" s="0"/>
      <c r="H278" s="0"/>
      <c r="I278" s="0"/>
    </row>
    <row r="279" customFormat="false" ht="12.75" hidden="false" customHeight="false" outlineLevel="0" collapsed="false">
      <c r="C279" s="0"/>
      <c r="D279" s="0"/>
      <c r="E279" s="0"/>
      <c r="F279" s="0"/>
      <c r="G279" s="0"/>
      <c r="H279" s="0"/>
      <c r="I279" s="0"/>
    </row>
    <row r="280" customFormat="false" ht="12.75" hidden="false" customHeight="false" outlineLevel="0" collapsed="false">
      <c r="C280" s="0"/>
      <c r="D280" s="0"/>
      <c r="E280" s="0"/>
      <c r="F280" s="0"/>
      <c r="G280" s="0"/>
      <c r="H280" s="0"/>
      <c r="I280" s="0"/>
    </row>
    <row r="281" customFormat="false" ht="12.75" hidden="false" customHeight="false" outlineLevel="0" collapsed="false">
      <c r="C281" s="0"/>
      <c r="D281" s="0"/>
      <c r="E281" s="0"/>
      <c r="F281" s="0"/>
      <c r="G281" s="0"/>
      <c r="H281" s="0"/>
      <c r="I281" s="0"/>
    </row>
    <row r="282" customFormat="false" ht="12.75" hidden="false" customHeight="false" outlineLevel="0" collapsed="false">
      <c r="C282" s="0"/>
      <c r="D282" s="0"/>
      <c r="E282" s="0"/>
      <c r="F282" s="0"/>
      <c r="G282" s="0"/>
      <c r="H282" s="0"/>
      <c r="I282" s="0"/>
    </row>
    <row r="283" customFormat="false" ht="12.75" hidden="false" customHeight="false" outlineLevel="0" collapsed="false">
      <c r="C283" s="0"/>
      <c r="D283" s="0"/>
      <c r="E283" s="0"/>
      <c r="F283" s="0"/>
      <c r="G283" s="0"/>
      <c r="H283" s="0"/>
      <c r="I283" s="0"/>
    </row>
    <row r="284" customFormat="false" ht="12.75" hidden="false" customHeight="false" outlineLevel="0" collapsed="false">
      <c r="C284" s="0"/>
      <c r="D284" s="0"/>
      <c r="E284" s="0"/>
      <c r="F284" s="0"/>
      <c r="G284" s="0"/>
      <c r="H284" s="0"/>
      <c r="I284" s="0"/>
    </row>
    <row r="285" customFormat="false" ht="12.75" hidden="false" customHeight="false" outlineLevel="0" collapsed="false">
      <c r="C285" s="0"/>
      <c r="D285" s="0"/>
      <c r="E285" s="0"/>
      <c r="F285" s="0"/>
      <c r="G285" s="0"/>
      <c r="H285" s="0"/>
      <c r="I285" s="0"/>
    </row>
    <row r="286" customFormat="false" ht="12.75" hidden="false" customHeight="false" outlineLevel="0" collapsed="false">
      <c r="C286" s="0"/>
      <c r="D286" s="0"/>
      <c r="E286" s="0"/>
      <c r="F286" s="0"/>
      <c r="G286" s="0"/>
      <c r="H286" s="0"/>
      <c r="I286" s="0"/>
    </row>
    <row r="287" customFormat="false" ht="12.75" hidden="false" customHeight="false" outlineLevel="0" collapsed="false">
      <c r="C287" s="0"/>
      <c r="D287" s="0"/>
      <c r="E287" s="0"/>
      <c r="F287" s="0"/>
      <c r="G287" s="0"/>
      <c r="H287" s="0"/>
      <c r="I287" s="0"/>
    </row>
    <row r="288" customFormat="false" ht="12.75" hidden="false" customHeight="false" outlineLevel="0" collapsed="false">
      <c r="C288" s="0"/>
      <c r="D288" s="0"/>
      <c r="E288" s="0"/>
      <c r="F288" s="0"/>
      <c r="G288" s="0"/>
      <c r="H288" s="0"/>
      <c r="I288" s="0"/>
    </row>
    <row r="289" customFormat="false" ht="12.75" hidden="false" customHeight="false" outlineLevel="0" collapsed="false">
      <c r="C289" s="0"/>
      <c r="D289" s="0"/>
      <c r="E289" s="0"/>
      <c r="F289" s="0"/>
      <c r="G289" s="0"/>
      <c r="H289" s="0"/>
      <c r="I289" s="0"/>
    </row>
    <row r="290" customFormat="false" ht="12.75" hidden="false" customHeight="false" outlineLevel="0" collapsed="false">
      <c r="C290" s="0"/>
      <c r="D290" s="0"/>
      <c r="E290" s="0"/>
      <c r="F290" s="0"/>
      <c r="G290" s="0"/>
      <c r="H290" s="0"/>
      <c r="I290" s="0"/>
    </row>
    <row r="291" customFormat="false" ht="12.75" hidden="false" customHeight="false" outlineLevel="0" collapsed="false">
      <c r="C291" s="0"/>
      <c r="D291" s="0"/>
      <c r="E291" s="0"/>
      <c r="F291" s="0"/>
      <c r="G291" s="0"/>
      <c r="H291" s="0"/>
      <c r="I291" s="0"/>
    </row>
    <row r="292" customFormat="false" ht="12.75" hidden="false" customHeight="false" outlineLevel="0" collapsed="false">
      <c r="C292" s="0"/>
      <c r="D292" s="0"/>
      <c r="E292" s="0"/>
      <c r="F292" s="0"/>
      <c r="G292" s="0"/>
      <c r="H292" s="0"/>
      <c r="I292" s="0"/>
    </row>
    <row r="293" customFormat="false" ht="12.75" hidden="false" customHeight="false" outlineLevel="0" collapsed="false">
      <c r="C293" s="0"/>
      <c r="D293" s="0"/>
      <c r="E293" s="0"/>
      <c r="F293" s="0"/>
      <c r="G293" s="0"/>
      <c r="H293" s="0"/>
      <c r="I293" s="0"/>
    </row>
    <row r="294" customFormat="false" ht="12.75" hidden="false" customHeight="false" outlineLevel="0" collapsed="false">
      <c r="C294" s="0"/>
      <c r="D294" s="0"/>
      <c r="E294" s="0"/>
      <c r="F294" s="0"/>
      <c r="G294" s="0"/>
      <c r="H294" s="0"/>
      <c r="I294" s="0"/>
    </row>
    <row r="295" customFormat="false" ht="12.75" hidden="false" customHeight="false" outlineLevel="0" collapsed="false">
      <c r="C295" s="0"/>
      <c r="D295" s="0"/>
      <c r="E295" s="0"/>
      <c r="F295" s="0"/>
      <c r="G295" s="0"/>
      <c r="H295" s="0"/>
      <c r="I295" s="0"/>
    </row>
    <row r="296" customFormat="false" ht="12.75" hidden="false" customHeight="false" outlineLevel="0" collapsed="false">
      <c r="C296" s="0"/>
      <c r="D296" s="0"/>
      <c r="E296" s="0"/>
      <c r="F296" s="0"/>
      <c r="G296" s="0"/>
      <c r="H296" s="0"/>
      <c r="I296" s="0"/>
    </row>
    <row r="297" customFormat="false" ht="12.75" hidden="false" customHeight="false" outlineLevel="0" collapsed="false">
      <c r="C297" s="0"/>
      <c r="D297" s="0"/>
      <c r="E297" s="0"/>
      <c r="F297" s="0"/>
      <c r="G297" s="0"/>
      <c r="H297" s="0"/>
      <c r="I297" s="0"/>
    </row>
    <row r="298" customFormat="false" ht="12.75" hidden="false" customHeight="false" outlineLevel="0" collapsed="false">
      <c r="C298" s="0"/>
      <c r="D298" s="0"/>
      <c r="E298" s="0"/>
      <c r="F298" s="0"/>
      <c r="G298" s="0"/>
      <c r="H298" s="0"/>
      <c r="I298" s="0"/>
    </row>
    <row r="299" customFormat="false" ht="12.75" hidden="false" customHeight="false" outlineLevel="0" collapsed="false">
      <c r="C299" s="0"/>
      <c r="D299" s="0"/>
      <c r="E299" s="0"/>
      <c r="F299" s="0"/>
      <c r="G299" s="0"/>
      <c r="H299" s="0"/>
      <c r="I299" s="0"/>
    </row>
    <row r="300" customFormat="false" ht="12.75" hidden="false" customHeight="false" outlineLevel="0" collapsed="false">
      <c r="C300" s="0"/>
      <c r="D300" s="0"/>
      <c r="E300" s="0"/>
      <c r="F300" s="0"/>
      <c r="G300" s="0"/>
      <c r="H300" s="0"/>
      <c r="I300" s="0"/>
    </row>
    <row r="301" customFormat="false" ht="12.75" hidden="false" customHeight="false" outlineLevel="0" collapsed="false">
      <c r="C301" s="0"/>
      <c r="D301" s="0"/>
      <c r="E301" s="0"/>
      <c r="F301" s="0"/>
      <c r="G301" s="0"/>
      <c r="H301" s="0"/>
      <c r="I301" s="0"/>
    </row>
    <row r="302" customFormat="false" ht="12.75" hidden="false" customHeight="false" outlineLevel="0" collapsed="false">
      <c r="C302" s="0"/>
      <c r="D302" s="0"/>
      <c r="E302" s="0"/>
      <c r="F302" s="0"/>
      <c r="G302" s="0"/>
      <c r="H302" s="0"/>
      <c r="I302" s="0"/>
    </row>
    <row r="303" customFormat="false" ht="12.75" hidden="false" customHeight="false" outlineLevel="0" collapsed="false">
      <c r="C303" s="0"/>
      <c r="D303" s="0"/>
      <c r="E303" s="0"/>
      <c r="F303" s="0"/>
      <c r="G303" s="0"/>
      <c r="H303" s="0"/>
      <c r="I303" s="0"/>
    </row>
    <row r="304" customFormat="false" ht="12.75" hidden="false" customHeight="false" outlineLevel="0" collapsed="false">
      <c r="C304" s="0"/>
      <c r="D304" s="0"/>
      <c r="E304" s="0"/>
      <c r="F304" s="0"/>
      <c r="G304" s="0"/>
      <c r="H304" s="0"/>
      <c r="I304" s="0"/>
    </row>
    <row r="305" customFormat="false" ht="12.75" hidden="false" customHeight="false" outlineLevel="0" collapsed="false">
      <c r="C305" s="0"/>
      <c r="D305" s="0"/>
      <c r="E305" s="0"/>
      <c r="F305" s="0"/>
      <c r="G305" s="0"/>
      <c r="H305" s="0"/>
      <c r="I305" s="0"/>
    </row>
    <row r="306" customFormat="false" ht="12.75" hidden="false" customHeight="false" outlineLevel="0" collapsed="false">
      <c r="C306" s="0"/>
      <c r="D306" s="0"/>
      <c r="E306" s="0"/>
      <c r="F306" s="0"/>
      <c r="G306" s="0"/>
      <c r="H306" s="0"/>
      <c r="I306" s="0"/>
    </row>
    <row r="307" customFormat="false" ht="12.75" hidden="false" customHeight="false" outlineLevel="0" collapsed="false">
      <c r="C307" s="0"/>
      <c r="D307" s="0"/>
      <c r="E307" s="0"/>
      <c r="F307" s="0"/>
      <c r="G307" s="0"/>
      <c r="H307" s="0"/>
      <c r="I307" s="0"/>
    </row>
    <row r="308" customFormat="false" ht="12.75" hidden="false" customHeight="false" outlineLevel="0" collapsed="false">
      <c r="C308" s="0"/>
      <c r="D308" s="0"/>
      <c r="E308" s="0"/>
      <c r="F308" s="0"/>
      <c r="G308" s="0"/>
      <c r="H308" s="0"/>
      <c r="I308" s="0"/>
    </row>
    <row r="309" customFormat="false" ht="12.75" hidden="false" customHeight="false" outlineLevel="0" collapsed="false">
      <c r="C309" s="0"/>
      <c r="D309" s="0"/>
      <c r="E309" s="0"/>
      <c r="F309" s="0"/>
      <c r="G309" s="0"/>
      <c r="H309" s="0"/>
      <c r="I309" s="0"/>
    </row>
    <row r="310" customFormat="false" ht="12.75" hidden="false" customHeight="false" outlineLevel="0" collapsed="false">
      <c r="C310" s="0"/>
      <c r="D310" s="0"/>
      <c r="E310" s="0"/>
      <c r="F310" s="0"/>
      <c r="G310" s="0"/>
      <c r="H310" s="0"/>
      <c r="I310" s="0"/>
    </row>
    <row r="311" customFormat="false" ht="12.75" hidden="false" customHeight="false" outlineLevel="0" collapsed="false">
      <c r="C311" s="0"/>
      <c r="D311" s="0"/>
      <c r="E311" s="0"/>
      <c r="F311" s="0"/>
      <c r="G311" s="0"/>
      <c r="H311" s="0"/>
      <c r="I311" s="0"/>
    </row>
    <row r="312" customFormat="false" ht="12.75" hidden="false" customHeight="false" outlineLevel="0" collapsed="false">
      <c r="C312" s="0"/>
      <c r="D312" s="0"/>
      <c r="E312" s="0"/>
      <c r="F312" s="0"/>
      <c r="G312" s="0"/>
      <c r="H312" s="0"/>
      <c r="I312" s="0"/>
    </row>
    <row r="313" customFormat="false" ht="12.75" hidden="false" customHeight="false" outlineLevel="0" collapsed="false">
      <c r="C313" s="0"/>
      <c r="D313" s="0"/>
      <c r="E313" s="0"/>
      <c r="F313" s="0"/>
      <c r="G313" s="0"/>
      <c r="H313" s="0"/>
      <c r="I313" s="0"/>
    </row>
    <row r="314" customFormat="false" ht="12.75" hidden="false" customHeight="false" outlineLevel="0" collapsed="false">
      <c r="C314" s="0"/>
      <c r="D314" s="0"/>
      <c r="E314" s="0"/>
      <c r="F314" s="0"/>
      <c r="G314" s="0"/>
      <c r="H314" s="0"/>
      <c r="I314" s="0"/>
    </row>
    <row r="315" customFormat="false" ht="12.75" hidden="false" customHeight="false" outlineLevel="0" collapsed="false">
      <c r="C315" s="0"/>
      <c r="D315" s="0"/>
      <c r="E315" s="0"/>
      <c r="F315" s="0"/>
      <c r="G315" s="0"/>
      <c r="H315" s="0"/>
      <c r="I315" s="0"/>
    </row>
    <row r="316" customFormat="false" ht="12.75" hidden="false" customHeight="false" outlineLevel="0" collapsed="false">
      <c r="C316" s="0"/>
      <c r="D316" s="0"/>
      <c r="E316" s="0"/>
      <c r="F316" s="0"/>
      <c r="G316" s="0"/>
      <c r="H316" s="0"/>
      <c r="I316" s="0"/>
    </row>
    <row r="317" customFormat="false" ht="12.75" hidden="false" customHeight="false" outlineLevel="0" collapsed="false">
      <c r="C317" s="0"/>
      <c r="D317" s="0"/>
      <c r="E317" s="0"/>
      <c r="F317" s="0"/>
      <c r="G317" s="0"/>
      <c r="H317" s="0"/>
      <c r="I317" s="0"/>
    </row>
    <row r="318" customFormat="false" ht="12.75" hidden="false" customHeight="false" outlineLevel="0" collapsed="false">
      <c r="C318" s="0"/>
      <c r="D318" s="0"/>
      <c r="E318" s="0"/>
      <c r="F318" s="0"/>
      <c r="G318" s="0"/>
      <c r="H318" s="0"/>
      <c r="I318" s="0"/>
    </row>
    <row r="319" customFormat="false" ht="12.75" hidden="false" customHeight="false" outlineLevel="0" collapsed="false">
      <c r="C319" s="0"/>
      <c r="D319" s="0"/>
      <c r="E319" s="0"/>
      <c r="F319" s="0"/>
      <c r="G319" s="0"/>
      <c r="H319" s="0"/>
      <c r="I319" s="0"/>
    </row>
    <row r="320" customFormat="false" ht="12.75" hidden="false" customHeight="false" outlineLevel="0" collapsed="false">
      <c r="C320" s="0"/>
      <c r="D320" s="0"/>
      <c r="E320" s="0"/>
      <c r="F320" s="0"/>
      <c r="G320" s="0"/>
      <c r="H320" s="0"/>
      <c r="I320" s="0"/>
    </row>
    <row r="321" customFormat="false" ht="12.75" hidden="false" customHeight="false" outlineLevel="0" collapsed="false">
      <c r="C321" s="0"/>
      <c r="D321" s="0"/>
      <c r="E321" s="0"/>
      <c r="F321" s="0"/>
      <c r="G321" s="0"/>
      <c r="H321" s="0"/>
      <c r="I321" s="0"/>
    </row>
    <row r="322" customFormat="false" ht="12.75" hidden="false" customHeight="false" outlineLevel="0" collapsed="false">
      <c r="C322" s="0"/>
      <c r="D322" s="0"/>
      <c r="E322" s="0"/>
      <c r="F322" s="0"/>
      <c r="G322" s="0"/>
      <c r="H322" s="0"/>
      <c r="I322" s="0"/>
    </row>
    <row r="323" customFormat="false" ht="12.75" hidden="false" customHeight="false" outlineLevel="0" collapsed="false">
      <c r="C323" s="0"/>
      <c r="D323" s="0"/>
      <c r="E323" s="0"/>
      <c r="F323" s="0"/>
      <c r="G323" s="0"/>
      <c r="H323" s="0"/>
      <c r="I323" s="0"/>
    </row>
    <row r="324" customFormat="false" ht="12.75" hidden="false" customHeight="false" outlineLevel="0" collapsed="false">
      <c r="C324" s="0"/>
      <c r="D324" s="0"/>
      <c r="E324" s="0"/>
      <c r="F324" s="0"/>
      <c r="G324" s="0"/>
      <c r="H324" s="0"/>
      <c r="I324" s="0"/>
    </row>
    <row r="325" customFormat="false" ht="12.75" hidden="false" customHeight="false" outlineLevel="0" collapsed="false">
      <c r="C325" s="0"/>
      <c r="D325" s="0"/>
      <c r="E325" s="0"/>
      <c r="F325" s="0"/>
      <c r="G325" s="0"/>
      <c r="H325" s="0"/>
      <c r="I325" s="0"/>
    </row>
    <row r="326" customFormat="false" ht="12.75" hidden="false" customHeight="false" outlineLevel="0" collapsed="false">
      <c r="C326" s="0"/>
      <c r="D326" s="0"/>
      <c r="E326" s="0"/>
      <c r="F326" s="0"/>
      <c r="G326" s="0"/>
      <c r="H326" s="0"/>
      <c r="I326" s="0"/>
    </row>
    <row r="327" customFormat="false" ht="12.75" hidden="false" customHeight="false" outlineLevel="0" collapsed="false">
      <c r="C327" s="0"/>
      <c r="D327" s="0"/>
      <c r="E327" s="0"/>
      <c r="F327" s="0"/>
      <c r="G327" s="0"/>
      <c r="H327" s="0"/>
      <c r="I327" s="0"/>
    </row>
    <row r="328" customFormat="false" ht="12.75" hidden="false" customHeight="false" outlineLevel="0" collapsed="false">
      <c r="C328" s="0"/>
      <c r="D328" s="0"/>
      <c r="E328" s="0"/>
      <c r="F328" s="0"/>
      <c r="G328" s="0"/>
      <c r="H328" s="0"/>
      <c r="I328" s="0"/>
    </row>
    <row r="329" customFormat="false" ht="12.75" hidden="false" customHeight="false" outlineLevel="0" collapsed="false">
      <c r="C329" s="0"/>
      <c r="D329" s="0"/>
      <c r="E329" s="0"/>
      <c r="F329" s="0"/>
      <c r="G329" s="0"/>
      <c r="H329" s="0"/>
      <c r="I329" s="0"/>
    </row>
    <row r="330" customFormat="false" ht="12.75" hidden="false" customHeight="false" outlineLevel="0" collapsed="false">
      <c r="C330" s="0"/>
      <c r="D330" s="0"/>
      <c r="E330" s="0"/>
      <c r="F330" s="0"/>
      <c r="G330" s="0"/>
      <c r="H330" s="0"/>
      <c r="I330" s="0"/>
    </row>
    <row r="331" customFormat="false" ht="12.75" hidden="false" customHeight="false" outlineLevel="0" collapsed="false">
      <c r="C331" s="0"/>
      <c r="D331" s="0"/>
      <c r="E331" s="0"/>
      <c r="F331" s="0"/>
      <c r="G331" s="0"/>
      <c r="H331" s="0"/>
      <c r="I331" s="0"/>
    </row>
    <row r="332" customFormat="false" ht="12.75" hidden="false" customHeight="false" outlineLevel="0" collapsed="false">
      <c r="C332" s="0"/>
      <c r="D332" s="0"/>
      <c r="E332" s="0"/>
      <c r="F332" s="0"/>
      <c r="G332" s="0"/>
      <c r="H332" s="0"/>
      <c r="I332" s="0"/>
    </row>
    <row r="333" customFormat="false" ht="12.75" hidden="false" customHeight="false" outlineLevel="0" collapsed="false">
      <c r="C333" s="0"/>
      <c r="D333" s="0"/>
      <c r="E333" s="0"/>
      <c r="F333" s="0"/>
      <c r="G333" s="0"/>
      <c r="H333" s="0"/>
      <c r="I333" s="0"/>
    </row>
    <row r="334" customFormat="false" ht="12.75" hidden="false" customHeight="false" outlineLevel="0" collapsed="false">
      <c r="C334" s="0"/>
      <c r="D334" s="0"/>
      <c r="E334" s="0"/>
      <c r="F334" s="0"/>
      <c r="G334" s="0"/>
      <c r="H334" s="0"/>
      <c r="I334" s="0"/>
    </row>
    <row r="335" customFormat="false" ht="12.75" hidden="false" customHeight="false" outlineLevel="0" collapsed="false">
      <c r="C335" s="0"/>
      <c r="D335" s="0"/>
      <c r="E335" s="0"/>
      <c r="F335" s="0"/>
      <c r="G335" s="0"/>
      <c r="H335" s="0"/>
      <c r="I335" s="0"/>
    </row>
    <row r="336" customFormat="false" ht="12.75" hidden="false" customHeight="false" outlineLevel="0" collapsed="false">
      <c r="C336" s="0"/>
      <c r="D336" s="0"/>
      <c r="E336" s="0"/>
      <c r="F336" s="0"/>
      <c r="G336" s="0"/>
      <c r="H336" s="0"/>
      <c r="I336" s="0"/>
    </row>
    <row r="337" customFormat="false" ht="12.75" hidden="false" customHeight="false" outlineLevel="0" collapsed="false">
      <c r="C337" s="0"/>
      <c r="D337" s="0"/>
      <c r="E337" s="0"/>
      <c r="F337" s="0"/>
      <c r="G337" s="0"/>
      <c r="H337" s="0"/>
      <c r="I337" s="0"/>
    </row>
    <row r="338" customFormat="false" ht="12.75" hidden="false" customHeight="false" outlineLevel="0" collapsed="false">
      <c r="C338" s="0"/>
      <c r="D338" s="0"/>
      <c r="E338" s="0"/>
      <c r="F338" s="0"/>
      <c r="G338" s="0"/>
      <c r="H338" s="0"/>
      <c r="I338" s="0"/>
    </row>
    <row r="339" customFormat="false" ht="12.75" hidden="false" customHeight="false" outlineLevel="0" collapsed="false">
      <c r="C339" s="0"/>
      <c r="D339" s="0"/>
      <c r="E339" s="0"/>
      <c r="F339" s="0"/>
      <c r="G339" s="0"/>
      <c r="H339" s="0"/>
      <c r="I339" s="0"/>
    </row>
    <row r="340" customFormat="false" ht="12.75" hidden="false" customHeight="false" outlineLevel="0" collapsed="false">
      <c r="C340" s="0"/>
      <c r="D340" s="0"/>
      <c r="E340" s="0"/>
      <c r="F340" s="0"/>
      <c r="G340" s="0"/>
      <c r="H340" s="0"/>
      <c r="I340" s="0"/>
    </row>
    <row r="341" customFormat="false" ht="12.75" hidden="false" customHeight="false" outlineLevel="0" collapsed="false">
      <c r="C341" s="0"/>
      <c r="D341" s="0"/>
      <c r="E341" s="0"/>
      <c r="F341" s="0"/>
      <c r="G341" s="0"/>
      <c r="H341" s="0"/>
      <c r="I341" s="0"/>
    </row>
    <row r="342" customFormat="false" ht="12.75" hidden="false" customHeight="false" outlineLevel="0" collapsed="false">
      <c r="C342" s="0"/>
      <c r="D342" s="0"/>
      <c r="E342" s="0"/>
      <c r="F342" s="0"/>
      <c r="G342" s="0"/>
      <c r="H342" s="0"/>
      <c r="I342" s="0"/>
    </row>
    <row r="343" customFormat="false" ht="12.75" hidden="false" customHeight="false" outlineLevel="0" collapsed="false">
      <c r="C343" s="0"/>
      <c r="D343" s="0"/>
      <c r="E343" s="0"/>
      <c r="F343" s="0"/>
      <c r="G343" s="0"/>
      <c r="H343" s="0"/>
      <c r="I343" s="0"/>
    </row>
    <row r="344" customFormat="false" ht="12.75" hidden="false" customHeight="false" outlineLevel="0" collapsed="false">
      <c r="C344" s="0"/>
      <c r="D344" s="0"/>
      <c r="E344" s="0"/>
      <c r="F344" s="0"/>
      <c r="G344" s="0"/>
      <c r="H344" s="0"/>
      <c r="I344" s="0"/>
    </row>
    <row r="345" customFormat="false" ht="12.75" hidden="false" customHeight="false" outlineLevel="0" collapsed="false">
      <c r="C345" s="0"/>
      <c r="D345" s="0"/>
      <c r="E345" s="0"/>
      <c r="F345" s="0"/>
      <c r="G345" s="0"/>
      <c r="H345" s="0"/>
      <c r="I345" s="0"/>
    </row>
    <row r="346" customFormat="false" ht="12.75" hidden="false" customHeight="false" outlineLevel="0" collapsed="false">
      <c r="C346" s="0"/>
      <c r="D346" s="0"/>
      <c r="E346" s="0"/>
      <c r="F346" s="0"/>
      <c r="G346" s="0"/>
      <c r="H346" s="0"/>
      <c r="I346" s="0"/>
    </row>
    <row r="347" customFormat="false" ht="12.75" hidden="false" customHeight="false" outlineLevel="0" collapsed="false">
      <c r="C347" s="0"/>
      <c r="D347" s="0"/>
      <c r="E347" s="0"/>
      <c r="F347" s="0"/>
      <c r="G347" s="0"/>
      <c r="H347" s="0"/>
      <c r="I347" s="0"/>
    </row>
    <row r="348" customFormat="false" ht="12.75" hidden="false" customHeight="false" outlineLevel="0" collapsed="false">
      <c r="C348" s="0"/>
      <c r="D348" s="0"/>
      <c r="E348" s="0"/>
      <c r="F348" s="0"/>
      <c r="G348" s="0"/>
      <c r="H348" s="0"/>
      <c r="I348" s="0"/>
    </row>
    <row r="349" customFormat="false" ht="12.75" hidden="false" customHeight="false" outlineLevel="0" collapsed="false">
      <c r="C349" s="0"/>
      <c r="D349" s="0"/>
      <c r="E349" s="0"/>
      <c r="F349" s="0"/>
      <c r="G349" s="0"/>
      <c r="H349" s="0"/>
      <c r="I349" s="0"/>
    </row>
    <row r="350" customFormat="false" ht="12.75" hidden="false" customHeight="false" outlineLevel="0" collapsed="false">
      <c r="C350" s="0"/>
      <c r="D350" s="0"/>
      <c r="E350" s="0"/>
      <c r="F350" s="0"/>
      <c r="G350" s="0"/>
      <c r="H350" s="0"/>
      <c r="I350" s="0"/>
    </row>
    <row r="351" customFormat="false" ht="12.75" hidden="false" customHeight="false" outlineLevel="0" collapsed="false">
      <c r="C351" s="0"/>
      <c r="D351" s="0"/>
      <c r="E351" s="0"/>
      <c r="F351" s="0"/>
      <c r="G351" s="0"/>
      <c r="H351" s="0"/>
      <c r="I351" s="0"/>
    </row>
    <row r="352" customFormat="false" ht="12.75" hidden="false" customHeight="false" outlineLevel="0" collapsed="false">
      <c r="C352" s="0"/>
      <c r="D352" s="0"/>
      <c r="E352" s="0"/>
      <c r="F352" s="0"/>
      <c r="G352" s="0"/>
      <c r="H352" s="0"/>
      <c r="I352" s="0"/>
    </row>
    <row r="353" customFormat="false" ht="12.75" hidden="false" customHeight="false" outlineLevel="0" collapsed="false">
      <c r="C353" s="0"/>
      <c r="D353" s="0"/>
      <c r="E353" s="0"/>
      <c r="F353" s="0"/>
      <c r="G353" s="0"/>
      <c r="H353" s="0"/>
      <c r="I353" s="0"/>
    </row>
    <row r="354" customFormat="false" ht="12.75" hidden="false" customHeight="false" outlineLevel="0" collapsed="false">
      <c r="C354" s="0"/>
      <c r="D354" s="0"/>
      <c r="E354" s="0"/>
      <c r="F354" s="0"/>
      <c r="G354" s="0"/>
      <c r="H354" s="0"/>
      <c r="I354" s="0"/>
    </row>
    <row r="355" customFormat="false" ht="12.75" hidden="false" customHeight="false" outlineLevel="0" collapsed="false">
      <c r="C355" s="0"/>
      <c r="D355" s="0"/>
      <c r="E355" s="0"/>
      <c r="F355" s="0"/>
      <c r="G355" s="0"/>
      <c r="H355" s="0"/>
      <c r="I355" s="0"/>
    </row>
    <row r="356" customFormat="false" ht="12.75" hidden="false" customHeight="false" outlineLevel="0" collapsed="false">
      <c r="C356" s="0"/>
      <c r="D356" s="0"/>
      <c r="E356" s="0"/>
      <c r="F356" s="0"/>
      <c r="G356" s="0"/>
      <c r="H356" s="0"/>
      <c r="I356" s="0"/>
    </row>
    <row r="357" customFormat="false" ht="12.75" hidden="false" customHeight="false" outlineLevel="0" collapsed="false">
      <c r="C357" s="0"/>
      <c r="D357" s="0"/>
      <c r="E357" s="0"/>
      <c r="F357" s="0"/>
      <c r="G357" s="0"/>
      <c r="H357" s="0"/>
      <c r="I357" s="0"/>
    </row>
    <row r="358" customFormat="false" ht="12.75" hidden="false" customHeight="false" outlineLevel="0" collapsed="false">
      <c r="C358" s="0"/>
      <c r="D358" s="0"/>
      <c r="E358" s="0"/>
      <c r="F358" s="0"/>
      <c r="G358" s="0"/>
      <c r="H358" s="0"/>
      <c r="I358" s="0"/>
    </row>
    <row r="359" customFormat="false" ht="12.75" hidden="false" customHeight="false" outlineLevel="0" collapsed="false">
      <c r="C359" s="0"/>
      <c r="D359" s="0"/>
      <c r="E359" s="0"/>
      <c r="F359" s="0"/>
      <c r="G359" s="0"/>
      <c r="H359" s="0"/>
      <c r="I359" s="0"/>
    </row>
    <row r="360" customFormat="false" ht="12.75" hidden="false" customHeight="false" outlineLevel="0" collapsed="false">
      <c r="C360" s="0"/>
      <c r="D360" s="0"/>
      <c r="E360" s="0"/>
      <c r="F360" s="0"/>
      <c r="G360" s="0"/>
      <c r="H360" s="0"/>
      <c r="I360" s="0"/>
    </row>
    <row r="361" customFormat="false" ht="12.75" hidden="false" customHeight="false" outlineLevel="0" collapsed="false">
      <c r="C361" s="0"/>
      <c r="D361" s="0"/>
      <c r="E361" s="0"/>
      <c r="F361" s="0"/>
      <c r="G361" s="0"/>
      <c r="H361" s="0"/>
      <c r="I361" s="0"/>
    </row>
    <row r="362" customFormat="false" ht="12.75" hidden="false" customHeight="false" outlineLevel="0" collapsed="false">
      <c r="C362" s="0"/>
      <c r="D362" s="0"/>
      <c r="E362" s="0"/>
      <c r="F362" s="0"/>
      <c r="G362" s="0"/>
      <c r="H362" s="0"/>
      <c r="I362" s="0"/>
    </row>
    <row r="363" customFormat="false" ht="12.75" hidden="false" customHeight="false" outlineLevel="0" collapsed="false">
      <c r="C363" s="0"/>
      <c r="D363" s="0"/>
      <c r="E363" s="0"/>
      <c r="F363" s="0"/>
      <c r="G363" s="0"/>
      <c r="H363" s="0"/>
      <c r="I363" s="0"/>
    </row>
    <row r="364" customFormat="false" ht="12.75" hidden="false" customHeight="false" outlineLevel="0" collapsed="false">
      <c r="C364" s="0"/>
      <c r="D364" s="0"/>
      <c r="E364" s="0"/>
      <c r="F364" s="0"/>
      <c r="G364" s="0"/>
      <c r="H364" s="0"/>
      <c r="I364" s="0"/>
    </row>
    <row r="365" customFormat="false" ht="12.75" hidden="false" customHeight="false" outlineLevel="0" collapsed="false">
      <c r="C365" s="0"/>
      <c r="D365" s="0"/>
      <c r="E365" s="0"/>
      <c r="F365" s="0"/>
      <c r="G365" s="0"/>
      <c r="H365" s="0"/>
      <c r="I365" s="0"/>
    </row>
    <row r="366" customFormat="false" ht="12.75" hidden="false" customHeight="false" outlineLevel="0" collapsed="false">
      <c r="C366" s="0"/>
      <c r="D366" s="0"/>
      <c r="E366" s="0"/>
      <c r="F366" s="0"/>
      <c r="G366" s="0"/>
      <c r="H366" s="0"/>
      <c r="I366" s="0"/>
    </row>
    <row r="367" customFormat="false" ht="12.75" hidden="false" customHeight="false" outlineLevel="0" collapsed="false">
      <c r="C367" s="0"/>
      <c r="D367" s="0"/>
      <c r="E367" s="0"/>
      <c r="F367" s="0"/>
      <c r="G367" s="0"/>
      <c r="H367" s="0"/>
      <c r="I367" s="0"/>
    </row>
    <row r="368" customFormat="false" ht="12.75" hidden="false" customHeight="false" outlineLevel="0" collapsed="false">
      <c r="C368" s="0"/>
      <c r="D368" s="0"/>
      <c r="E368" s="0"/>
      <c r="F368" s="0"/>
      <c r="G368" s="0"/>
      <c r="H368" s="0"/>
      <c r="I368" s="0"/>
    </row>
    <row r="369" customFormat="false" ht="12.75" hidden="false" customHeight="false" outlineLevel="0" collapsed="false">
      <c r="C369" s="0"/>
      <c r="D369" s="0"/>
      <c r="E369" s="0"/>
      <c r="F369" s="0"/>
      <c r="G369" s="0"/>
      <c r="H369" s="0"/>
      <c r="I369" s="0"/>
    </row>
    <row r="370" customFormat="false" ht="12.75" hidden="false" customHeight="false" outlineLevel="0" collapsed="false">
      <c r="C370" s="0"/>
      <c r="D370" s="0"/>
      <c r="E370" s="0"/>
      <c r="F370" s="0"/>
      <c r="G370" s="0"/>
      <c r="H370" s="0"/>
      <c r="I370" s="0"/>
    </row>
    <row r="371" customFormat="false" ht="12.75" hidden="false" customHeight="false" outlineLevel="0" collapsed="false">
      <c r="C371" s="0"/>
      <c r="D371" s="0"/>
      <c r="E371" s="0"/>
      <c r="F371" s="0"/>
      <c r="G371" s="0"/>
      <c r="H371" s="0"/>
      <c r="I371" s="0"/>
    </row>
    <row r="372" customFormat="false" ht="12.75" hidden="false" customHeight="false" outlineLevel="0" collapsed="false">
      <c r="C372" s="0"/>
      <c r="D372" s="0"/>
      <c r="E372" s="0"/>
      <c r="F372" s="0"/>
      <c r="G372" s="0"/>
      <c r="H372" s="0"/>
      <c r="I372" s="0"/>
    </row>
    <row r="373" customFormat="false" ht="12.75" hidden="false" customHeight="false" outlineLevel="0" collapsed="false">
      <c r="C373" s="0"/>
      <c r="D373" s="0"/>
      <c r="E373" s="0"/>
      <c r="F373" s="0"/>
      <c r="G373" s="0"/>
      <c r="H373" s="0"/>
      <c r="I373" s="0"/>
    </row>
    <row r="374" customFormat="false" ht="12.75" hidden="false" customHeight="false" outlineLevel="0" collapsed="false">
      <c r="C374" s="0"/>
      <c r="D374" s="0"/>
      <c r="E374" s="0"/>
      <c r="F374" s="0"/>
      <c r="G374" s="0"/>
      <c r="H374" s="0"/>
      <c r="I374" s="0"/>
    </row>
    <row r="375" customFormat="false" ht="12.75" hidden="false" customHeight="false" outlineLevel="0" collapsed="false">
      <c r="C375" s="0"/>
      <c r="D375" s="0"/>
      <c r="E375" s="0"/>
      <c r="F375" s="0"/>
      <c r="G375" s="0"/>
      <c r="H375" s="0"/>
      <c r="I375" s="0"/>
    </row>
    <row r="376" customFormat="false" ht="12.75" hidden="false" customHeight="false" outlineLevel="0" collapsed="false">
      <c r="C376" s="0"/>
      <c r="D376" s="0"/>
      <c r="E376" s="0"/>
      <c r="F376" s="0"/>
      <c r="G376" s="0"/>
      <c r="H376" s="0"/>
      <c r="I376" s="0"/>
    </row>
    <row r="377" customFormat="false" ht="12.75" hidden="false" customHeight="false" outlineLevel="0" collapsed="false">
      <c r="C377" s="0"/>
      <c r="D377" s="0"/>
      <c r="E377" s="0"/>
      <c r="F377" s="0"/>
      <c r="G377" s="0"/>
      <c r="H377" s="0"/>
      <c r="I377" s="0"/>
    </row>
    <row r="378" customFormat="false" ht="12.75" hidden="false" customHeight="false" outlineLevel="0" collapsed="false">
      <c r="C378" s="0"/>
      <c r="D378" s="0"/>
      <c r="E378" s="0"/>
      <c r="F378" s="0"/>
      <c r="G378" s="0"/>
      <c r="H378" s="0"/>
      <c r="I378" s="0"/>
    </row>
    <row r="379" customFormat="false" ht="12.75" hidden="false" customHeight="false" outlineLevel="0" collapsed="false">
      <c r="C379" s="0"/>
      <c r="D379" s="0"/>
      <c r="E379" s="0"/>
      <c r="F379" s="0"/>
      <c r="G379" s="0"/>
      <c r="H379" s="0"/>
      <c r="I379" s="0"/>
    </row>
    <row r="380" customFormat="false" ht="12.75" hidden="false" customHeight="false" outlineLevel="0" collapsed="false">
      <c r="C380" s="0"/>
      <c r="D380" s="0"/>
      <c r="E380" s="0"/>
      <c r="F380" s="0"/>
      <c r="G380" s="0"/>
      <c r="H380" s="0"/>
      <c r="I380" s="0"/>
    </row>
    <row r="381" customFormat="false" ht="12.75" hidden="false" customHeight="false" outlineLevel="0" collapsed="false">
      <c r="C381" s="0"/>
      <c r="D381" s="0"/>
      <c r="E381" s="0"/>
      <c r="F381" s="0"/>
      <c r="G381" s="0"/>
      <c r="H381" s="0"/>
      <c r="I381" s="0"/>
    </row>
    <row r="382" customFormat="false" ht="12.75" hidden="false" customHeight="false" outlineLevel="0" collapsed="false">
      <c r="C382" s="0"/>
      <c r="D382" s="0"/>
      <c r="E382" s="0"/>
      <c r="F382" s="0"/>
      <c r="G382" s="0"/>
      <c r="H382" s="0"/>
      <c r="I382" s="0"/>
    </row>
    <row r="383" customFormat="false" ht="12.75" hidden="false" customHeight="false" outlineLevel="0" collapsed="false">
      <c r="C383" s="0"/>
      <c r="D383" s="0"/>
      <c r="E383" s="0"/>
      <c r="F383" s="0"/>
      <c r="G383" s="0"/>
      <c r="H383" s="0"/>
      <c r="I383" s="0"/>
    </row>
    <row r="384" customFormat="false" ht="12.75" hidden="false" customHeight="false" outlineLevel="0" collapsed="false">
      <c r="C384" s="0"/>
      <c r="D384" s="0"/>
      <c r="E384" s="0"/>
      <c r="F384" s="0"/>
      <c r="G384" s="0"/>
      <c r="H384" s="0"/>
      <c r="I384" s="0"/>
    </row>
    <row r="385" customFormat="false" ht="12.75" hidden="false" customHeight="false" outlineLevel="0" collapsed="false">
      <c r="C385" s="0"/>
      <c r="D385" s="0"/>
      <c r="E385" s="0"/>
      <c r="F385" s="0"/>
      <c r="G385" s="0"/>
      <c r="H385" s="0"/>
      <c r="I385" s="0"/>
    </row>
    <row r="386" customFormat="false" ht="12.75" hidden="false" customHeight="false" outlineLevel="0" collapsed="false">
      <c r="C386" s="0"/>
      <c r="D386" s="0"/>
      <c r="E386" s="0"/>
      <c r="F386" s="0"/>
      <c r="G386" s="0"/>
      <c r="H386" s="0"/>
      <c r="I386" s="0"/>
    </row>
    <row r="387" customFormat="false" ht="12.75" hidden="false" customHeight="false" outlineLevel="0" collapsed="false">
      <c r="C387" s="0"/>
      <c r="D387" s="0"/>
      <c r="E387" s="0"/>
      <c r="F387" s="0"/>
      <c r="G387" s="0"/>
      <c r="H387" s="0"/>
      <c r="I387" s="0"/>
    </row>
    <row r="388" customFormat="false" ht="12.75" hidden="false" customHeight="false" outlineLevel="0" collapsed="false">
      <c r="C388" s="0"/>
      <c r="D388" s="0"/>
      <c r="E388" s="0"/>
      <c r="F388" s="0"/>
      <c r="G388" s="0"/>
      <c r="H388" s="0"/>
      <c r="I388" s="0"/>
    </row>
    <row r="389" customFormat="false" ht="12.75" hidden="false" customHeight="false" outlineLevel="0" collapsed="false">
      <c r="C389" s="0"/>
      <c r="D389" s="0"/>
      <c r="E389" s="0"/>
      <c r="F389" s="0"/>
      <c r="G389" s="0"/>
      <c r="H389" s="0"/>
      <c r="I389" s="0"/>
    </row>
    <row r="390" customFormat="false" ht="12.75" hidden="false" customHeight="false" outlineLevel="0" collapsed="false">
      <c r="C390" s="0"/>
      <c r="D390" s="0"/>
      <c r="E390" s="0"/>
      <c r="F390" s="0"/>
      <c r="G390" s="0"/>
      <c r="H390" s="0"/>
      <c r="I390" s="0"/>
    </row>
    <row r="391" customFormat="false" ht="12.75" hidden="false" customHeight="false" outlineLevel="0" collapsed="false">
      <c r="C391" s="0"/>
      <c r="D391" s="0"/>
      <c r="E391" s="0"/>
      <c r="F391" s="0"/>
      <c r="G391" s="0"/>
      <c r="H391" s="0"/>
      <c r="I391" s="0"/>
    </row>
    <row r="392" customFormat="false" ht="12.75" hidden="false" customHeight="false" outlineLevel="0" collapsed="false">
      <c r="C392" s="0"/>
      <c r="D392" s="0"/>
      <c r="E392" s="0"/>
      <c r="F392" s="0"/>
      <c r="G392" s="0"/>
      <c r="H392" s="0"/>
      <c r="I392" s="0"/>
    </row>
    <row r="393" customFormat="false" ht="12.75" hidden="false" customHeight="false" outlineLevel="0" collapsed="false">
      <c r="C393" s="0"/>
      <c r="D393" s="0"/>
      <c r="E393" s="0"/>
      <c r="F393" s="0"/>
      <c r="G393" s="0"/>
      <c r="H393" s="0"/>
      <c r="I393" s="0"/>
    </row>
    <row r="394" customFormat="false" ht="12.75" hidden="false" customHeight="false" outlineLevel="0" collapsed="false">
      <c r="C394" s="0"/>
      <c r="D394" s="0"/>
      <c r="E394" s="0"/>
      <c r="F394" s="0"/>
      <c r="G394" s="0"/>
      <c r="H394" s="0"/>
      <c r="I394" s="0"/>
    </row>
    <row r="395" customFormat="false" ht="12.75" hidden="false" customHeight="false" outlineLevel="0" collapsed="false">
      <c r="C395" s="0"/>
      <c r="D395" s="0"/>
      <c r="E395" s="0"/>
      <c r="F395" s="0"/>
      <c r="G395" s="0"/>
      <c r="H395" s="0"/>
      <c r="I395" s="0"/>
    </row>
    <row r="396" customFormat="false" ht="12.75" hidden="false" customHeight="false" outlineLevel="0" collapsed="false">
      <c r="C396" s="0"/>
      <c r="D396" s="0"/>
      <c r="E396" s="0"/>
      <c r="F396" s="0"/>
      <c r="G396" s="0"/>
      <c r="H396" s="0"/>
      <c r="I396" s="0"/>
    </row>
    <row r="397" customFormat="false" ht="12.75" hidden="false" customHeight="false" outlineLevel="0" collapsed="false">
      <c r="C397" s="0"/>
      <c r="D397" s="0"/>
      <c r="E397" s="0"/>
      <c r="F397" s="0"/>
      <c r="G397" s="0"/>
      <c r="H397" s="0"/>
      <c r="I397" s="0"/>
    </row>
    <row r="398" customFormat="false" ht="12.75" hidden="false" customHeight="false" outlineLevel="0" collapsed="false">
      <c r="C398" s="0"/>
      <c r="D398" s="0"/>
      <c r="E398" s="0"/>
      <c r="F398" s="0"/>
      <c r="G398" s="0"/>
      <c r="H398" s="0"/>
      <c r="I398" s="0"/>
    </row>
    <row r="399" customFormat="false" ht="12.75" hidden="false" customHeight="false" outlineLevel="0" collapsed="false">
      <c r="C399" s="0"/>
      <c r="D399" s="0"/>
      <c r="E399" s="0"/>
      <c r="F399" s="0"/>
      <c r="G399" s="0"/>
      <c r="H399" s="0"/>
      <c r="I399" s="0"/>
    </row>
    <row r="400" customFormat="false" ht="12.75" hidden="false" customHeight="false" outlineLevel="0" collapsed="false">
      <c r="C400" s="0"/>
      <c r="D400" s="0"/>
      <c r="E400" s="0"/>
      <c r="F400" s="0"/>
      <c r="G400" s="0"/>
      <c r="H400" s="0"/>
      <c r="I400" s="0"/>
    </row>
    <row r="401" customFormat="false" ht="12.75" hidden="false" customHeight="false" outlineLevel="0" collapsed="false">
      <c r="C401" s="0"/>
      <c r="D401" s="0"/>
      <c r="E401" s="0"/>
      <c r="F401" s="0"/>
      <c r="G401" s="0"/>
      <c r="H401" s="0"/>
      <c r="I401" s="0"/>
    </row>
    <row r="402" customFormat="false" ht="12.75" hidden="false" customHeight="false" outlineLevel="0" collapsed="false">
      <c r="C402" s="0"/>
      <c r="D402" s="0"/>
      <c r="E402" s="0"/>
      <c r="F402" s="0"/>
      <c r="G402" s="0"/>
      <c r="H402" s="0"/>
      <c r="I402" s="0"/>
    </row>
    <row r="403" customFormat="false" ht="12.75" hidden="false" customHeight="false" outlineLevel="0" collapsed="false">
      <c r="C403" s="0"/>
      <c r="D403" s="0"/>
      <c r="E403" s="0"/>
      <c r="F403" s="0"/>
      <c r="G403" s="0"/>
      <c r="H403" s="0"/>
      <c r="I403" s="0"/>
    </row>
    <row r="404" customFormat="false" ht="12.75" hidden="false" customHeight="false" outlineLevel="0" collapsed="false">
      <c r="C404" s="0"/>
      <c r="D404" s="0"/>
      <c r="E404" s="0"/>
      <c r="F404" s="0"/>
      <c r="G404" s="0"/>
      <c r="H404" s="0"/>
      <c r="I404" s="0"/>
    </row>
    <row r="405" customFormat="false" ht="12.75" hidden="false" customHeight="false" outlineLevel="0" collapsed="false">
      <c r="C405" s="0"/>
      <c r="D405" s="0"/>
      <c r="E405" s="0"/>
      <c r="F405" s="0"/>
      <c r="G405" s="0"/>
      <c r="H405" s="0"/>
      <c r="I405" s="0"/>
    </row>
    <row r="406" customFormat="false" ht="12.75" hidden="false" customHeight="false" outlineLevel="0" collapsed="false">
      <c r="C406" s="0"/>
      <c r="D406" s="0"/>
      <c r="E406" s="0"/>
      <c r="F406" s="0"/>
      <c r="G406" s="0"/>
      <c r="H406" s="0"/>
      <c r="I406" s="0"/>
    </row>
    <row r="407" customFormat="false" ht="12.75" hidden="false" customHeight="false" outlineLevel="0" collapsed="false">
      <c r="C407" s="0"/>
      <c r="D407" s="0"/>
      <c r="E407" s="0"/>
      <c r="F407" s="0"/>
      <c r="G407" s="0"/>
      <c r="H407" s="0"/>
      <c r="I407" s="0"/>
    </row>
    <row r="408" customFormat="false" ht="12.75" hidden="false" customHeight="false" outlineLevel="0" collapsed="false">
      <c r="C408" s="0"/>
      <c r="D408" s="0"/>
      <c r="E408" s="0"/>
      <c r="F408" s="0"/>
      <c r="G408" s="0"/>
      <c r="H408" s="0"/>
      <c r="I408" s="0"/>
    </row>
    <row r="409" customFormat="false" ht="12.75" hidden="false" customHeight="false" outlineLevel="0" collapsed="false">
      <c r="C409" s="0"/>
      <c r="D409" s="0"/>
      <c r="E409" s="0"/>
      <c r="F409" s="0"/>
      <c r="G409" s="0"/>
      <c r="H409" s="0"/>
      <c r="I409" s="0"/>
    </row>
    <row r="410" customFormat="false" ht="12.75" hidden="false" customHeight="false" outlineLevel="0" collapsed="false">
      <c r="C410" s="0"/>
      <c r="D410" s="0"/>
      <c r="E410" s="0"/>
      <c r="F410" s="0"/>
      <c r="G410" s="0"/>
      <c r="H410" s="0"/>
      <c r="I410" s="0"/>
    </row>
    <row r="411" customFormat="false" ht="12.75" hidden="false" customHeight="false" outlineLevel="0" collapsed="false">
      <c r="C411" s="0"/>
      <c r="D411" s="0"/>
      <c r="E411" s="0"/>
      <c r="F411" s="0"/>
      <c r="G411" s="0"/>
      <c r="H411" s="0"/>
      <c r="I411" s="0"/>
    </row>
    <row r="412" customFormat="false" ht="12.75" hidden="false" customHeight="false" outlineLevel="0" collapsed="false">
      <c r="C412" s="0"/>
      <c r="D412" s="0"/>
      <c r="E412" s="0"/>
      <c r="F412" s="0"/>
      <c r="G412" s="0"/>
      <c r="H412" s="0"/>
      <c r="I412" s="0"/>
    </row>
    <row r="413" customFormat="false" ht="12.75" hidden="false" customHeight="false" outlineLevel="0" collapsed="false">
      <c r="C413" s="0"/>
      <c r="D413" s="0"/>
      <c r="E413" s="0"/>
      <c r="F413" s="0"/>
      <c r="G413" s="0"/>
      <c r="H413" s="0"/>
      <c r="I413" s="0"/>
    </row>
    <row r="414" customFormat="false" ht="12.75" hidden="false" customHeight="false" outlineLevel="0" collapsed="false">
      <c r="C414" s="0"/>
      <c r="D414" s="0"/>
      <c r="E414" s="0"/>
      <c r="F414" s="0"/>
      <c r="G414" s="0"/>
      <c r="H414" s="0"/>
      <c r="I414" s="0"/>
    </row>
    <row r="415" customFormat="false" ht="12.75" hidden="false" customHeight="false" outlineLevel="0" collapsed="false">
      <c r="C415" s="0"/>
      <c r="D415" s="0"/>
      <c r="E415" s="0"/>
      <c r="F415" s="0"/>
      <c r="G415" s="0"/>
      <c r="H415" s="0"/>
      <c r="I415" s="0"/>
    </row>
    <row r="416" customFormat="false" ht="12.75" hidden="false" customHeight="false" outlineLevel="0" collapsed="false">
      <c r="C416" s="0"/>
      <c r="D416" s="0"/>
      <c r="E416" s="0"/>
      <c r="F416" s="0"/>
      <c r="G416" s="0"/>
      <c r="H416" s="0"/>
      <c r="I416" s="0"/>
    </row>
    <row r="417" customFormat="false" ht="12.75" hidden="false" customHeight="false" outlineLevel="0" collapsed="false">
      <c r="C417" s="0"/>
      <c r="D417" s="0"/>
      <c r="E417" s="0"/>
      <c r="F417" s="0"/>
      <c r="G417" s="0"/>
      <c r="H417" s="0"/>
      <c r="I417" s="0"/>
    </row>
    <row r="418" customFormat="false" ht="12.75" hidden="false" customHeight="false" outlineLevel="0" collapsed="false">
      <c r="C418" s="0"/>
      <c r="D418" s="0"/>
      <c r="E418" s="0"/>
      <c r="F418" s="0"/>
      <c r="G418" s="0"/>
      <c r="H418" s="0"/>
      <c r="I418" s="0"/>
    </row>
    <row r="419" customFormat="false" ht="12.75" hidden="false" customHeight="false" outlineLevel="0" collapsed="false">
      <c r="C419" s="0"/>
      <c r="D419" s="0"/>
      <c r="E419" s="0"/>
      <c r="F419" s="0"/>
      <c r="G419" s="0"/>
      <c r="H419" s="0"/>
      <c r="I419" s="0"/>
    </row>
    <row r="420" customFormat="false" ht="12.75" hidden="false" customHeight="false" outlineLevel="0" collapsed="false">
      <c r="C420" s="0"/>
      <c r="D420" s="0"/>
      <c r="E420" s="0"/>
      <c r="F420" s="0"/>
      <c r="G420" s="0"/>
      <c r="H420" s="0"/>
      <c r="I420" s="0"/>
    </row>
    <row r="421" customFormat="false" ht="12.75" hidden="false" customHeight="false" outlineLevel="0" collapsed="false">
      <c r="C421" s="0"/>
      <c r="D421" s="0"/>
      <c r="E421" s="0"/>
      <c r="F421" s="0"/>
      <c r="G421" s="0"/>
      <c r="H421" s="0"/>
      <c r="I421" s="0"/>
    </row>
    <row r="422" customFormat="false" ht="12.75" hidden="false" customHeight="false" outlineLevel="0" collapsed="false">
      <c r="C422" s="0"/>
      <c r="D422" s="0"/>
      <c r="E422" s="0"/>
      <c r="F422" s="0"/>
      <c r="G422" s="0"/>
      <c r="H422" s="0"/>
      <c r="I422" s="0"/>
    </row>
    <row r="423" customFormat="false" ht="12.75" hidden="false" customHeight="false" outlineLevel="0" collapsed="false">
      <c r="C423" s="0"/>
      <c r="D423" s="0"/>
      <c r="E423" s="0"/>
      <c r="F423" s="0"/>
      <c r="G423" s="0"/>
      <c r="H423" s="0"/>
      <c r="I423" s="0"/>
    </row>
    <row r="424" customFormat="false" ht="12.75" hidden="false" customHeight="false" outlineLevel="0" collapsed="false">
      <c r="C424" s="0"/>
      <c r="D424" s="0"/>
      <c r="E424" s="0"/>
      <c r="F424" s="0"/>
      <c r="G424" s="0"/>
      <c r="H424" s="0"/>
      <c r="I424" s="0"/>
    </row>
    <row r="425" customFormat="false" ht="12.75" hidden="false" customHeight="false" outlineLevel="0" collapsed="false">
      <c r="C425" s="0"/>
      <c r="D425" s="0"/>
      <c r="E425" s="0"/>
      <c r="F425" s="0"/>
      <c r="G425" s="0"/>
      <c r="H425" s="0"/>
      <c r="I425" s="0"/>
    </row>
    <row r="426" customFormat="false" ht="12.75" hidden="false" customHeight="false" outlineLevel="0" collapsed="false">
      <c r="C426" s="0"/>
      <c r="D426" s="0"/>
      <c r="E426" s="0"/>
      <c r="F426" s="0"/>
      <c r="G426" s="0"/>
      <c r="H426" s="0"/>
      <c r="I426" s="0"/>
    </row>
    <row r="427" customFormat="false" ht="12.75" hidden="false" customHeight="false" outlineLevel="0" collapsed="false">
      <c r="C427" s="0"/>
      <c r="D427" s="0"/>
      <c r="E427" s="0"/>
      <c r="F427" s="0"/>
      <c r="G427" s="0"/>
      <c r="H427" s="0"/>
      <c r="I427" s="0"/>
    </row>
    <row r="428" customFormat="false" ht="12.75" hidden="false" customHeight="false" outlineLevel="0" collapsed="false">
      <c r="C428" s="0"/>
      <c r="D428" s="0"/>
      <c r="E428" s="0"/>
      <c r="F428" s="0"/>
      <c r="G428" s="0"/>
      <c r="H428" s="0"/>
      <c r="I428" s="0"/>
    </row>
    <row r="429" customFormat="false" ht="12.75" hidden="false" customHeight="false" outlineLevel="0" collapsed="false">
      <c r="C429" s="0"/>
      <c r="D429" s="0"/>
      <c r="E429" s="0"/>
      <c r="F429" s="0"/>
      <c r="G429" s="0"/>
      <c r="H429" s="0"/>
      <c r="I429" s="0"/>
    </row>
    <row r="430" customFormat="false" ht="12.75" hidden="false" customHeight="false" outlineLevel="0" collapsed="false">
      <c r="C430" s="0"/>
      <c r="D430" s="0"/>
      <c r="E430" s="0"/>
      <c r="F430" s="0"/>
      <c r="G430" s="0"/>
      <c r="H430" s="0"/>
      <c r="I430" s="0"/>
    </row>
    <row r="431" customFormat="false" ht="12.75" hidden="false" customHeight="false" outlineLevel="0" collapsed="false">
      <c r="C431" s="0"/>
      <c r="D431" s="0"/>
      <c r="E431" s="0"/>
      <c r="F431" s="0"/>
      <c r="G431" s="0"/>
      <c r="H431" s="0"/>
      <c r="I431" s="0"/>
    </row>
    <row r="432" customFormat="false" ht="12.75" hidden="false" customHeight="false" outlineLevel="0" collapsed="false">
      <c r="C432" s="0"/>
      <c r="D432" s="0"/>
      <c r="E432" s="0"/>
      <c r="F432" s="0"/>
      <c r="G432" s="0"/>
      <c r="H432" s="0"/>
      <c r="I432" s="0"/>
    </row>
    <row r="433" customFormat="false" ht="12.75" hidden="false" customHeight="false" outlineLevel="0" collapsed="false">
      <c r="C433" s="0"/>
      <c r="D433" s="0"/>
      <c r="E433" s="0"/>
      <c r="F433" s="0"/>
      <c r="G433" s="0"/>
      <c r="H433" s="0"/>
      <c r="I433" s="0"/>
    </row>
    <row r="434" customFormat="false" ht="12.75" hidden="false" customHeight="false" outlineLevel="0" collapsed="false">
      <c r="C434" s="0"/>
      <c r="D434" s="0"/>
      <c r="E434" s="0"/>
      <c r="F434" s="0"/>
      <c r="G434" s="0"/>
      <c r="H434" s="0"/>
      <c r="I434" s="0"/>
    </row>
    <row r="435" customFormat="false" ht="12.75" hidden="false" customHeight="false" outlineLevel="0" collapsed="false">
      <c r="C435" s="0"/>
      <c r="D435" s="0"/>
      <c r="E435" s="0"/>
      <c r="F435" s="0"/>
      <c r="G435" s="0"/>
      <c r="H435" s="0"/>
      <c r="I435" s="0"/>
    </row>
    <row r="436" customFormat="false" ht="12.75" hidden="false" customHeight="false" outlineLevel="0" collapsed="false">
      <c r="C436" s="0"/>
      <c r="D436" s="0"/>
      <c r="E436" s="0"/>
      <c r="F436" s="0"/>
      <c r="G436" s="0"/>
      <c r="H436" s="0"/>
      <c r="I436" s="0"/>
    </row>
    <row r="437" customFormat="false" ht="12.75" hidden="false" customHeight="false" outlineLevel="0" collapsed="false">
      <c r="C437" s="0"/>
      <c r="D437" s="0"/>
      <c r="E437" s="0"/>
      <c r="F437" s="0"/>
      <c r="G437" s="0"/>
      <c r="H437" s="0"/>
      <c r="I437" s="0"/>
    </row>
    <row r="438" customFormat="false" ht="12.75" hidden="false" customHeight="false" outlineLevel="0" collapsed="false">
      <c r="C438" s="0"/>
      <c r="D438" s="0"/>
      <c r="E438" s="0"/>
      <c r="F438" s="0"/>
      <c r="G438" s="0"/>
      <c r="H438" s="0"/>
      <c r="I438" s="0"/>
    </row>
    <row r="439" customFormat="false" ht="12.75" hidden="false" customHeight="false" outlineLevel="0" collapsed="false">
      <c r="C439" s="0"/>
      <c r="D439" s="0"/>
      <c r="E439" s="0"/>
      <c r="F439" s="0"/>
      <c r="G439" s="0"/>
      <c r="H439" s="0"/>
      <c r="I439" s="0"/>
    </row>
    <row r="440" customFormat="false" ht="12.75" hidden="false" customHeight="false" outlineLevel="0" collapsed="false">
      <c r="C440" s="0"/>
      <c r="D440" s="0"/>
      <c r="E440" s="0"/>
      <c r="F440" s="0"/>
      <c r="G440" s="0"/>
      <c r="H440" s="0"/>
      <c r="I440" s="0"/>
    </row>
    <row r="441" customFormat="false" ht="12.75" hidden="false" customHeight="false" outlineLevel="0" collapsed="false">
      <c r="C441" s="0"/>
      <c r="D441" s="0"/>
      <c r="E441" s="0"/>
      <c r="F441" s="0"/>
      <c r="G441" s="0"/>
      <c r="H441" s="0"/>
      <c r="I441" s="0"/>
    </row>
    <row r="442" customFormat="false" ht="12.75" hidden="false" customHeight="false" outlineLevel="0" collapsed="false">
      <c r="C442" s="0"/>
      <c r="D442" s="0"/>
      <c r="E442" s="0"/>
      <c r="F442" s="0"/>
      <c r="G442" s="0"/>
      <c r="H442" s="0"/>
      <c r="I442" s="0"/>
    </row>
    <row r="443" customFormat="false" ht="12.75" hidden="false" customHeight="false" outlineLevel="0" collapsed="false">
      <c r="C443" s="0"/>
      <c r="D443" s="0"/>
      <c r="E443" s="0"/>
      <c r="F443" s="0"/>
      <c r="G443" s="0"/>
      <c r="H443" s="0"/>
      <c r="I443" s="0"/>
    </row>
    <row r="444" customFormat="false" ht="12.75" hidden="false" customHeight="false" outlineLevel="0" collapsed="false">
      <c r="C444" s="0"/>
      <c r="D444" s="0"/>
      <c r="E444" s="0"/>
      <c r="F444" s="0"/>
      <c r="G444" s="0"/>
      <c r="H444" s="0"/>
      <c r="I444" s="0"/>
    </row>
    <row r="445" customFormat="false" ht="12.75" hidden="false" customHeight="false" outlineLevel="0" collapsed="false">
      <c r="C445" s="0"/>
      <c r="D445" s="0"/>
      <c r="E445" s="0"/>
      <c r="F445" s="0"/>
      <c r="G445" s="0"/>
      <c r="H445" s="0"/>
      <c r="I445" s="0"/>
    </row>
    <row r="446" customFormat="false" ht="12.75" hidden="false" customHeight="false" outlineLevel="0" collapsed="false">
      <c r="C446" s="0"/>
      <c r="D446" s="0"/>
      <c r="E446" s="0"/>
      <c r="F446" s="0"/>
      <c r="G446" s="0"/>
      <c r="H446" s="0"/>
      <c r="I446" s="0"/>
    </row>
    <row r="447" customFormat="false" ht="12.75" hidden="false" customHeight="false" outlineLevel="0" collapsed="false">
      <c r="C447" s="0"/>
      <c r="D447" s="0"/>
      <c r="E447" s="0"/>
      <c r="F447" s="0"/>
      <c r="G447" s="0"/>
      <c r="H447" s="0"/>
      <c r="I447" s="0"/>
    </row>
    <row r="448" customFormat="false" ht="12.75" hidden="false" customHeight="false" outlineLevel="0" collapsed="false">
      <c r="C448" s="0"/>
      <c r="D448" s="0"/>
      <c r="E448" s="0"/>
      <c r="F448" s="0"/>
      <c r="G448" s="0"/>
      <c r="H448" s="0"/>
      <c r="I448" s="0"/>
    </row>
    <row r="449" customFormat="false" ht="12.75" hidden="false" customHeight="false" outlineLevel="0" collapsed="false">
      <c r="C449" s="0"/>
      <c r="D449" s="0"/>
      <c r="E449" s="0"/>
      <c r="F449" s="0"/>
      <c r="G449" s="0"/>
      <c r="H449" s="0"/>
      <c r="I449" s="0"/>
    </row>
    <row r="450" customFormat="false" ht="12.75" hidden="false" customHeight="false" outlineLevel="0" collapsed="false">
      <c r="C450" s="0"/>
      <c r="D450" s="0"/>
      <c r="E450" s="0"/>
      <c r="F450" s="0"/>
      <c r="G450" s="0"/>
      <c r="H450" s="0"/>
      <c r="I450" s="0"/>
    </row>
    <row r="451" customFormat="false" ht="12.75" hidden="false" customHeight="false" outlineLevel="0" collapsed="false">
      <c r="C451" s="0"/>
      <c r="D451" s="0"/>
      <c r="E451" s="0"/>
      <c r="F451" s="0"/>
      <c r="G451" s="0"/>
      <c r="H451" s="0"/>
      <c r="I451" s="0"/>
    </row>
    <row r="452" customFormat="false" ht="12.75" hidden="false" customHeight="false" outlineLevel="0" collapsed="false">
      <c r="C452" s="0"/>
      <c r="D452" s="0"/>
      <c r="E452" s="0"/>
      <c r="F452" s="0"/>
      <c r="G452" s="0"/>
      <c r="H452" s="0"/>
      <c r="I452" s="0"/>
    </row>
    <row r="453" customFormat="false" ht="12.75" hidden="false" customHeight="false" outlineLevel="0" collapsed="false">
      <c r="C453" s="0"/>
      <c r="D453" s="0"/>
      <c r="E453" s="0"/>
      <c r="F453" s="0"/>
      <c r="G453" s="0"/>
      <c r="H453" s="0"/>
      <c r="I453" s="0"/>
    </row>
    <row r="454" customFormat="false" ht="12.75" hidden="false" customHeight="false" outlineLevel="0" collapsed="false">
      <c r="C454" s="0"/>
      <c r="D454" s="0"/>
      <c r="E454" s="0"/>
      <c r="F454" s="0"/>
      <c r="G454" s="0"/>
      <c r="H454" s="0"/>
      <c r="I454" s="0"/>
    </row>
    <row r="455" customFormat="false" ht="12.75" hidden="false" customHeight="false" outlineLevel="0" collapsed="false">
      <c r="C455" s="0"/>
      <c r="D455" s="0"/>
      <c r="E455" s="0"/>
      <c r="F455" s="0"/>
      <c r="G455" s="0"/>
      <c r="H455" s="0"/>
      <c r="I455" s="0"/>
    </row>
    <row r="456" customFormat="false" ht="12.75" hidden="false" customHeight="false" outlineLevel="0" collapsed="false">
      <c r="C456" s="0"/>
      <c r="D456" s="0"/>
      <c r="E456" s="0"/>
      <c r="F456" s="0"/>
      <c r="G456" s="0"/>
      <c r="H456" s="0"/>
      <c r="I456" s="0"/>
    </row>
    <row r="457" customFormat="false" ht="12.75" hidden="false" customHeight="false" outlineLevel="0" collapsed="false">
      <c r="C457" s="0"/>
      <c r="D457" s="0"/>
      <c r="E457" s="0"/>
      <c r="F457" s="0"/>
      <c r="G457" s="0"/>
      <c r="H457" s="0"/>
      <c r="I457" s="0"/>
    </row>
    <row r="458" customFormat="false" ht="12.75" hidden="false" customHeight="false" outlineLevel="0" collapsed="false">
      <c r="C458" s="0"/>
      <c r="D458" s="0"/>
      <c r="E458" s="0"/>
      <c r="F458" s="0"/>
      <c r="G458" s="0"/>
      <c r="H458" s="0"/>
      <c r="I458" s="0"/>
    </row>
    <row r="459" customFormat="false" ht="12.75" hidden="false" customHeight="false" outlineLevel="0" collapsed="false">
      <c r="C459" s="0"/>
      <c r="D459" s="0"/>
      <c r="E459" s="0"/>
      <c r="F459" s="0"/>
      <c r="G459" s="0"/>
      <c r="H459" s="0"/>
      <c r="I459" s="0"/>
    </row>
    <row r="460" customFormat="false" ht="12.75" hidden="false" customHeight="false" outlineLevel="0" collapsed="false">
      <c r="C460" s="0"/>
      <c r="D460" s="0"/>
      <c r="E460" s="0"/>
      <c r="F460" s="0"/>
      <c r="G460" s="0"/>
      <c r="H460" s="0"/>
      <c r="I460" s="0"/>
    </row>
    <row r="461" customFormat="false" ht="12.75" hidden="false" customHeight="false" outlineLevel="0" collapsed="false">
      <c r="C461" s="0"/>
      <c r="D461" s="0"/>
      <c r="E461" s="0"/>
      <c r="F461" s="0"/>
      <c r="G461" s="0"/>
      <c r="H461" s="0"/>
      <c r="I461" s="0"/>
    </row>
    <row r="462" customFormat="false" ht="12.75" hidden="false" customHeight="false" outlineLevel="0" collapsed="false">
      <c r="C462" s="0"/>
      <c r="D462" s="0"/>
      <c r="E462" s="0"/>
      <c r="F462" s="0"/>
      <c r="G462" s="0"/>
      <c r="H462" s="0"/>
      <c r="I462" s="0"/>
    </row>
    <row r="463" customFormat="false" ht="12.75" hidden="false" customHeight="false" outlineLevel="0" collapsed="false">
      <c r="C463" s="0"/>
      <c r="D463" s="0"/>
      <c r="E463" s="0"/>
      <c r="F463" s="0"/>
      <c r="G463" s="0"/>
      <c r="H463" s="0"/>
      <c r="I463" s="0"/>
    </row>
    <row r="464" customFormat="false" ht="12.75" hidden="false" customHeight="false" outlineLevel="0" collapsed="false">
      <c r="C464" s="0"/>
      <c r="D464" s="0"/>
      <c r="E464" s="0"/>
      <c r="F464" s="0"/>
      <c r="G464" s="0"/>
      <c r="H464" s="0"/>
      <c r="I464" s="0"/>
    </row>
    <row r="465" customFormat="false" ht="12.75" hidden="false" customHeight="false" outlineLevel="0" collapsed="false">
      <c r="C465" s="0"/>
      <c r="D465" s="0"/>
      <c r="E465" s="0"/>
      <c r="F465" s="0"/>
      <c r="G465" s="0"/>
      <c r="H465" s="0"/>
      <c r="I465" s="0"/>
    </row>
    <row r="466" customFormat="false" ht="12.75" hidden="false" customHeight="false" outlineLevel="0" collapsed="false">
      <c r="C466" s="0"/>
      <c r="D466" s="0"/>
      <c r="E466" s="0"/>
      <c r="F466" s="0"/>
      <c r="G466" s="0"/>
      <c r="H466" s="0"/>
      <c r="I466" s="0"/>
    </row>
    <row r="467" customFormat="false" ht="12.75" hidden="false" customHeight="false" outlineLevel="0" collapsed="false">
      <c r="C467" s="0"/>
      <c r="D467" s="0"/>
      <c r="E467" s="0"/>
      <c r="F467" s="0"/>
      <c r="G467" s="0"/>
      <c r="H467" s="0"/>
      <c r="I467" s="0"/>
    </row>
    <row r="468" customFormat="false" ht="12.75" hidden="false" customHeight="false" outlineLevel="0" collapsed="false">
      <c r="C468" s="0"/>
      <c r="D468" s="0"/>
      <c r="E468" s="0"/>
      <c r="F468" s="0"/>
      <c r="G468" s="0"/>
      <c r="H468" s="0"/>
      <c r="I468" s="0"/>
    </row>
    <row r="469" customFormat="false" ht="12.75" hidden="false" customHeight="false" outlineLevel="0" collapsed="false">
      <c r="C469" s="0"/>
      <c r="D469" s="0"/>
      <c r="E469" s="0"/>
      <c r="F469" s="0"/>
      <c r="G469" s="0"/>
      <c r="H469" s="0"/>
      <c r="I469" s="0"/>
    </row>
    <row r="470" customFormat="false" ht="12.75" hidden="false" customHeight="false" outlineLevel="0" collapsed="false">
      <c r="C470" s="0"/>
      <c r="D470" s="0"/>
      <c r="E470" s="0"/>
      <c r="F470" s="0"/>
      <c r="G470" s="0"/>
      <c r="H470" s="0"/>
      <c r="I470" s="0"/>
    </row>
    <row r="471" customFormat="false" ht="12.75" hidden="false" customHeight="false" outlineLevel="0" collapsed="false">
      <c r="C471" s="0"/>
      <c r="D471" s="0"/>
      <c r="E471" s="0"/>
      <c r="F471" s="0"/>
      <c r="G471" s="0"/>
      <c r="H471" s="0"/>
      <c r="I471" s="0"/>
    </row>
    <row r="472" customFormat="false" ht="12.75" hidden="false" customHeight="false" outlineLevel="0" collapsed="false">
      <c r="C472" s="0"/>
      <c r="D472" s="0"/>
      <c r="E472" s="0"/>
      <c r="F472" s="0"/>
      <c r="G472" s="0"/>
      <c r="H472" s="0"/>
      <c r="I472" s="0"/>
    </row>
    <row r="473" customFormat="false" ht="12.75" hidden="false" customHeight="false" outlineLevel="0" collapsed="false">
      <c r="C473" s="0"/>
      <c r="D473" s="0"/>
      <c r="E473" s="0"/>
      <c r="F473" s="0"/>
      <c r="G473" s="0"/>
      <c r="H473" s="0"/>
      <c r="I473" s="0"/>
    </row>
    <row r="474" customFormat="false" ht="12.75" hidden="false" customHeight="false" outlineLevel="0" collapsed="false">
      <c r="C474" s="0"/>
      <c r="D474" s="0"/>
      <c r="E474" s="0"/>
      <c r="F474" s="0"/>
      <c r="G474" s="0"/>
      <c r="H474" s="0"/>
      <c r="I474" s="0"/>
    </row>
    <row r="475" customFormat="false" ht="12.75" hidden="false" customHeight="false" outlineLevel="0" collapsed="false">
      <c r="C475" s="0"/>
      <c r="D475" s="0"/>
      <c r="E475" s="0"/>
      <c r="F475" s="0"/>
      <c r="G475" s="0"/>
      <c r="H475" s="0"/>
      <c r="I475" s="0"/>
    </row>
    <row r="476" customFormat="false" ht="12.75" hidden="false" customHeight="false" outlineLevel="0" collapsed="false">
      <c r="C476" s="0"/>
      <c r="D476" s="0"/>
      <c r="E476" s="0"/>
      <c r="F476" s="0"/>
      <c r="G476" s="0"/>
      <c r="H476" s="0"/>
      <c r="I476" s="0"/>
    </row>
    <row r="477" customFormat="false" ht="12.75" hidden="false" customHeight="false" outlineLevel="0" collapsed="false">
      <c r="C477" s="0"/>
      <c r="D477" s="0"/>
      <c r="E477" s="0"/>
      <c r="F477" s="0"/>
      <c r="G477" s="0"/>
      <c r="H477" s="0"/>
      <c r="I477" s="0"/>
    </row>
    <row r="478" customFormat="false" ht="12.75" hidden="false" customHeight="false" outlineLevel="0" collapsed="false">
      <c r="C478" s="0"/>
      <c r="D478" s="0"/>
      <c r="E478" s="0"/>
      <c r="F478" s="0"/>
      <c r="G478" s="0"/>
      <c r="H478" s="0"/>
      <c r="I478" s="0"/>
    </row>
    <row r="479" customFormat="false" ht="12.75" hidden="false" customHeight="false" outlineLevel="0" collapsed="false">
      <c r="C479" s="0"/>
      <c r="D479" s="0"/>
      <c r="E479" s="0"/>
      <c r="F479" s="0"/>
      <c r="G479" s="0"/>
      <c r="H479" s="0"/>
      <c r="I479" s="0"/>
    </row>
    <row r="480" customFormat="false" ht="12.75" hidden="false" customHeight="false" outlineLevel="0" collapsed="false">
      <c r="C480" s="0"/>
      <c r="D480" s="0"/>
      <c r="E480" s="0"/>
      <c r="F480" s="0"/>
      <c r="G480" s="0"/>
      <c r="H480" s="0"/>
      <c r="I480" s="0"/>
    </row>
    <row r="481" customFormat="false" ht="12.75" hidden="false" customHeight="false" outlineLevel="0" collapsed="false">
      <c r="C481" s="0"/>
      <c r="D481" s="0"/>
      <c r="E481" s="0"/>
      <c r="F481" s="0"/>
      <c r="G481" s="0"/>
      <c r="H481" s="0"/>
      <c r="I481" s="0"/>
    </row>
    <row r="482" customFormat="false" ht="12.75" hidden="false" customHeight="false" outlineLevel="0" collapsed="false">
      <c r="C482" s="0"/>
      <c r="D482" s="0"/>
      <c r="E482" s="0"/>
      <c r="F482" s="0"/>
      <c r="G482" s="0"/>
      <c r="H482" s="0"/>
      <c r="I482" s="0"/>
    </row>
    <row r="483" customFormat="false" ht="12.75" hidden="false" customHeight="false" outlineLevel="0" collapsed="false">
      <c r="C483" s="0"/>
      <c r="D483" s="0"/>
      <c r="E483" s="0"/>
      <c r="F483" s="0"/>
      <c r="G483" s="0"/>
      <c r="H483" s="0"/>
      <c r="I483" s="0"/>
    </row>
    <row r="484" customFormat="false" ht="12.75" hidden="false" customHeight="false" outlineLevel="0" collapsed="false">
      <c r="C484" s="0"/>
      <c r="D484" s="0"/>
      <c r="E484" s="0"/>
      <c r="F484" s="0"/>
      <c r="G484" s="0"/>
      <c r="H484" s="0"/>
      <c r="I484" s="0"/>
    </row>
    <row r="485" customFormat="false" ht="12.75" hidden="false" customHeight="false" outlineLevel="0" collapsed="false">
      <c r="C485" s="0"/>
      <c r="D485" s="0"/>
      <c r="E485" s="0"/>
      <c r="F485" s="0"/>
      <c r="G485" s="0"/>
      <c r="H485" s="0"/>
      <c r="I485" s="0"/>
    </row>
    <row r="486" customFormat="false" ht="12.75" hidden="false" customHeight="false" outlineLevel="0" collapsed="false">
      <c r="C486" s="0"/>
      <c r="D486" s="0"/>
      <c r="E486" s="0"/>
      <c r="F486" s="0"/>
      <c r="G486" s="0"/>
      <c r="H486" s="0"/>
      <c r="I486" s="0"/>
    </row>
    <row r="487" customFormat="false" ht="12.75" hidden="false" customHeight="false" outlineLevel="0" collapsed="false">
      <c r="C487" s="0"/>
      <c r="D487" s="0"/>
      <c r="E487" s="0"/>
      <c r="F487" s="0"/>
      <c r="G487" s="0"/>
      <c r="H487" s="0"/>
      <c r="I487" s="0"/>
    </row>
    <row r="488" customFormat="false" ht="12.75" hidden="false" customHeight="false" outlineLevel="0" collapsed="false">
      <c r="C488" s="0"/>
      <c r="D488" s="0"/>
      <c r="E488" s="0"/>
      <c r="F488" s="0"/>
      <c r="G488" s="0"/>
      <c r="H488" s="0"/>
      <c r="I488" s="0"/>
    </row>
    <row r="489" customFormat="false" ht="12.75" hidden="false" customHeight="false" outlineLevel="0" collapsed="false">
      <c r="C489" s="0"/>
      <c r="D489" s="0"/>
      <c r="E489" s="0"/>
      <c r="F489" s="0"/>
      <c r="G489" s="0"/>
      <c r="H489" s="0"/>
      <c r="I489" s="0"/>
    </row>
    <row r="490" customFormat="false" ht="12.75" hidden="false" customHeight="false" outlineLevel="0" collapsed="false">
      <c r="C490" s="0"/>
      <c r="D490" s="0"/>
      <c r="E490" s="0"/>
      <c r="F490" s="0"/>
      <c r="G490" s="0"/>
      <c r="H490" s="0"/>
      <c r="I490" s="0"/>
    </row>
    <row r="491" customFormat="false" ht="12.75" hidden="false" customHeight="false" outlineLevel="0" collapsed="false">
      <c r="C491" s="0"/>
      <c r="D491" s="0"/>
      <c r="E491" s="0"/>
      <c r="F491" s="0"/>
      <c r="G491" s="0"/>
      <c r="H491" s="0"/>
      <c r="I491" s="0"/>
    </row>
    <row r="492" customFormat="false" ht="12.75" hidden="false" customHeight="false" outlineLevel="0" collapsed="false">
      <c r="C492" s="0"/>
      <c r="D492" s="0"/>
      <c r="E492" s="0"/>
      <c r="F492" s="0"/>
      <c r="G492" s="0"/>
      <c r="H492" s="0"/>
      <c r="I492" s="0"/>
    </row>
    <row r="493" customFormat="false" ht="12.75" hidden="true" customHeight="false" outlineLevel="0" collapsed="false">
      <c r="C493" s="158" t="s">
        <v>236</v>
      </c>
      <c r="D493" s="158" t="s">
        <v>237</v>
      </c>
      <c r="E493" s="158" t="s">
        <v>262</v>
      </c>
      <c r="F493" s="158" t="s">
        <v>263</v>
      </c>
      <c r="G493" s="158"/>
      <c r="H493" s="0"/>
      <c r="I493" s="356" t="s">
        <v>264</v>
      </c>
    </row>
    <row r="494" customFormat="false" ht="12.75" hidden="true" customHeight="false" outlineLevel="0" collapsed="false">
      <c r="C494" s="158" t="n">
        <v>800</v>
      </c>
      <c r="D494" s="158" t="n">
        <v>400</v>
      </c>
      <c r="E494" s="158" t="n">
        <v>325</v>
      </c>
      <c r="F494" s="158" t="n">
        <v>325</v>
      </c>
      <c r="G494" s="158" t="n">
        <f aca="false">IF('Step1-System Details'!E19="DDR3",VLOOKUP(C14,C494:F499,3,0),"")</f>
        <v>165</v>
      </c>
      <c r="H494" s="0"/>
      <c r="I494" s="158" t="n">
        <v>200</v>
      </c>
    </row>
    <row r="495" customFormat="false" ht="12.75" hidden="true" customHeight="false" outlineLevel="0" collapsed="false">
      <c r="C495" s="158" t="n">
        <v>1066</v>
      </c>
      <c r="D495" s="158" t="n">
        <v>533</v>
      </c>
      <c r="E495" s="158" t="n">
        <v>245</v>
      </c>
      <c r="F495" s="158" t="n">
        <v>245</v>
      </c>
      <c r="G495" s="158" t="n">
        <f aca="false">IF('Step1-System Details'!E19="DDR3",VLOOKUP(C14,C494:F499,4,0),"")</f>
        <v>165</v>
      </c>
      <c r="H495" s="158"/>
    </row>
    <row r="496" customFormat="false" ht="12.75" hidden="true" customHeight="false" outlineLevel="0" collapsed="false">
      <c r="C496" s="158" t="n">
        <v>1333</v>
      </c>
      <c r="D496" s="158" t="n">
        <v>667</v>
      </c>
      <c r="E496" s="158" t="n">
        <v>195</v>
      </c>
      <c r="F496" s="158" t="n">
        <v>195</v>
      </c>
      <c r="G496" s="158"/>
      <c r="H496" s="158"/>
    </row>
    <row r="497" customFormat="false" ht="12.75" hidden="true" customHeight="false" outlineLevel="0" collapsed="false">
      <c r="C497" s="158" t="n">
        <v>1600</v>
      </c>
      <c r="D497" s="158" t="n">
        <v>800</v>
      </c>
      <c r="E497" s="158" t="n">
        <v>165</v>
      </c>
      <c r="F497" s="158" t="n">
        <v>165</v>
      </c>
      <c r="G497" s="158"/>
      <c r="H497" s="158"/>
    </row>
    <row r="498" customFormat="false" ht="12.75" hidden="true" customHeight="false" outlineLevel="0" collapsed="false">
      <c r="C498" s="158" t="n">
        <v>1866</v>
      </c>
      <c r="D498" s="158" t="n">
        <v>933</v>
      </c>
      <c r="E498" s="158" t="n">
        <v>140</v>
      </c>
      <c r="F498" s="158" t="n">
        <v>140</v>
      </c>
      <c r="G498" s="158"/>
      <c r="H498" s="158"/>
    </row>
    <row r="499" customFormat="false" ht="12.75" hidden="true" customHeight="false" outlineLevel="0" collapsed="false">
      <c r="C499" s="158" t="n">
        <v>2133</v>
      </c>
      <c r="D499" s="158" t="n">
        <v>1067</v>
      </c>
      <c r="E499" s="158" t="n">
        <v>125</v>
      </c>
      <c r="F499" s="158" t="n">
        <v>125</v>
      </c>
      <c r="G499" s="158"/>
      <c r="H499" s="158"/>
    </row>
  </sheetData>
  <mergeCells count="17">
    <mergeCell ref="B2:S2"/>
    <mergeCell ref="B3:S3"/>
    <mergeCell ref="B4:S6"/>
    <mergeCell ref="B7:S8"/>
    <mergeCell ref="F18:G18"/>
    <mergeCell ref="F19:G19"/>
    <mergeCell ref="B20:B21"/>
    <mergeCell ref="C20:E21"/>
    <mergeCell ref="F20:F21"/>
    <mergeCell ref="G20:G21"/>
    <mergeCell ref="H20:H21"/>
    <mergeCell ref="I20:I21"/>
    <mergeCell ref="O22:U23"/>
    <mergeCell ref="P25:Q25"/>
    <mergeCell ref="B29:I30"/>
    <mergeCell ref="O29:AC30"/>
    <mergeCell ref="B48:I49"/>
  </mergeCells>
  <conditionalFormatting sqref="O22">
    <cfRule type="containsText" priority="2" aboveAverage="0" equalAverage="0" bottom="0" percent="0" rank="0" text="ERROR - Invert Clock must be a 1" dxfId="0"/>
  </conditionalFormatting>
  <conditionalFormatting sqref="P25:Q25">
    <cfRule type="containsText" priority="3" aboveAverage="0" equalAverage="0" bottom="0" percent="0" rank="0" text="ERROR - Invert Clock must be a 1" dxfId="0"/>
  </conditionalFormatting>
  <dataValidations count="2">
    <dataValidation allowBlank="true" error="Routing Limit Exceeded" operator="lessThan" showDropDown="false" showErrorMessage="true" showInputMessage="true" sqref="K23" type="decimal">
      <formula1>2.5</formula1>
      <formula2>0</formula2>
    </dataValidation>
    <dataValidation allowBlank="true" error="Routing Limit Exceeded" operator="between" showDropDown="false" showErrorMessage="true" showInputMessage="true" sqref="C22:D25" type="custom">
      <formula1>#REF!+#REF!&lt;=2.5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1" topLeftCell="A12" activePane="bottomLeft" state="frozen"/>
      <selection pane="topLeft" activeCell="A1" activeCellId="0" sqref="A1"/>
      <selection pane="bottomLeft" activeCell="N38" activeCellId="0" sqref="N38"/>
    </sheetView>
  </sheetViews>
  <sheetFormatPr defaultRowHeight="12.75"/>
  <cols>
    <col collapsed="false" hidden="false" max="1" min="1" style="357" width="2.99489795918367"/>
    <col collapsed="false" hidden="false" max="2" min="2" style="357" width="27.5765306122449"/>
    <col collapsed="false" hidden="false" max="3" min="3" style="357" width="19.9948979591837"/>
    <col collapsed="false" hidden="false" max="4" min="4" style="357" width="29.2857142857143"/>
    <col collapsed="false" hidden="false" max="5" min="5" style="357" width="28.1428571428571"/>
    <col collapsed="false" hidden="false" max="6" min="6" style="357" width="27.1428571428571"/>
    <col collapsed="false" hidden="false" max="7" min="7" style="357" width="25.2908163265306"/>
    <col collapsed="false" hidden="false" max="8" min="8" style="357" width="24.5663265306122"/>
    <col collapsed="false" hidden="false" max="9" min="9" style="357" width="27.2857142857143"/>
    <col collapsed="false" hidden="false" max="10" min="10" style="357" width="24.5663265306122"/>
    <col collapsed="false" hidden="false" max="11" min="11" style="358" width="24.8571428571429"/>
    <col collapsed="false" hidden="false" max="12" min="12" style="357" width="27"/>
    <col collapsed="false" hidden="false" max="13" min="13" style="357" width="28.7091836734694"/>
    <col collapsed="false" hidden="false" max="14" min="14" style="357" width="15"/>
    <col collapsed="false" hidden="false" max="15" min="15" style="357" width="17"/>
    <col collapsed="false" hidden="false" max="16" min="16" style="357" width="14.4285714285714"/>
    <col collapsed="false" hidden="false" max="17" min="17" style="357" width="9.14285714285714"/>
    <col collapsed="false" hidden="true" max="25" min="18" style="357" width="0"/>
    <col collapsed="false" hidden="false" max="257" min="26" style="357" width="9.14285714285714"/>
    <col collapsed="false" hidden="false" max="258" min="258" style="357" width="22.7040816326531"/>
    <col collapsed="false" hidden="false" max="259" min="259" style="357" width="22.5714285714286"/>
    <col collapsed="false" hidden="false" max="260" min="260" style="357" width="18.5765306122449"/>
    <col collapsed="false" hidden="false" max="261" min="261" style="357" width="24.4234693877551"/>
    <col collapsed="false" hidden="false" max="262" min="262" style="357" width="20.9948979591837"/>
    <col collapsed="false" hidden="false" max="263" min="263" style="357" width="19"/>
    <col collapsed="false" hidden="false" max="264" min="264" style="357" width="21.2857142857143"/>
    <col collapsed="false" hidden="false" max="265" min="265" style="357" width="42.7091836734694"/>
    <col collapsed="false" hidden="false" max="266" min="266" style="357" width="16.7142857142857"/>
    <col collapsed="false" hidden="false" max="267" min="267" style="357" width="34"/>
    <col collapsed="false" hidden="true" max="275" min="268" style="357" width="0"/>
    <col collapsed="false" hidden="false" max="513" min="276" style="357" width="9.14285714285714"/>
    <col collapsed="false" hidden="false" max="514" min="514" style="357" width="22.7040816326531"/>
    <col collapsed="false" hidden="false" max="515" min="515" style="357" width="22.5714285714286"/>
    <col collapsed="false" hidden="false" max="516" min="516" style="357" width="18.5765306122449"/>
    <col collapsed="false" hidden="false" max="517" min="517" style="357" width="24.4234693877551"/>
    <col collapsed="false" hidden="false" max="518" min="518" style="357" width="20.9948979591837"/>
    <col collapsed="false" hidden="false" max="519" min="519" style="357" width="19"/>
    <col collapsed="false" hidden="false" max="520" min="520" style="357" width="21.2857142857143"/>
    <col collapsed="false" hidden="false" max="521" min="521" style="357" width="42.7091836734694"/>
    <col collapsed="false" hidden="false" max="522" min="522" style="357" width="16.7142857142857"/>
    <col collapsed="false" hidden="false" max="523" min="523" style="357" width="34"/>
    <col collapsed="false" hidden="true" max="531" min="524" style="357" width="0"/>
    <col collapsed="false" hidden="false" max="769" min="532" style="357" width="9.14285714285714"/>
    <col collapsed="false" hidden="false" max="770" min="770" style="357" width="22.7040816326531"/>
    <col collapsed="false" hidden="false" max="771" min="771" style="357" width="22.5714285714286"/>
    <col collapsed="false" hidden="false" max="772" min="772" style="357" width="18.5765306122449"/>
    <col collapsed="false" hidden="false" max="773" min="773" style="357" width="24.4234693877551"/>
    <col collapsed="false" hidden="false" max="774" min="774" style="357" width="20.9948979591837"/>
    <col collapsed="false" hidden="false" max="775" min="775" style="357" width="19"/>
    <col collapsed="false" hidden="false" max="776" min="776" style="357" width="21.2857142857143"/>
    <col collapsed="false" hidden="false" max="777" min="777" style="357" width="42.7091836734694"/>
    <col collapsed="false" hidden="false" max="778" min="778" style="357" width="16.7142857142857"/>
    <col collapsed="false" hidden="false" max="779" min="779" style="357" width="34"/>
    <col collapsed="false" hidden="true" max="787" min="780" style="357" width="0"/>
    <col collapsed="false" hidden="false" max="1025" min="788" style="357" width="9.14285714285714"/>
  </cols>
  <sheetData>
    <row r="1" s="122" customFormat="true" ht="12.75" hidden="false" customHeight="true" outlineLevel="0" collapsed="false">
      <c r="A1" s="223"/>
      <c r="B1" s="217"/>
      <c r="C1" s="217"/>
      <c r="D1" s="217"/>
      <c r="E1" s="217"/>
      <c r="F1" s="217"/>
      <c r="G1" s="304"/>
      <c r="H1" s="304"/>
      <c r="I1" s="217"/>
      <c r="J1" s="217"/>
    </row>
    <row r="2" customFormat="false" ht="12.75" hidden="false" customHeight="true" outlineLevel="0" collapsed="false">
      <c r="A2" s="223"/>
      <c r="B2" s="220"/>
      <c r="C2" s="220"/>
      <c r="D2" s="220"/>
      <c r="E2" s="220"/>
      <c r="F2" s="220"/>
      <c r="G2" s="220"/>
      <c r="H2" s="220"/>
      <c r="I2" s="220"/>
      <c r="J2" s="217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true" outlineLevel="0" collapsed="false">
      <c r="A3" s="223"/>
      <c r="B3" s="220"/>
      <c r="C3" s="220"/>
      <c r="D3" s="220"/>
      <c r="E3" s="220"/>
      <c r="F3" s="220"/>
      <c r="G3" s="220"/>
      <c r="H3" s="220"/>
      <c r="I3" s="220"/>
      <c r="J3" s="217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true" outlineLevel="0" collapsed="false">
      <c r="A4" s="223"/>
      <c r="B4" s="359" t="s">
        <v>265</v>
      </c>
      <c r="C4" s="359"/>
      <c r="D4" s="359"/>
      <c r="E4" s="359"/>
      <c r="F4" s="359"/>
      <c r="G4" s="359"/>
      <c r="H4" s="359"/>
      <c r="I4" s="359"/>
      <c r="J4" s="218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223"/>
      <c r="B5" s="359"/>
      <c r="C5" s="359"/>
      <c r="D5" s="359"/>
      <c r="E5" s="359"/>
      <c r="F5" s="359"/>
      <c r="G5" s="359"/>
      <c r="H5" s="359"/>
      <c r="I5" s="359"/>
      <c r="J5" s="218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true" outlineLevel="0" collapsed="false">
      <c r="A6" s="223"/>
      <c r="B6" s="359"/>
      <c r="C6" s="359"/>
      <c r="D6" s="359"/>
      <c r="E6" s="359"/>
      <c r="F6" s="359"/>
      <c r="G6" s="359"/>
      <c r="H6" s="359"/>
      <c r="I6" s="359"/>
      <c r="J6" s="218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223"/>
      <c r="B7" s="224" t="s">
        <v>19</v>
      </c>
      <c r="C7" s="224"/>
      <c r="D7" s="224"/>
      <c r="E7" s="224"/>
      <c r="F7" s="224"/>
      <c r="G7" s="224"/>
      <c r="H7" s="224"/>
      <c r="I7" s="224"/>
      <c r="J7" s="36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223"/>
      <c r="B8" s="224"/>
      <c r="C8" s="224"/>
      <c r="D8" s="224"/>
      <c r="E8" s="224"/>
      <c r="F8" s="224"/>
      <c r="G8" s="224"/>
      <c r="H8" s="224"/>
      <c r="I8" s="224"/>
      <c r="J8" s="36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true" outlineLevel="0" collapsed="false">
      <c r="A9" s="223"/>
      <c r="B9" s="308"/>
      <c r="C9" s="310" t="s">
        <v>20</v>
      </c>
      <c r="D9" s="309" t="s">
        <v>243</v>
      </c>
      <c r="E9" s="311"/>
      <c r="F9" s="311"/>
      <c r="G9" s="312"/>
      <c r="H9" s="312"/>
      <c r="I9" s="361"/>
      <c r="J9" s="362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true" outlineLevel="0" collapsed="false">
      <c r="A10" s="221"/>
      <c r="B10" s="316"/>
      <c r="C10" s="317"/>
      <c r="D10" s="318"/>
      <c r="E10" s="319"/>
      <c r="F10" s="319"/>
      <c r="G10" s="320"/>
      <c r="H10" s="320"/>
      <c r="I10" s="363"/>
      <c r="J10" s="362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true" outlineLevel="0" collapsed="false">
      <c r="A11" s="221"/>
      <c r="B11" s="250"/>
      <c r="C11" s="250"/>
      <c r="D11" s="250"/>
      <c r="E11" s="250"/>
      <c r="F11" s="250"/>
      <c r="G11" s="251"/>
      <c r="H11" s="251"/>
      <c r="I11" s="250"/>
      <c r="J11" s="217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true" outlineLevel="0" collapsed="false">
      <c r="A12" s="364"/>
      <c r="B12" s="364"/>
      <c r="C12" s="364"/>
      <c r="D12" s="364"/>
      <c r="E12" s="364"/>
      <c r="F12" s="364"/>
      <c r="G12" s="365"/>
      <c r="H12" s="365"/>
      <c r="I12" s="364"/>
      <c r="J12" s="364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8" hidden="false" customHeight="true" outlineLevel="0" collapsed="false">
      <c r="A13" s="0"/>
      <c r="B13" s="366"/>
      <c r="C13" s="0"/>
      <c r="D13" s="0"/>
      <c r="E13" s="0"/>
      <c r="F13" s="367"/>
      <c r="G13" s="368"/>
      <c r="H13" s="368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5" hidden="false" customHeight="false" outlineLevel="0" collapsed="false">
      <c r="A14" s="0"/>
      <c r="B14" s="369" t="s">
        <v>266</v>
      </c>
      <c r="C14" s="370"/>
      <c r="D14" s="371"/>
      <c r="E14" s="371"/>
      <c r="F14" s="371"/>
      <c r="G14" s="371"/>
      <c r="H14" s="371"/>
      <c r="I14" s="371"/>
      <c r="J14" s="372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5" hidden="false" customHeight="false" outlineLevel="0" collapsed="false">
      <c r="A15" s="0"/>
      <c r="B15" s="373"/>
      <c r="C15" s="374" t="s">
        <v>267</v>
      </c>
      <c r="D15" s="375" t="s">
        <v>268</v>
      </c>
      <c r="E15" s="375" t="s">
        <v>269</v>
      </c>
      <c r="F15" s="375" t="s">
        <v>270</v>
      </c>
      <c r="G15" s="375" t="s">
        <v>271</v>
      </c>
      <c r="H15" s="375" t="s">
        <v>272</v>
      </c>
      <c r="I15" s="375" t="s">
        <v>273</v>
      </c>
      <c r="J15" s="376" t="s">
        <v>274</v>
      </c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0"/>
      <c r="B16" s="377" t="s">
        <v>275</v>
      </c>
      <c r="C16" s="378" t="n">
        <v>0</v>
      </c>
      <c r="D16" s="379" t="str">
        <f aca="false">DEC2HEX('Step2-DDR Timings'!G30)</f>
        <v>4</v>
      </c>
      <c r="E16" s="379" t="str">
        <f aca="false">DEC2HEX('Step2-DDR Timings'!G31)</f>
        <v>4</v>
      </c>
      <c r="F16" s="379" t="str">
        <f aca="false">DEC2HEX('Step2-DDR Timings'!G32)</f>
        <v>4</v>
      </c>
      <c r="G16" s="379" t="str">
        <f aca="false">DEC2HEX('Step2-DDR Timings'!G33)</f>
        <v>A</v>
      </c>
      <c r="H16" s="379" t="str">
        <f aca="false">DEC2HEX('Step2-DDR Timings'!G34)</f>
        <v>E</v>
      </c>
      <c r="I16" s="379" t="str">
        <f aca="false">DEC2HEX('Step2-DDR Timings'!G36)</f>
        <v>3</v>
      </c>
      <c r="J16" s="380" t="str">
        <f aca="false">DEC2HEX('Step2-DDR Timings'!G37)</f>
        <v>3</v>
      </c>
      <c r="K16" s="0"/>
      <c r="L16" s="0"/>
      <c r="M16" s="0"/>
      <c r="N16" s="0"/>
      <c r="O16" s="0"/>
      <c r="P16" s="0"/>
      <c r="Q16" s="0"/>
      <c r="R16" s="381" t="s">
        <v>276</v>
      </c>
      <c r="S16" s="0"/>
      <c r="T16" s="0"/>
      <c r="U16" s="0"/>
      <c r="V16" s="0"/>
      <c r="W16" s="381" t="s">
        <v>277</v>
      </c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5" hidden="false" customHeight="false" outlineLevel="0" collapsed="false">
      <c r="A17" s="0"/>
      <c r="B17" s="382" t="s">
        <v>278</v>
      </c>
      <c r="C17" s="383" t="str">
        <f aca="false">HEX2BIN(C16,3)</f>
        <v>000</v>
      </c>
      <c r="D17" s="384" t="str">
        <f aca="false">HEX2BIN(D16,4)</f>
        <v>0100</v>
      </c>
      <c r="E17" s="384" t="str">
        <f aca="false">HEX2BIN(E16,4)</f>
        <v>0100</v>
      </c>
      <c r="F17" s="384" t="str">
        <f aca="false">HEX2BIN(F16,4)</f>
        <v>0100</v>
      </c>
      <c r="G17" s="384" t="str">
        <f aca="false">HEX2BIN(G16,5)</f>
        <v>01010</v>
      </c>
      <c r="H17" s="384" t="str">
        <f aca="false">HEX2BIN(H16,6)</f>
        <v>001110</v>
      </c>
      <c r="I17" s="384" t="str">
        <f aca="false">HEX2BIN(I16,3)</f>
        <v>011</v>
      </c>
      <c r="J17" s="385" t="str">
        <f aca="false">HEX2BIN(J16,3)</f>
        <v>011</v>
      </c>
      <c r="K17" s="386"/>
      <c r="L17" s="387"/>
      <c r="M17" s="0"/>
      <c r="N17" s="0"/>
      <c r="O17" s="0"/>
      <c r="P17" s="0"/>
      <c r="Q17" s="0"/>
      <c r="R17" s="381" t="str">
        <f aca="false">CONCATENATE(C17,D17,E17,F17,G17,H17,I17,J17)</f>
        <v>00001000100010001010001110011011</v>
      </c>
      <c r="S17" s="0"/>
      <c r="T17" s="0"/>
      <c r="U17" s="0"/>
      <c r="V17" s="0"/>
      <c r="W17" s="381" t="str">
        <f aca="false">CONCATENATE(C20,D20,E20,F20,G20,H20,I20,J20)</f>
        <v/>
      </c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5" hidden="false" customHeight="false" outlineLevel="0" collapsed="false">
      <c r="A18" s="0"/>
      <c r="B18" s="388" t="s">
        <v>279</v>
      </c>
      <c r="C18" s="389" t="str">
        <f aca="false">CONCATENATE(R18,R19,R20,R21,R22,R23,R24,R25)</f>
        <v>0888A39B</v>
      </c>
      <c r="D18" s="0"/>
      <c r="E18" s="0"/>
      <c r="F18" s="0"/>
      <c r="G18" s="0"/>
      <c r="H18" s="0"/>
      <c r="I18" s="0"/>
      <c r="J18" s="0"/>
      <c r="K18" s="390"/>
      <c r="L18" s="387"/>
      <c r="M18" s="0"/>
      <c r="N18" s="0"/>
      <c r="O18" s="0"/>
      <c r="P18" s="0"/>
      <c r="Q18" s="0"/>
      <c r="R18" s="381" t="str">
        <f aca="false">BIN2HEX(RIGHT((LEFT(R17,4)),4))</f>
        <v>0</v>
      </c>
      <c r="S18" s="0"/>
      <c r="T18" s="0"/>
      <c r="U18" s="0"/>
      <c r="V18" s="0"/>
      <c r="W18" s="381" t="str">
        <f aca="false">BIN2HEX(RIGHT((LEFT(W17,4)),4))</f>
        <v>0</v>
      </c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0"/>
      <c r="B19" s="0"/>
      <c r="C19" s="391"/>
      <c r="D19" s="391"/>
      <c r="E19" s="0"/>
      <c r="F19" s="0"/>
      <c r="G19" s="0"/>
      <c r="H19" s="0"/>
      <c r="I19" s="0"/>
      <c r="J19" s="0"/>
      <c r="K19" s="392"/>
      <c r="L19" s="387"/>
      <c r="M19" s="0"/>
      <c r="N19" s="0"/>
      <c r="O19" s="0"/>
      <c r="P19" s="0"/>
      <c r="Q19" s="0"/>
      <c r="R19" s="381" t="str">
        <f aca="false">BIN2HEX(RIGHT((LEFT(R17,8)),4))</f>
        <v>8</v>
      </c>
      <c r="S19" s="0"/>
      <c r="T19" s="0"/>
      <c r="U19" s="0"/>
      <c r="V19" s="0"/>
      <c r="W19" s="381" t="str">
        <f aca="false">BIN2HEX(RIGHT((LEFT(W17,8)),4))</f>
        <v>0</v>
      </c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5" hidden="false" customHeight="false" outlineLevel="0" collapsed="false">
      <c r="A20" s="0"/>
      <c r="B20" s="393"/>
      <c r="C20" s="392"/>
      <c r="D20" s="392"/>
      <c r="E20" s="392"/>
      <c r="F20" s="392"/>
      <c r="G20" s="392"/>
      <c r="H20" s="392"/>
      <c r="I20" s="392"/>
      <c r="J20" s="392"/>
      <c r="K20" s="392"/>
      <c r="L20" s="387"/>
      <c r="M20" s="0"/>
      <c r="N20" s="0"/>
      <c r="O20" s="0"/>
      <c r="P20" s="0"/>
      <c r="Q20" s="0"/>
      <c r="R20" s="381" t="str">
        <f aca="false">BIN2HEX(RIGHT((LEFT(R17,12)),4))</f>
        <v>8</v>
      </c>
      <c r="S20" s="0"/>
      <c r="T20" s="0"/>
      <c r="U20" s="0"/>
      <c r="V20" s="0"/>
      <c r="W20" s="381" t="str">
        <f aca="false">BIN2HEX(RIGHT((LEFT(W17,12)),4))</f>
        <v>0</v>
      </c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5" hidden="false" customHeight="false" outlineLevel="0" collapsed="false">
      <c r="A21" s="0"/>
      <c r="B21" s="369" t="s">
        <v>280</v>
      </c>
      <c r="C21" s="371"/>
      <c r="D21" s="371"/>
      <c r="E21" s="371"/>
      <c r="F21" s="371"/>
      <c r="G21" s="371"/>
      <c r="H21" s="371"/>
      <c r="I21" s="372"/>
      <c r="J21" s="391"/>
      <c r="K21" s="392"/>
      <c r="L21" s="387"/>
      <c r="M21" s="0"/>
      <c r="N21" s="0"/>
      <c r="O21" s="0"/>
      <c r="P21" s="0"/>
      <c r="Q21" s="0"/>
      <c r="R21" s="381" t="str">
        <f aca="false">BIN2HEX(RIGHT((LEFT(R17,16)),4))</f>
        <v>8</v>
      </c>
      <c r="S21" s="0"/>
      <c r="T21" s="0"/>
      <c r="U21" s="0"/>
      <c r="V21" s="0"/>
      <c r="W21" s="381" t="str">
        <f aca="false">BIN2HEX(RIGHT((LEFT(W17,16)),4))</f>
        <v>0</v>
      </c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381" customFormat="true" ht="13.5" hidden="false" customHeight="false" outlineLevel="0" collapsed="false">
      <c r="B22" s="373"/>
      <c r="C22" s="394" t="s">
        <v>281</v>
      </c>
      <c r="D22" s="395" t="s">
        <v>282</v>
      </c>
      <c r="E22" s="395" t="s">
        <v>283</v>
      </c>
      <c r="F22" s="395" t="s">
        <v>284</v>
      </c>
      <c r="G22" s="395" t="s">
        <v>285</v>
      </c>
      <c r="H22" s="395" t="s">
        <v>286</v>
      </c>
      <c r="I22" s="396" t="s">
        <v>287</v>
      </c>
      <c r="J22" s="0"/>
      <c r="L22" s="387"/>
      <c r="M22" s="0"/>
      <c r="N22" s="0"/>
      <c r="O22" s="0"/>
      <c r="P22" s="0"/>
      <c r="Q22" s="0"/>
      <c r="R22" s="381" t="str">
        <f aca="false">BIN2HEX(RIGHT((LEFT(R17,20)),4))</f>
        <v>A</v>
      </c>
      <c r="T22" s="0"/>
      <c r="W22" s="381" t="str">
        <f aca="false">BIN2HEX(RIGHT((LEFT(W17,20)),4))</f>
        <v>0</v>
      </c>
    </row>
    <row r="23" customFormat="false" ht="12.75" hidden="false" customHeight="false" outlineLevel="0" collapsed="false">
      <c r="A23" s="381"/>
      <c r="B23" s="377" t="s">
        <v>275</v>
      </c>
      <c r="C23" s="378" t="n">
        <v>0</v>
      </c>
      <c r="D23" s="379" t="str">
        <f aca="false">DEC2HEX('Step2-DDR Timings'!G38)</f>
        <v>2</v>
      </c>
      <c r="E23" s="379" t="n">
        <v>2</v>
      </c>
      <c r="F23" s="379" t="str">
        <f aca="false">DEC2HEX('Step2-DDR Timings'!G40)</f>
        <v>51</v>
      </c>
      <c r="G23" s="379" t="str">
        <f aca="false">IF('Step1-System Details'!E19="DDR3",DEC2HEX('Step2-DDR Timings'!G41),DEC2HEX('Step2-DDR Timings'!G40))</f>
        <v>1FF</v>
      </c>
      <c r="H23" s="379" t="str">
        <f aca="false">DEC2HEX('Step2-DDR Timings'!G42)</f>
        <v>3</v>
      </c>
      <c r="I23" s="380" t="str">
        <f aca="false">DEC2HEX('Step2-DDR Timings'!G43)</f>
        <v>2</v>
      </c>
      <c r="J23" s="397"/>
      <c r="K23" s="0"/>
      <c r="L23" s="387"/>
      <c r="M23" s="0"/>
      <c r="N23" s="0"/>
      <c r="O23" s="0"/>
      <c r="P23" s="0"/>
      <c r="Q23" s="0"/>
      <c r="R23" s="381" t="str">
        <f aca="false">BIN2HEX(RIGHT((LEFT(R17,24)),4))</f>
        <v>3</v>
      </c>
      <c r="S23" s="0"/>
      <c r="T23" s="0"/>
      <c r="U23" s="0"/>
      <c r="V23" s="0"/>
      <c r="W23" s="381" t="str">
        <f aca="false">BIN2HEX(RIGHT((LEFT(W17,24)),4))</f>
        <v>0</v>
      </c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5" hidden="false" customHeight="false" outlineLevel="0" collapsed="false">
      <c r="A24" s="381"/>
      <c r="B24" s="398" t="s">
        <v>278</v>
      </c>
      <c r="C24" s="383" t="n">
        <v>0</v>
      </c>
      <c r="D24" s="384" t="str">
        <f aca="false">HEX2BIN(D23,3)</f>
        <v>010</v>
      </c>
      <c r="E24" s="384" t="str">
        <f aca="false">HEX2BIN(E23,3)</f>
        <v>010</v>
      </c>
      <c r="F24" s="384" t="str">
        <f aca="false">HEX2BIN(F23,9)</f>
        <v>001010001</v>
      </c>
      <c r="G24" s="384" t="str">
        <f aca="false">HEX2BIN(G23,10)</f>
        <v>0111111111</v>
      </c>
      <c r="H24" s="384" t="str">
        <f aca="false">HEX2BIN(H23,3)</f>
        <v>011</v>
      </c>
      <c r="I24" s="385" t="str">
        <f aca="false">HEX2BIN(I23,3)</f>
        <v>010</v>
      </c>
      <c r="J24" s="399"/>
      <c r="K24" s="0"/>
      <c r="L24" s="387"/>
      <c r="M24" s="0"/>
      <c r="N24" s="0"/>
      <c r="O24" s="0"/>
      <c r="P24" s="0"/>
      <c r="Q24" s="0"/>
      <c r="R24" s="381" t="str">
        <f aca="false">BIN2HEX(RIGHT((LEFT(R17,28)),4))</f>
        <v>9</v>
      </c>
      <c r="S24" s="0"/>
      <c r="T24" s="0"/>
      <c r="U24" s="0"/>
      <c r="V24" s="0"/>
      <c r="W24" s="381" t="str">
        <f aca="false">BIN2HEX(RIGHT((LEFT(W17,28)),4))</f>
        <v>0</v>
      </c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5" hidden="false" customHeight="false" outlineLevel="0" collapsed="false">
      <c r="A25" s="381"/>
      <c r="B25" s="400" t="s">
        <v>279</v>
      </c>
      <c r="C25" s="389" t="str">
        <f aca="false">CONCATENATE(R29,R30,R31,R32,R33,R34,R35,R36)</f>
        <v>24517FDA</v>
      </c>
      <c r="D25" s="0"/>
      <c r="E25" s="0"/>
      <c r="F25" s="0"/>
      <c r="G25" s="0"/>
      <c r="H25" s="0"/>
      <c r="I25" s="0"/>
      <c r="J25" s="386"/>
      <c r="K25" s="0"/>
      <c r="L25" s="387"/>
      <c r="M25" s="0"/>
      <c r="N25" s="0"/>
      <c r="O25" s="0"/>
      <c r="P25" s="0"/>
      <c r="Q25" s="0"/>
      <c r="R25" s="381" t="str">
        <f aca="false">BIN2HEX(RIGHT((LEFT(R17,33)),4))</f>
        <v>B</v>
      </c>
      <c r="S25" s="0"/>
      <c r="T25" s="0"/>
      <c r="U25" s="0"/>
      <c r="V25" s="0"/>
      <c r="W25" s="381" t="str">
        <f aca="false">BIN2HEX(RIGHT((LEFT(W17,33)),4))</f>
        <v>0</v>
      </c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392"/>
      <c r="K26" s="401"/>
      <c r="L26" s="387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402"/>
      <c r="L27" s="387"/>
      <c r="M27" s="0"/>
      <c r="N27" s="0"/>
      <c r="O27" s="0"/>
      <c r="P27" s="0"/>
      <c r="Q27" s="0"/>
      <c r="R27" s="381" t="s">
        <v>288</v>
      </c>
      <c r="S27" s="0"/>
      <c r="T27" s="0"/>
      <c r="U27" s="0"/>
      <c r="V27" s="0"/>
      <c r="W27" s="381" t="s">
        <v>289</v>
      </c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5" hidden="false" customHeight="false" outlineLevel="0" collapsed="false">
      <c r="A28" s="0"/>
      <c r="B28" s="369" t="s">
        <v>290</v>
      </c>
      <c r="C28" s="371"/>
      <c r="D28" s="371"/>
      <c r="E28" s="371"/>
      <c r="F28" s="371"/>
      <c r="G28" s="371"/>
      <c r="H28" s="372"/>
      <c r="I28" s="403"/>
      <c r="J28" s="0"/>
      <c r="K28" s="392"/>
      <c r="L28" s="387"/>
      <c r="M28" s="0"/>
      <c r="N28" s="0"/>
      <c r="O28" s="0"/>
      <c r="P28" s="0"/>
      <c r="Q28" s="0"/>
      <c r="R28" s="381" t="str">
        <f aca="false">CONCATENATE(C24,D24,E24,F24,G24,H24,I24)</f>
        <v>00100100010100010111111111011010</v>
      </c>
      <c r="S28" s="0"/>
      <c r="T28" s="0"/>
      <c r="U28" s="0"/>
      <c r="V28" s="0"/>
      <c r="W28" s="381" t="e">
        <f aca="false">CONCATENATE(#REF!,#REF!,#REF!,#REF!,#REF!,#REF!,#REF!)</f>
        <v>#REF!</v>
      </c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5" hidden="false" customHeight="false" outlineLevel="0" collapsed="false">
      <c r="A29" s="0"/>
      <c r="B29" s="373"/>
      <c r="C29" s="394" t="s">
        <v>291</v>
      </c>
      <c r="D29" s="404" t="s">
        <v>292</v>
      </c>
      <c r="E29" s="395" t="s">
        <v>293</v>
      </c>
      <c r="F29" s="395" t="str">
        <f aca="false">IF('Step1-System Details'!E19="DDR3","Reserved [14:13]","T_TDQSCKMAX [14:13]")</f>
        <v>Reserved [14:13]</v>
      </c>
      <c r="G29" s="395" t="s">
        <v>294</v>
      </c>
      <c r="H29" s="396" t="s">
        <v>295</v>
      </c>
      <c r="I29" s="402"/>
      <c r="J29" s="0"/>
      <c r="K29" s="392"/>
      <c r="L29" s="387"/>
      <c r="M29" s="0"/>
      <c r="N29" s="0"/>
      <c r="O29" s="0"/>
      <c r="P29" s="0"/>
      <c r="Q29" s="0"/>
      <c r="R29" s="381" t="str">
        <f aca="false">BIN2HEX(RIGHT((LEFT(R28,4)),4))</f>
        <v>2</v>
      </c>
      <c r="S29" s="0"/>
      <c r="T29" s="0"/>
      <c r="U29" s="0"/>
      <c r="V29" s="0"/>
      <c r="W29" s="381" t="e">
        <f aca="false">BIN2HEX(RIGHT((LEFT(W28,4)),4))</f>
        <v>#REF!</v>
      </c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381" customFormat="true" ht="12.75" hidden="false" customHeight="false" outlineLevel="0" collapsed="false">
      <c r="B30" s="377" t="s">
        <v>275</v>
      </c>
      <c r="C30" s="378" t="n">
        <f aca="false">'Step2-DDR Timings'!G44</f>
        <v>5</v>
      </c>
      <c r="D30" s="405" t="n">
        <v>7</v>
      </c>
      <c r="E30" s="379" t="str">
        <f aca="false">DEC2HEX('Step2-DDR Timings'!G47)</f>
        <v>3F</v>
      </c>
      <c r="F30" s="405" t="n">
        <v>3</v>
      </c>
      <c r="G30" s="379" t="str">
        <f aca="false">DEC2HEX('Step2-DDR Timings'!G49)</f>
        <v>4E</v>
      </c>
      <c r="H30" s="380" t="str">
        <f aca="false">DEC2HEX('Step2-DDR Timings'!G50)</f>
        <v>F</v>
      </c>
      <c r="I30" s="392"/>
      <c r="J30" s="0"/>
      <c r="L30" s="387"/>
      <c r="M30" s="0"/>
      <c r="N30" s="0"/>
      <c r="O30" s="0"/>
      <c r="P30" s="0"/>
      <c r="Q30" s="0"/>
      <c r="R30" s="381" t="str">
        <f aca="false">BIN2HEX(RIGHT((LEFT(R28,8)),4))</f>
        <v>4</v>
      </c>
      <c r="T30" s="0"/>
      <c r="W30" s="381" t="e">
        <f aca="false">BIN2HEX(RIGHT((LEFT(W28,8)),4))</f>
        <v>#REF!</v>
      </c>
    </row>
    <row r="31" customFormat="false" ht="13.5" hidden="false" customHeight="false" outlineLevel="0" collapsed="false">
      <c r="A31" s="381"/>
      <c r="B31" s="406" t="s">
        <v>278</v>
      </c>
      <c r="C31" s="407" t="str">
        <f aca="false">HEX2BIN(C30,4)</f>
        <v>0101</v>
      </c>
      <c r="D31" s="384" t="str">
        <f aca="false">HEX2BIN(D30,7)</f>
        <v>0000111</v>
      </c>
      <c r="E31" s="384" t="str">
        <f aca="false">HEX2BIN(E30,6)</f>
        <v>111111</v>
      </c>
      <c r="F31" s="384" t="str">
        <f aca="false">HEX2BIN(F30,2)</f>
        <v>11</v>
      </c>
      <c r="G31" s="384" t="str">
        <f aca="false">HEX2BIN(G30,9)</f>
        <v>001001110</v>
      </c>
      <c r="H31" s="385" t="str">
        <f aca="false">HEX2BIN(H30,4)</f>
        <v>1111</v>
      </c>
      <c r="I31" s="392"/>
      <c r="J31" s="402"/>
      <c r="K31" s="0"/>
      <c r="L31" s="387"/>
      <c r="M31" s="0"/>
      <c r="N31" s="0"/>
      <c r="O31" s="0"/>
      <c r="P31" s="0"/>
      <c r="Q31" s="0"/>
      <c r="R31" s="381" t="str">
        <f aca="false">BIN2HEX(RIGHT((LEFT(R28,12)),4))</f>
        <v>5</v>
      </c>
      <c r="T31" s="0"/>
      <c r="W31" s="381" t="e">
        <f aca="false">BIN2HEX(RIGHT((LEFT(W28,12)),4))</f>
        <v>#REF!</v>
      </c>
    </row>
    <row r="32" customFormat="false" ht="13.5" hidden="false" customHeight="false" outlineLevel="0" collapsed="false">
      <c r="B32" s="400" t="s">
        <v>279</v>
      </c>
      <c r="C32" s="389" t="str">
        <f aca="false">CONCATENATE(R41,R42,R43,R44,R45,R46,R47,R48)</f>
        <v>50FFE4EF</v>
      </c>
      <c r="D32" s="0"/>
      <c r="E32" s="0"/>
      <c r="F32" s="0"/>
      <c r="G32" s="0"/>
      <c r="H32" s="0"/>
      <c r="I32" s="0"/>
      <c r="J32" s="392"/>
      <c r="K32" s="401"/>
      <c r="L32" s="401"/>
      <c r="M32" s="0"/>
      <c r="N32" s="0"/>
      <c r="O32" s="0"/>
      <c r="P32" s="0"/>
      <c r="Q32" s="0"/>
      <c r="R32" s="381" t="str">
        <f aca="false">BIN2HEX(RIGHT((LEFT(R28,16)),4))</f>
        <v>1</v>
      </c>
      <c r="T32" s="0"/>
      <c r="W32" s="381" t="e">
        <f aca="false">BIN2HEX(RIGHT((LEFT(W28,16)),4))</f>
        <v>#REF!</v>
      </c>
    </row>
    <row r="33" customFormat="false" ht="12.75" hidden="false" customHeight="false" outlineLevel="0" collapsed="false">
      <c r="B33" s="0"/>
      <c r="C33" s="0"/>
      <c r="D33" s="0"/>
      <c r="E33" s="0"/>
      <c r="F33" s="0"/>
      <c r="G33" s="0"/>
      <c r="H33" s="0"/>
      <c r="I33" s="0"/>
      <c r="J33" s="392"/>
      <c r="K33" s="402"/>
      <c r="L33" s="402"/>
      <c r="M33" s="0"/>
      <c r="N33" s="0"/>
      <c r="O33" s="0"/>
      <c r="P33" s="0"/>
      <c r="Q33" s="0"/>
      <c r="R33" s="381" t="str">
        <f aca="false">BIN2HEX(RIGHT((LEFT(R28,20)),4))</f>
        <v>7</v>
      </c>
      <c r="T33" s="0"/>
      <c r="W33" s="381" t="e">
        <f aca="false">BIN2HEX(RIGHT((LEFT(W28,20)),4))</f>
        <v>#REF!</v>
      </c>
    </row>
    <row r="34" customFormat="false" ht="13.5" hidden="false" customHeight="false" outlineLevel="0" collapsed="false">
      <c r="B34" s="0"/>
      <c r="C34" s="0"/>
      <c r="D34" s="0"/>
      <c r="E34" s="0"/>
      <c r="F34" s="0"/>
      <c r="G34" s="0"/>
      <c r="H34" s="0"/>
      <c r="I34" s="0"/>
      <c r="J34" s="0"/>
      <c r="K34" s="392"/>
      <c r="L34" s="392"/>
      <c r="M34" s="0"/>
      <c r="N34" s="0"/>
      <c r="O34" s="0"/>
      <c r="P34" s="0"/>
      <c r="Q34" s="0"/>
      <c r="R34" s="381" t="str">
        <f aca="false">BIN2HEX(RIGHT((LEFT(R28,24)),4))</f>
        <v>F</v>
      </c>
      <c r="T34" s="0"/>
      <c r="W34" s="381" t="e">
        <f aca="false">BIN2HEX(RIGHT((LEFT(W28,24)),4))</f>
        <v>#REF!</v>
      </c>
    </row>
    <row r="35" customFormat="false" ht="13.5" hidden="false" customHeight="false" outlineLevel="0" collapsed="false">
      <c r="B35" s="369" t="s">
        <v>296</v>
      </c>
      <c r="C35" s="371"/>
      <c r="D35" s="371"/>
      <c r="E35" s="371"/>
      <c r="F35" s="371"/>
      <c r="G35" s="371"/>
      <c r="H35" s="371"/>
      <c r="I35" s="371"/>
      <c r="J35" s="371"/>
      <c r="K35" s="371"/>
      <c r="L35" s="371"/>
      <c r="M35" s="371"/>
      <c r="N35" s="371"/>
      <c r="O35" s="371"/>
      <c r="P35" s="372"/>
      <c r="Q35" s="0"/>
      <c r="R35" s="381" t="str">
        <f aca="false">BIN2HEX(RIGHT((LEFT(R28,28)),4))</f>
        <v>D</v>
      </c>
      <c r="T35" s="0"/>
      <c r="W35" s="381" t="e">
        <f aca="false">BIN2HEX(RIGHT((LEFT(W28,28)),4))</f>
        <v>#REF!</v>
      </c>
    </row>
    <row r="36" customFormat="false" ht="13.5" hidden="false" customHeight="false" outlineLevel="0" collapsed="false">
      <c r="B36" s="373"/>
      <c r="C36" s="408" t="s">
        <v>297</v>
      </c>
      <c r="D36" s="409" t="s">
        <v>298</v>
      </c>
      <c r="E36" s="409" t="s">
        <v>299</v>
      </c>
      <c r="F36" s="409" t="s">
        <v>300</v>
      </c>
      <c r="G36" s="409" t="s">
        <v>301</v>
      </c>
      <c r="H36" s="409" t="s">
        <v>302</v>
      </c>
      <c r="I36" s="409" t="s">
        <v>303</v>
      </c>
      <c r="J36" s="409" t="s">
        <v>304</v>
      </c>
      <c r="K36" s="410" t="s">
        <v>305</v>
      </c>
      <c r="L36" s="409" t="s">
        <v>306</v>
      </c>
      <c r="M36" s="409" t="s">
        <v>307</v>
      </c>
      <c r="N36" s="409" t="s">
        <v>308</v>
      </c>
      <c r="O36" s="409" t="s">
        <v>309</v>
      </c>
      <c r="P36" s="396" t="s">
        <v>310</v>
      </c>
      <c r="Q36" s="0"/>
      <c r="R36" s="381" t="str">
        <f aca="false">BIN2HEX(RIGHT((LEFT(R28,33)),4))</f>
        <v>A</v>
      </c>
      <c r="T36" s="0"/>
      <c r="W36" s="381" t="e">
        <f aca="false">BIN2HEX(RIGHT((LEFT(W28,33)),4))</f>
        <v>#REF!</v>
      </c>
    </row>
    <row r="37" customFormat="false" ht="12.75" hidden="false" customHeight="false" outlineLevel="0" collapsed="false">
      <c r="B37" s="377" t="s">
        <v>275</v>
      </c>
      <c r="C37" s="411" t="str">
        <f aca="false">DEC2HEX(IF('Step1-System Details'!E19="DDR3","3","4"))</f>
        <v>3</v>
      </c>
      <c r="D37" s="379" t="n">
        <v>0</v>
      </c>
      <c r="E37" s="379" t="str">
        <f aca="false">DEC2HEX(IF('Step1-System Details'!E47="Disable","0",IF('Step1-System Details'!E47="RZQ/4","1",IF('Step1-System Details'!E47="RZQ/2","2",IF('Step1-System Details'!E47="RZQ/6","3",IF('Step1-System Details'!E47="RZQ/12","4","5"))))))</f>
        <v>1</v>
      </c>
      <c r="F37" s="379" t="str">
        <f aca="false">DEC2HEX(IF('Step1-System Details'!E22="Single Ended",0,1))</f>
        <v>1</v>
      </c>
      <c r="G37" s="379" t="str">
        <f aca="false">DEC2HEX(IF('Step1-System Details'!E48="NA","0",IF('Step1-System Details'!E48="Disabled","0",IF('Step1-System Details'!E48="RZQ/4","1","2"))))</f>
        <v>1</v>
      </c>
      <c r="H37" s="379" t="n">
        <v>0</v>
      </c>
      <c r="I37" s="379" t="str">
        <f aca="false">DEC2HEX(IF('Step1-System Details'!E49="RZQ/6","0",IF('Step1-System Details'!E49="Normal","0","1")))</f>
        <v>0</v>
      </c>
      <c r="J37" s="379" t="str">
        <f aca="false">IF('Step1-System Details'!E19="DDR3",DEC2HEX(IF('Step2-DDR Timings'!G28=5,"0",IF('Step2-DDR Timings'!G28=6,"1",IF('Step2-DDR Timings'!G28=7,"2","3")))),"0")</f>
        <v>0</v>
      </c>
      <c r="K37" s="379" t="str">
        <f aca="false">DEC2HEX(IF('Step1-System Details'!E21=16,"1","0"))</f>
        <v>1</v>
      </c>
      <c r="L37" s="379" t="str">
        <f aca="false">DEC2HEX(IF('Step1-System Details'!E19="DDR3",IF('Step2-DDR Timings'!G27=5,"2",IF('Step2-DDR Timings'!G27=6,"4",IF('Step2-DDR Timings'!G27=7,"6",IF('Step2-DDR Timings'!G27=8,"8",IF('Step2-DDR Timings'!G27=9,"10",IF('Step2-DDR Timings'!G27=10,"12",IF('Step2-DDR Timings'!G27=11,"14","0"))))))),IF('Step2-DDR Timings'!G27=3,"3",IF('Step2-DDR Timings'!G27=4,"4",IF('Step2-DDR Timings'!G27=5,"5",IF('Step2-DDR Timings'!G27=6,"6",IF('Step2-DDR Timings'!G27=7,"7",IF('Step2-DDR Timings'!G27=8,"8","0"))))))))</f>
        <v>4</v>
      </c>
      <c r="M37" s="379" t="str">
        <f aca="false">DEC2HEX(IF('Step1-System Details'!E37=9,"0",IF('Step1-System Details'!E37=10,"1",IF('Step1-System Details'!E37=11,"2",IF('Step1-System Details'!E37=12,"3",IF('Step1-System Details'!E37=13,"4",IF('Step1-System Details'!E37=14,"5",IF('Step1-System Details'!E37=15,"6","7"))))))))</f>
        <v>6</v>
      </c>
      <c r="N37" s="379" t="str">
        <f aca="false">DEC2HEX(IF('Step1-System Details'!E39=1,"0",IF('Step1-System Details'!E39=2,"1",IF('Step1-System Details'!E39=4,"2","3"))))</f>
        <v>3</v>
      </c>
      <c r="O37" s="379" t="str">
        <f aca="false">DEC2HEX(IF('Step1-System Details'!E23="Dual Rank",1,0))</f>
        <v>0</v>
      </c>
      <c r="P37" s="380" t="str">
        <f aca="false">DEC2HEX(IF('Step1-System Details'!E38=8,"0",IF('Step1-System Details'!E38=9,"1",IF('Step1-System Details'!E38=10,"2","3"))))</f>
        <v>2</v>
      </c>
      <c r="Q37" s="0"/>
      <c r="R37" s="0"/>
      <c r="T37" s="0"/>
      <c r="W37" s="0"/>
    </row>
    <row r="38" customFormat="false" ht="13.5" hidden="false" customHeight="false" outlineLevel="0" collapsed="false">
      <c r="B38" s="398" t="s">
        <v>278</v>
      </c>
      <c r="C38" s="407" t="str">
        <f aca="false">HEX2BIN(C37,3)</f>
        <v>011</v>
      </c>
      <c r="D38" s="407" t="str">
        <f aca="false">HEX2BIN(D37,2)</f>
        <v>00</v>
      </c>
      <c r="E38" s="384" t="str">
        <f aca="false">HEX2BIN(E37,3)</f>
        <v>001</v>
      </c>
      <c r="F38" s="384" t="str">
        <f aca="false">HEX2BIN(F37,1)</f>
        <v>1</v>
      </c>
      <c r="G38" s="384" t="str">
        <f aca="false">HEX2BIN(G37,2)</f>
        <v>01</v>
      </c>
      <c r="H38" s="384" t="str">
        <f aca="false">HEX2BIN(H37,1)</f>
        <v>0</v>
      </c>
      <c r="I38" s="384" t="str">
        <f aca="false">HEX2BIN(I37,2)</f>
        <v>00</v>
      </c>
      <c r="J38" s="384" t="str">
        <f aca="false">HEX2BIN(J37,2)</f>
        <v>00</v>
      </c>
      <c r="K38" s="384" t="str">
        <f aca="false">HEX2BIN(K37,2)</f>
        <v>01</v>
      </c>
      <c r="L38" s="384" t="str">
        <f aca="false">HEX2BIN(L37,4)</f>
        <v>0100</v>
      </c>
      <c r="M38" s="384" t="str">
        <f aca="false">HEX2BIN(M37,3)</f>
        <v>110</v>
      </c>
      <c r="N38" s="384" t="str">
        <f aca="false">HEX2BIN(N37,3)</f>
        <v>011</v>
      </c>
      <c r="O38" s="384" t="str">
        <f aca="false">HEX2BIN(O37,1)</f>
        <v>0</v>
      </c>
      <c r="P38" s="385" t="str">
        <f aca="false">HEX2BIN(P37,3)</f>
        <v>010</v>
      </c>
      <c r="Q38" s="0"/>
      <c r="R38" s="0"/>
      <c r="T38" s="0"/>
      <c r="W38" s="0"/>
    </row>
    <row r="39" customFormat="false" ht="13.5" hidden="false" customHeight="false" outlineLevel="0" collapsed="false">
      <c r="B39" s="400" t="s">
        <v>279</v>
      </c>
      <c r="C39" s="389" t="str">
        <f aca="false">CONCATENATE(R54,R55,R56,R57,R58,R59,R60,R61)</f>
        <v>61A05332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381" t="s">
        <v>311</v>
      </c>
      <c r="T39" s="0"/>
      <c r="W39" s="381" t="s">
        <v>312</v>
      </c>
    </row>
    <row r="40" customFormat="false" ht="12.75" hidden="false" customHeight="false" outlineLevel="0" collapsed="false"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381" t="str">
        <f aca="false">CONCATENATE(C31,D31,E31,F31,G31,H31)</f>
        <v>01010000111111111110010011101111</v>
      </c>
      <c r="T40" s="0"/>
      <c r="W40" s="381" t="e">
        <f aca="false">CONCATENATE(#REF!,#REF!,#REF!,#REF!,#REF!,#REF!,#REF!)</f>
        <v>#REF!</v>
      </c>
    </row>
    <row r="41" customFormat="false" ht="13.5" hidden="false" customHeight="false" outlineLevel="0" collapsed="false"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381" t="str">
        <f aca="false">BIN2HEX(RIGHT((LEFT(R40,4)),4))</f>
        <v>5</v>
      </c>
      <c r="T41" s="0"/>
      <c r="W41" s="381" t="e">
        <f aca="false">BIN2HEX(RIGHT((LEFT(W40,4)),4))</f>
        <v>#REF!</v>
      </c>
    </row>
    <row r="42" customFormat="false" ht="13.5" hidden="false" customHeight="false" outlineLevel="0" collapsed="false">
      <c r="B42" s="369" t="s">
        <v>313</v>
      </c>
      <c r="C42" s="371"/>
      <c r="D42" s="371"/>
      <c r="E42" s="37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381" t="str">
        <f aca="false">BIN2HEX(RIGHT((LEFT(R40,8)),4))</f>
        <v>0</v>
      </c>
      <c r="T42" s="0"/>
      <c r="W42" s="381" t="e">
        <f aca="false">BIN2HEX(RIGHT((LEFT(W40,8)),4))</f>
        <v>#REF!</v>
      </c>
    </row>
    <row r="43" customFormat="false" ht="13.5" hidden="false" customHeight="false" outlineLevel="0" collapsed="false">
      <c r="B43" s="373"/>
      <c r="C43" s="408" t="s">
        <v>314</v>
      </c>
      <c r="D43" s="409" t="s">
        <v>315</v>
      </c>
      <c r="E43" s="409" t="s">
        <v>316</v>
      </c>
      <c r="F43" s="412"/>
      <c r="G43" s="412"/>
      <c r="H43" s="412"/>
      <c r="I43" s="412"/>
      <c r="J43" s="412"/>
      <c r="K43" s="412"/>
      <c r="L43" s="412"/>
      <c r="M43" s="412"/>
      <c r="N43" s="412"/>
      <c r="O43" s="412"/>
      <c r="P43" s="412"/>
      <c r="Q43" s="412"/>
      <c r="R43" s="381" t="str">
        <f aca="false">BIN2HEX(RIGHT((LEFT(R40,12)),4))</f>
        <v>F</v>
      </c>
      <c r="T43" s="0"/>
      <c r="W43" s="381" t="e">
        <f aca="false">BIN2HEX(RIGHT((LEFT(W40,12)),4))</f>
        <v>#REF!</v>
      </c>
    </row>
    <row r="44" customFormat="false" ht="12.75" hidden="false" customHeight="false" outlineLevel="0" collapsed="false">
      <c r="B44" s="377" t="s">
        <v>275</v>
      </c>
      <c r="C44" s="411" t="n">
        <v>0</v>
      </c>
      <c r="D44" s="379" t="n">
        <v>0</v>
      </c>
      <c r="E44" s="379" t="n">
        <v>0</v>
      </c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81" t="str">
        <f aca="false">BIN2HEX(RIGHT((LEFT(R40,16)),4))</f>
        <v>F</v>
      </c>
      <c r="T44" s="0"/>
      <c r="W44" s="381" t="e">
        <f aca="false">BIN2HEX(RIGHT((LEFT(W40,16)),4))</f>
        <v>#REF!</v>
      </c>
    </row>
    <row r="45" customFormat="false" ht="13.5" hidden="false" customHeight="false" outlineLevel="0" collapsed="false">
      <c r="B45" s="398" t="s">
        <v>278</v>
      </c>
      <c r="C45" s="407" t="str">
        <f aca="false">HEX2BIN(C44,4)</f>
        <v>0000</v>
      </c>
      <c r="D45" s="384" t="str">
        <f aca="false">HEX2BIN(D44,1)</f>
        <v>0</v>
      </c>
      <c r="E45" s="384" t="s">
        <v>317</v>
      </c>
      <c r="F45" s="392"/>
      <c r="G45" s="392"/>
      <c r="H45" s="392"/>
      <c r="I45" s="392"/>
      <c r="J45" s="392"/>
      <c r="K45" s="392"/>
      <c r="L45" s="392"/>
      <c r="M45" s="392"/>
      <c r="N45" s="392"/>
      <c r="O45" s="392"/>
      <c r="P45" s="392"/>
      <c r="Q45" s="392"/>
      <c r="R45" s="381" t="str">
        <f aca="false">BIN2HEX(RIGHT((LEFT(R40,20)),4))</f>
        <v>E</v>
      </c>
      <c r="T45" s="387"/>
      <c r="W45" s="381" t="e">
        <f aca="false">BIN2HEX(RIGHT((LEFT(W40,20)),4))</f>
        <v>#REF!</v>
      </c>
    </row>
    <row r="46" customFormat="false" ht="13.5" hidden="false" customHeight="false" outlineLevel="0" collapsed="false">
      <c r="B46" s="400" t="s">
        <v>279</v>
      </c>
      <c r="C46" s="389" t="str">
        <f aca="false">CONCATENATE(R65,R66,R67,R68,R69,R70,R71,R72)</f>
        <v>00000000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R46" s="381" t="str">
        <f aca="false">BIN2HEX(RIGHT((LEFT(R40,24)),4))</f>
        <v>4</v>
      </c>
      <c r="W46" s="381" t="e">
        <f aca="false">BIN2HEX(RIGHT((LEFT(W40,24)),4))</f>
        <v>#REF!</v>
      </c>
    </row>
    <row r="47" customFormat="false" ht="12.75" hidden="false" customHeight="false" outlineLevel="0" collapsed="false"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R47" s="381" t="str">
        <f aca="false">BIN2HEX(RIGHT((LEFT(R40,28)),4))</f>
        <v>E</v>
      </c>
      <c r="W47" s="381" t="e">
        <f aca="false">BIN2HEX(RIGHT((LEFT(W40,28)),4))</f>
        <v>#REF!</v>
      </c>
    </row>
    <row r="48" customFormat="false" ht="13.5" hidden="false" customHeight="false" outlineLevel="0" collapsed="false"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R48" s="381" t="str">
        <f aca="false">BIN2HEX(RIGHT((LEFT(R40,33)),4))</f>
        <v>F</v>
      </c>
      <c r="W48" s="381" t="e">
        <f aca="false">BIN2HEX(RIGHT((LEFT(W40,33)),4))</f>
        <v>#REF!</v>
      </c>
    </row>
    <row r="49" customFormat="false" ht="13.5" hidden="false" customHeight="false" outlineLevel="0" collapsed="false">
      <c r="B49" s="369" t="s">
        <v>318</v>
      </c>
      <c r="C49" s="371"/>
      <c r="D49" s="371"/>
      <c r="E49" s="371"/>
      <c r="F49" s="371"/>
      <c r="G49" s="371"/>
      <c r="H49" s="371"/>
      <c r="I49" s="371"/>
      <c r="J49" s="371"/>
      <c r="K49" s="372"/>
      <c r="L49" s="0"/>
      <c r="M49" s="0"/>
      <c r="N49" s="0"/>
      <c r="O49" s="0"/>
      <c r="R49" s="0"/>
    </row>
    <row r="50" customFormat="false" ht="13.5" hidden="false" customHeight="false" outlineLevel="0" collapsed="false">
      <c r="B50" s="373"/>
      <c r="C50" s="408" t="s">
        <v>319</v>
      </c>
      <c r="D50" s="409" t="s">
        <v>320</v>
      </c>
      <c r="E50" s="409" t="s">
        <v>321</v>
      </c>
      <c r="F50" s="409" t="s">
        <v>322</v>
      </c>
      <c r="G50" s="409" t="s">
        <v>323</v>
      </c>
      <c r="H50" s="409" t="s">
        <v>324</v>
      </c>
      <c r="I50" s="409" t="s">
        <v>325</v>
      </c>
      <c r="J50" s="409" t="s">
        <v>326</v>
      </c>
      <c r="K50" s="396" t="s">
        <v>327</v>
      </c>
      <c r="L50" s="0"/>
      <c r="M50" s="0"/>
      <c r="N50" s="0"/>
      <c r="O50" s="0"/>
      <c r="R50" s="0"/>
    </row>
    <row r="51" customFormat="false" ht="12.75" hidden="false" customHeight="false" outlineLevel="0" collapsed="false">
      <c r="B51" s="377" t="s">
        <v>275</v>
      </c>
      <c r="C51" s="411" t="n">
        <v>0</v>
      </c>
      <c r="D51" s="379" t="n">
        <v>0</v>
      </c>
      <c r="E51" s="379" t="n">
        <v>0</v>
      </c>
      <c r="F51" s="379" t="n">
        <v>0</v>
      </c>
      <c r="G51" s="379" t="n">
        <v>0</v>
      </c>
      <c r="H51" s="379" t="n">
        <v>0</v>
      </c>
      <c r="I51" s="379" t="n">
        <v>0</v>
      </c>
      <c r="J51" s="379" t="str">
        <f aca="false">LEFT(DEC2HEX('Step2-DDR Timings'!G51,4),2)</f>
        <v>09</v>
      </c>
      <c r="K51" s="380" t="str">
        <f aca="false">RIGHT(DEC2HEX('Step2-DDR Timings'!G51,4),2)</f>
        <v>3B</v>
      </c>
      <c r="L51" s="0"/>
      <c r="M51" s="0"/>
      <c r="N51" s="0"/>
      <c r="O51" s="0"/>
      <c r="R51" s="0"/>
    </row>
    <row r="52" customFormat="false" ht="13.5" hidden="false" customHeight="false" outlineLevel="0" collapsed="false">
      <c r="B52" s="398" t="s">
        <v>278</v>
      </c>
      <c r="C52" s="407" t="str">
        <f aca="false">HEX2BIN(C51,1)</f>
        <v>0</v>
      </c>
      <c r="D52" s="407" t="str">
        <f aca="false">HEX2BIN(D51,1)</f>
        <v>0</v>
      </c>
      <c r="E52" s="384" t="str">
        <f aca="false">HEX2BIN(E51,1)</f>
        <v>0</v>
      </c>
      <c r="F52" s="384" t="str">
        <f aca="false">HEX2BIN(F51,1)</f>
        <v>0</v>
      </c>
      <c r="G52" s="384" t="str">
        <f aca="false">HEX2BIN(G51,1)</f>
        <v>0</v>
      </c>
      <c r="H52" s="384" t="str">
        <f aca="false">HEX2BIN(H51,3)</f>
        <v>000</v>
      </c>
      <c r="I52" s="384" t="str">
        <f aca="false">HEX2BIN(I51,8)</f>
        <v>00000000</v>
      </c>
      <c r="J52" s="384" t="str">
        <f aca="false">HEX2BIN(J51,8)</f>
        <v>00001001</v>
      </c>
      <c r="K52" s="385" t="str">
        <f aca="false">HEX2BIN(K51,8)</f>
        <v>00111011</v>
      </c>
      <c r="L52" s="0"/>
      <c r="M52" s="0"/>
      <c r="N52" s="0"/>
      <c r="O52" s="0"/>
      <c r="R52" s="381" t="s">
        <v>328</v>
      </c>
    </row>
    <row r="53" customFormat="false" ht="13.5" hidden="false" customHeight="false" outlineLevel="0" collapsed="false">
      <c r="B53" s="400" t="s">
        <v>279</v>
      </c>
      <c r="C53" s="389" t="str">
        <f aca="false">CONCATENATE(R76,R77,R78,R79,R80,R81,R82,R83)</f>
        <v>0000093B</v>
      </c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R53" s="381" t="str">
        <f aca="false">CONCATENATE(C38,D38,E38,F38,G38,H38,I38,J38,K38,L38,M38,N38,O38,P38)</f>
        <v>01100001101000000101001100110010</v>
      </c>
    </row>
    <row r="54" customFormat="false" ht="12.75" hidden="false" customHeight="false" outlineLevel="0" collapsed="false"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R54" s="381" t="str">
        <f aca="false">BIN2HEX(RIGHT((LEFT(R53,4)),4))</f>
        <v>6</v>
      </c>
    </row>
    <row r="55" customFormat="false" ht="13.5" hidden="false" customHeight="false" outlineLevel="0" collapsed="false"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R55" s="381" t="str">
        <f aca="false">BIN2HEX(RIGHT((LEFT(R53,8)),4))</f>
        <v>1</v>
      </c>
    </row>
    <row r="56" customFormat="false" ht="13.5" hidden="true" customHeight="false" outlineLevel="0" collapsed="false">
      <c r="B56" s="369" t="s">
        <v>329</v>
      </c>
      <c r="C56" s="371"/>
      <c r="D56" s="371"/>
      <c r="E56" s="371"/>
      <c r="F56" s="371"/>
      <c r="G56" s="371"/>
      <c r="H56" s="372"/>
      <c r="I56" s="0"/>
      <c r="J56" s="0"/>
      <c r="K56" s="0"/>
      <c r="L56" s="0"/>
      <c r="M56" s="0"/>
      <c r="N56" s="0"/>
      <c r="O56" s="0"/>
      <c r="R56" s="381" t="str">
        <f aca="false">BIN2HEX(RIGHT((LEFT(R53,12)),4))</f>
        <v>A</v>
      </c>
    </row>
    <row r="57" customFormat="false" ht="13.5" hidden="true" customHeight="false" outlineLevel="0" collapsed="false">
      <c r="B57" s="373"/>
      <c r="C57" s="394" t="s">
        <v>330</v>
      </c>
      <c r="D57" s="413" t="s">
        <v>331</v>
      </c>
      <c r="E57" s="413" t="s">
        <v>332</v>
      </c>
      <c r="F57" s="413" t="s">
        <v>333</v>
      </c>
      <c r="G57" s="413" t="s">
        <v>334</v>
      </c>
      <c r="H57" s="396" t="s">
        <v>335</v>
      </c>
      <c r="I57" s="0"/>
      <c r="J57" s="0"/>
      <c r="K57" s="0"/>
      <c r="L57" s="0"/>
      <c r="M57" s="0"/>
      <c r="N57" s="0"/>
      <c r="O57" s="0"/>
      <c r="R57" s="381" t="str">
        <f aca="false">BIN2HEX(RIGHT((LEFT(R53,16)),4))</f>
        <v>0</v>
      </c>
    </row>
    <row r="58" customFormat="false" ht="12.75" hidden="true" customHeight="false" outlineLevel="0" collapsed="false">
      <c r="B58" s="377" t="s">
        <v>275</v>
      </c>
      <c r="C58" s="378" t="str">
        <f aca="false">DEC2HEX(IF('Step1-System Details'!E23="NA",0,IF('Step1-System Details'!E23="CS0",0,1)))</f>
        <v>1</v>
      </c>
      <c r="D58" s="379" t="str">
        <f aca="false">DEC2HEX(IF('Step1-System Details'!E24="NA",0,IF('Step1-System Details'!E24=0,0,1)))</f>
        <v>0</v>
      </c>
      <c r="E58" s="379" t="n">
        <v>0</v>
      </c>
      <c r="F58" s="379" t="n">
        <v>0</v>
      </c>
      <c r="G58" s="379" t="n">
        <v>0</v>
      </c>
      <c r="H58" s="380" t="str">
        <f aca="false">DEC2HEX(IF('Step1-System Details'!E25="NA","0",IF('Step1-System Details'!E25="MR1","1",IF('Step1-System Details'!E25="MR2","2","10"))))</f>
        <v>0</v>
      </c>
      <c r="I58" s="0"/>
      <c r="J58" s="0"/>
      <c r="K58" s="0"/>
      <c r="L58" s="0"/>
      <c r="M58" s="0"/>
      <c r="N58" s="0"/>
      <c r="O58" s="0"/>
      <c r="R58" s="381" t="str">
        <f aca="false">BIN2HEX(RIGHT((LEFT(R53,20)),4))</f>
        <v>5</v>
      </c>
    </row>
    <row r="59" customFormat="false" ht="13.5" hidden="true" customHeight="false" outlineLevel="0" collapsed="false">
      <c r="B59" s="406" t="s">
        <v>278</v>
      </c>
      <c r="C59" s="407" t="str">
        <f aca="false">HEX2BIN(C58,1)</f>
        <v>1</v>
      </c>
      <c r="D59" s="384" t="str">
        <f aca="false">HEX2BIN(D58,1)</f>
        <v>0</v>
      </c>
      <c r="E59" s="384" t="str">
        <f aca="false">HEX2BIN(E58,10)</f>
        <v>0000000000</v>
      </c>
      <c r="F59" s="384" t="str">
        <f aca="false">HEX2BIN(F58,10)</f>
        <v>0000000000</v>
      </c>
      <c r="G59" s="384" t="str">
        <f aca="false">HEX2BIN(G58,2)</f>
        <v>00</v>
      </c>
      <c r="H59" s="385" t="str">
        <f aca="false">HEX2BIN(H58,8)</f>
        <v>00000000</v>
      </c>
      <c r="I59" s="0"/>
      <c r="J59" s="0"/>
      <c r="K59" s="0"/>
      <c r="L59" s="0"/>
      <c r="M59" s="0"/>
      <c r="N59" s="0"/>
      <c r="O59" s="0"/>
      <c r="R59" s="381" t="str">
        <f aca="false">BIN2HEX(RIGHT((LEFT(R53,24)),4))</f>
        <v>3</v>
      </c>
    </row>
    <row r="60" customFormat="false" ht="13.5" hidden="true" customHeight="false" outlineLevel="0" collapsed="false">
      <c r="B60" s="400" t="s">
        <v>279</v>
      </c>
      <c r="C60" s="389" t="e">
        <f aca="false">CONCATENATE(#REF!,#REF!,#REF!,#REF!,#REF!,#REF!,#REF!,#REF!)</f>
        <v>#REF!</v>
      </c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R60" s="381" t="str">
        <f aca="false">BIN2HEX(RIGHT((LEFT(R53,28)),4))</f>
        <v>3</v>
      </c>
    </row>
    <row r="61" customFormat="false" ht="12.75" hidden="true" customHeight="false" outlineLevel="0" collapsed="false"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R61" s="414" t="str">
        <f aca="false">BIN2HEX(RIGHT((LEFT(R53,33)),4))</f>
        <v>2</v>
      </c>
    </row>
    <row r="62" customFormat="false" ht="13.5" hidden="true" customHeight="false" outlineLevel="0" collapsed="false"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R62" s="0"/>
    </row>
    <row r="63" customFormat="false" ht="13.5" hidden="false" customHeight="false" outlineLevel="0" collapsed="false">
      <c r="B63" s="369" t="s">
        <v>336</v>
      </c>
      <c r="C63" s="371"/>
      <c r="D63" s="371"/>
      <c r="E63" s="371"/>
      <c r="F63" s="371"/>
      <c r="G63" s="371"/>
      <c r="H63" s="372"/>
      <c r="I63" s="403"/>
      <c r="J63" s="0"/>
      <c r="K63" s="0"/>
      <c r="L63" s="0"/>
      <c r="M63" s="0"/>
      <c r="N63" s="0"/>
      <c r="O63" s="0"/>
      <c r="R63" s="381" t="s">
        <v>337</v>
      </c>
    </row>
    <row r="64" customFormat="false" ht="13.5" hidden="false" customHeight="false" outlineLevel="0" collapsed="false">
      <c r="B64" s="373"/>
      <c r="C64" s="394" t="s">
        <v>338</v>
      </c>
      <c r="D64" s="413" t="s">
        <v>339</v>
      </c>
      <c r="E64" s="413" t="s">
        <v>340</v>
      </c>
      <c r="F64" s="395" t="s">
        <v>341</v>
      </c>
      <c r="G64" s="395" t="s">
        <v>342</v>
      </c>
      <c r="H64" s="396" t="s">
        <v>343</v>
      </c>
      <c r="I64" s="402"/>
      <c r="J64" s="0"/>
      <c r="K64" s="0"/>
      <c r="L64" s="0"/>
      <c r="M64" s="0"/>
      <c r="N64" s="0"/>
      <c r="O64" s="0"/>
      <c r="R64" s="381" t="str">
        <f aca="false">CONCATENATE(C45,D45,E45)</f>
        <v>00000000000000000000000000000000</v>
      </c>
    </row>
    <row r="65" customFormat="false" ht="12.75" hidden="false" customHeight="false" outlineLevel="0" collapsed="false">
      <c r="B65" s="377" t="s">
        <v>275</v>
      </c>
      <c r="C65" s="378" t="n">
        <v>0</v>
      </c>
      <c r="D65" s="379" t="n">
        <v>0</v>
      </c>
      <c r="E65" s="379" t="str">
        <f aca="false">DEC2HEX(IF('Step1-System Details'!E67="Fastest: SR[4:3] = 0b00","0",IF('Step1-System Details'!E67="Fast: SR[4:3] = 0b10","2",IF('Step1-System Details'!E67="Slow: SR[4:3] = 0b01","1","3"))))</f>
        <v>1</v>
      </c>
      <c r="F65" s="379" t="str">
        <f aca="false">DEC2HEX(IF('Step1-System Details'!E70=80,"0",IF('Step1-System Details'!E70=67,"1",IF('Step1-System Details'!E70=57,"2",IF('Step1-System Details'!E70=50,"3",IF('Step1-System Details'!E70=44,"4",IF('Step1-System Details'!E70=40,"5",IF('Step1-System Details'!E70=36,"6","7"))))))))</f>
        <v>4</v>
      </c>
      <c r="G65" s="379" t="str">
        <f aca="false">DEC2HEX(IF('Step1-System Details'!E68="Fastest: SR[4:3] = 0b00","0",IF('Step1-System Details'!E68="Fast: SR[4:3] = 0b10","2",IF('Step1-System Details'!E68="Slow: SR[4:3] = 0b01","1","3"))))</f>
        <v>1</v>
      </c>
      <c r="H65" s="380" t="str">
        <f aca="false">DEC2HEX(IF('Step1-System Details'!E71=80,"0",IF('Step1-System Details'!E71=67,"1",IF('Step1-System Details'!E71=57,"2",IF('Step1-System Details'!E71=50,"3",IF('Step1-System Details'!E71=44,"4",IF('Step1-System Details'!E71=40,"5",IF('Step1-System Details'!E71=36,"6","7"))))))))</f>
        <v>3</v>
      </c>
      <c r="I65" s="392"/>
      <c r="J65" s="0"/>
      <c r="K65" s="0"/>
      <c r="L65" s="0"/>
      <c r="M65" s="0"/>
      <c r="N65" s="0"/>
      <c r="O65" s="0"/>
      <c r="R65" s="381" t="str">
        <f aca="false">BIN2HEX(RIGHT((LEFT(R64,4)),4))</f>
        <v>0</v>
      </c>
    </row>
    <row r="66" customFormat="false" ht="13.5" hidden="false" customHeight="false" outlineLevel="0" collapsed="false">
      <c r="B66" s="406" t="s">
        <v>278</v>
      </c>
      <c r="C66" s="407" t="s">
        <v>344</v>
      </c>
      <c r="D66" s="384" t="s">
        <v>344</v>
      </c>
      <c r="E66" s="384" t="str">
        <f aca="false">HEX2BIN(E65,2)</f>
        <v>01</v>
      </c>
      <c r="F66" s="384" t="str">
        <f aca="false">HEX2BIN(F65,3)</f>
        <v>100</v>
      </c>
      <c r="G66" s="384" t="str">
        <f aca="false">HEX2BIN(G65,2)</f>
        <v>01</v>
      </c>
      <c r="H66" s="385" t="str">
        <f aca="false">HEX2BIN(H65,3)</f>
        <v>011</v>
      </c>
      <c r="I66" s="392"/>
      <c r="J66" s="0"/>
      <c r="K66" s="0"/>
      <c r="L66" s="0"/>
      <c r="M66" s="0"/>
      <c r="N66" s="0"/>
      <c r="O66" s="0"/>
      <c r="R66" s="381" t="str">
        <f aca="false">BIN2HEX(RIGHT((LEFT(R64,8)),4))</f>
        <v>0</v>
      </c>
    </row>
    <row r="67" customFormat="false" ht="13.5" hidden="false" customHeight="false" outlineLevel="0" collapsed="false">
      <c r="B67" s="400" t="s">
        <v>279</v>
      </c>
      <c r="C67" s="389" t="str">
        <f aca="false">CONCATENATE(R87,R88,R89,R90,R91,R92,R93,R94)</f>
        <v>0000018B</v>
      </c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R67" s="381" t="str">
        <f aca="false">BIN2HEX(RIGHT((LEFT(R64,12)),4))</f>
        <v>0</v>
      </c>
    </row>
    <row r="68" customFormat="false" ht="12.75" hidden="false" customHeight="false" outlineLevel="0" collapsed="false"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R68" s="381" t="str">
        <f aca="false">BIN2HEX(RIGHT((LEFT(R64,16)),4))</f>
        <v>0</v>
      </c>
    </row>
    <row r="69" customFormat="false" ht="13.5" hidden="false" customHeight="false" outlineLevel="0" collapsed="false"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R69" s="381" t="str">
        <f aca="false">BIN2HEX(RIGHT((LEFT(R64,20)),4))</f>
        <v>0</v>
      </c>
    </row>
    <row r="70" customFormat="false" ht="13.5" hidden="false" customHeight="false" outlineLevel="0" collapsed="false">
      <c r="B70" s="369" t="s">
        <v>345</v>
      </c>
      <c r="C70" s="371"/>
      <c r="D70" s="371"/>
      <c r="E70" s="371"/>
      <c r="F70" s="371"/>
      <c r="G70" s="371"/>
      <c r="H70" s="371"/>
      <c r="I70" s="371"/>
      <c r="J70" s="371"/>
      <c r="K70" s="371"/>
      <c r="L70" s="371"/>
      <c r="M70" s="372"/>
      <c r="N70" s="0"/>
      <c r="O70" s="0"/>
      <c r="R70" s="381" t="str">
        <f aca="false">BIN2HEX(RIGHT((LEFT(R64,24)),4))</f>
        <v>0</v>
      </c>
    </row>
    <row r="71" customFormat="false" ht="13.5" hidden="false" customHeight="false" outlineLevel="0" collapsed="false">
      <c r="B71" s="373"/>
      <c r="C71" s="408" t="s">
        <v>346</v>
      </c>
      <c r="D71" s="409" t="s">
        <v>347</v>
      </c>
      <c r="E71" s="409" t="s">
        <v>348</v>
      </c>
      <c r="F71" s="409" t="s">
        <v>349</v>
      </c>
      <c r="G71" s="409" t="s">
        <v>350</v>
      </c>
      <c r="H71" s="409" t="s">
        <v>351</v>
      </c>
      <c r="I71" s="409" t="s">
        <v>352</v>
      </c>
      <c r="J71" s="409" t="s">
        <v>353</v>
      </c>
      <c r="K71" s="410" t="s">
        <v>341</v>
      </c>
      <c r="L71" s="409" t="s">
        <v>354</v>
      </c>
      <c r="M71" s="396" t="s">
        <v>355</v>
      </c>
      <c r="N71" s="0"/>
      <c r="O71" s="0"/>
      <c r="R71" s="381" t="str">
        <f aca="false">BIN2HEX(RIGHT((LEFT(R64,28)),4))</f>
        <v>0</v>
      </c>
    </row>
    <row r="72" customFormat="false" ht="12.75" hidden="false" customHeight="false" outlineLevel="0" collapsed="false">
      <c r="B72" s="377" t="s">
        <v>275</v>
      </c>
      <c r="C72" s="411" t="n">
        <v>0</v>
      </c>
      <c r="D72" s="379" t="n">
        <f aca="false">IF('Step1-System Details'!E19="DDR3",0,1)</f>
        <v>0</v>
      </c>
      <c r="E72" s="379" t="n">
        <v>0</v>
      </c>
      <c r="F72" s="379" t="n">
        <v>0</v>
      </c>
      <c r="G72" s="379" t="n">
        <v>0</v>
      </c>
      <c r="H72" s="379" t="n">
        <v>0</v>
      </c>
      <c r="I72" s="379" t="n">
        <v>0</v>
      </c>
      <c r="J72" s="379" t="str">
        <f aca="false">DEC2HEX(IF('Step1-System Details'!E69="Fastest: SR[4:3] = 0b00","0",IF('Step1-System Details'!E69="Fast: SR[4:3] = 0b10","2",IF('Step1-System Details'!E69="Slow: SR[4:3] = 0b01","1","3"))))</f>
        <v>1</v>
      </c>
      <c r="K72" s="379" t="str">
        <f aca="false">DEC2HEX(IF('Step1-System Details'!E72=80,"0",IF('Step1-System Details'!E72=67,"1",IF('Step1-System Details'!E72=57,"2",IF('Step1-System Details'!E72=50,"3",IF('Step1-System Details'!E72=44,"4",IF('Step1-System Details'!E72=40,"5",IF('Step1-System Details'!E72=36,"6","7"))))))))</f>
        <v>4</v>
      </c>
      <c r="L72" s="379" t="str">
        <f aca="false">DEC2HEX(IF('Step1-System Details'!E69="Fastest: SR[4:3] = 0b00","0",IF('Step1-System Details'!E69="Fast: SR[4:3] = 0b10","2",IF('Step1-System Details'!E69="Slow: SR[4:3] = 0b01","1","3"))))</f>
        <v>1</v>
      </c>
      <c r="M72" s="380" t="str">
        <f aca="false">DEC2HEX(IF('Step1-System Details'!E73=80,"0",IF('Step1-System Details'!E73=67,"1",IF('Step1-System Details'!E73=57,"2",IF('Step1-System Details'!E73=50,"3",IF('Step1-System Details'!E73=44,"4",IF('Step1-System Details'!E73=40,"5",IF('Step1-System Details'!E73=36,"6","7"))))))))</f>
        <v>3</v>
      </c>
      <c r="N72" s="0"/>
      <c r="O72" s="0"/>
      <c r="R72" s="414" t="str">
        <f aca="false">BIN2HEX(RIGHT((LEFT(R64,33)),4))</f>
        <v>0</v>
      </c>
    </row>
    <row r="73" customFormat="false" ht="13.5" hidden="false" customHeight="false" outlineLevel="0" collapsed="false">
      <c r="B73" s="398" t="s">
        <v>278</v>
      </c>
      <c r="C73" s="407" t="str">
        <f aca="false">HEX2BIN(C72,2)</f>
        <v>00</v>
      </c>
      <c r="D73" s="407" t="str">
        <f aca="false">HEX2BIN(D72,1)</f>
        <v>0</v>
      </c>
      <c r="E73" s="384" t="str">
        <f aca="false">HEX2BIN(E72,1)</f>
        <v>0</v>
      </c>
      <c r="F73" s="384" t="str">
        <f aca="false">HEX2BIN(F72,8)</f>
        <v>00000000</v>
      </c>
      <c r="G73" s="384" t="str">
        <f aca="false">HEX2BIN(G72,1)</f>
        <v>0</v>
      </c>
      <c r="H73" s="384" t="str">
        <f aca="false">HEX2BIN(H72,1)</f>
        <v>0</v>
      </c>
      <c r="I73" s="384" t="str">
        <f aca="false">HEX2BIN(I72,8)</f>
        <v>00000000</v>
      </c>
      <c r="J73" s="384" t="str">
        <f aca="false">HEX2BIN(J72,2)</f>
        <v>01</v>
      </c>
      <c r="K73" s="384" t="str">
        <f aca="false">HEX2BIN(K72,3)</f>
        <v>100</v>
      </c>
      <c r="L73" s="384" t="str">
        <f aca="false">HEX2BIN(L72,2)</f>
        <v>01</v>
      </c>
      <c r="M73" s="385" t="str">
        <f aca="false">HEX2BIN(M72,3)</f>
        <v>011</v>
      </c>
      <c r="N73" s="0"/>
      <c r="O73" s="0"/>
      <c r="R73" s="0"/>
    </row>
    <row r="74" customFormat="false" ht="13.5" hidden="false" customHeight="false" outlineLevel="0" collapsed="false">
      <c r="B74" s="400" t="s">
        <v>279</v>
      </c>
      <c r="C74" s="389" t="str">
        <f aca="false">CONCATENATE(R98,R99,R100,R101,R102,R103,R104,R105)</f>
        <v>0000018B</v>
      </c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R74" s="381" t="s">
        <v>356</v>
      </c>
    </row>
    <row r="75" customFormat="false" ht="12.75" hidden="false" customHeight="false" outlineLevel="0" collapsed="false"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R75" s="381" t="str">
        <f aca="false">CONCATENATE(C52,D52,E52,F52,G52,H52,I52,J52,K52)</f>
        <v>00000000000000000000100100111011</v>
      </c>
    </row>
    <row r="76" customFormat="false" ht="13.5" hidden="false" customHeight="false" outlineLevel="0" collapsed="false"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R76" s="381" t="str">
        <f aca="false">BIN2HEX(RIGHT((LEFT(R75,4)),4))</f>
        <v>0</v>
      </c>
    </row>
    <row r="77" customFormat="false" ht="13.5" hidden="false" customHeight="false" outlineLevel="0" collapsed="false">
      <c r="B77" s="369" t="s">
        <v>357</v>
      </c>
      <c r="C77" s="371"/>
      <c r="D77" s="371"/>
      <c r="E77" s="371"/>
      <c r="F77" s="371"/>
      <c r="G77" s="371"/>
      <c r="H77" s="371"/>
      <c r="I77" s="371"/>
      <c r="J77" s="371"/>
      <c r="K77" s="371"/>
      <c r="L77" s="372"/>
      <c r="M77" s="401"/>
      <c r="N77" s="401"/>
      <c r="O77" s="401"/>
      <c r="R77" s="381" t="str">
        <f aca="false">BIN2HEX(RIGHT((LEFT(R75,8)),4))</f>
        <v>0</v>
      </c>
    </row>
    <row r="78" customFormat="false" ht="13.5" hidden="false" customHeight="false" outlineLevel="0" collapsed="false">
      <c r="B78" s="373"/>
      <c r="C78" s="409" t="s">
        <v>338</v>
      </c>
      <c r="D78" s="409" t="s">
        <v>358</v>
      </c>
      <c r="E78" s="409" t="s">
        <v>359</v>
      </c>
      <c r="F78" s="409" t="s">
        <v>360</v>
      </c>
      <c r="G78" s="409" t="s">
        <v>361</v>
      </c>
      <c r="H78" s="410" t="s">
        <v>362</v>
      </c>
      <c r="I78" s="409" t="s">
        <v>363</v>
      </c>
      <c r="J78" s="409" t="s">
        <v>364</v>
      </c>
      <c r="K78" s="409" t="s">
        <v>365</v>
      </c>
      <c r="L78" s="415" t="s">
        <v>366</v>
      </c>
      <c r="M78" s="367"/>
      <c r="N78" s="367"/>
      <c r="O78" s="367"/>
      <c r="R78" s="381" t="str">
        <f aca="false">BIN2HEX(RIGHT((LEFT(R75,12)),4))</f>
        <v>0</v>
      </c>
    </row>
    <row r="79" customFormat="false" ht="12.75" hidden="false" customHeight="false" outlineLevel="0" collapsed="false">
      <c r="B79" s="377" t="s">
        <v>275</v>
      </c>
      <c r="C79" s="379" t="n">
        <f aca="false">IF('Step1-System Details'!E19="DDR3",0,1)</f>
        <v>0</v>
      </c>
      <c r="D79" s="379" t="n">
        <v>1</v>
      </c>
      <c r="E79" s="379" t="n">
        <f aca="false">IF('Step1-System Details'!E19="DDR3",0,1)</f>
        <v>0</v>
      </c>
      <c r="F79" s="379" t="n">
        <v>0</v>
      </c>
      <c r="G79" s="379" t="n">
        <f aca="false">IF('Step1-System Details'!E19="DDR3",0,1)</f>
        <v>0</v>
      </c>
      <c r="H79" s="379" t="n">
        <v>0</v>
      </c>
      <c r="I79" s="379" t="n">
        <v>0</v>
      </c>
      <c r="J79" s="405" t="n">
        <f aca="false">IF('Step1-System Details'!E66="Full Thevenin",2,IF('Step1-System Details'!E66="Half Thevenin",3,0))</f>
        <v>2</v>
      </c>
      <c r="K79" s="379" t="n">
        <v>0</v>
      </c>
      <c r="L79" s="380" t="str">
        <f aca="false">DEC2HEX(IF('Invert Clock'!$E$18=1,'Step2-DDR Timings'!G27+2,'Step2-DDR Timings'!G27+1))</f>
        <v>8</v>
      </c>
      <c r="M79" s="392"/>
      <c r="N79" s="392"/>
      <c r="O79" s="392"/>
      <c r="R79" s="381" t="str">
        <f aca="false">BIN2HEX(RIGHT((LEFT(R75,16)),4))</f>
        <v>0</v>
      </c>
    </row>
    <row r="80" customFormat="false" ht="13.5" hidden="false" customHeight="false" outlineLevel="0" collapsed="false">
      <c r="B80" s="398" t="s">
        <v>278</v>
      </c>
      <c r="C80" s="384" t="s">
        <v>344</v>
      </c>
      <c r="D80" s="384" t="str">
        <f aca="false">HEX2BIN(D79,1)</f>
        <v>1</v>
      </c>
      <c r="E80" s="384" t="str">
        <f aca="false">HEX2BIN(E79,4)</f>
        <v>0000</v>
      </c>
      <c r="F80" s="384" t="str">
        <f aca="false">HEX2BIN(F79,1)</f>
        <v>0</v>
      </c>
      <c r="G80" s="384" t="str">
        <f aca="false">HEX2BIN(G79,1)</f>
        <v>0</v>
      </c>
      <c r="H80" s="384" t="str">
        <f aca="false">HEX2BIN(H79,2)</f>
        <v>00</v>
      </c>
      <c r="I80" s="384" t="str">
        <f aca="false">HEX2BIN(I79,2)</f>
        <v>00</v>
      </c>
      <c r="J80" s="384" t="str">
        <f aca="false">HEX2BIN(J79,2)</f>
        <v>10</v>
      </c>
      <c r="K80" s="384" t="str">
        <f aca="false">HEX2BIN(K79,3)</f>
        <v>000</v>
      </c>
      <c r="L80" s="385" t="str">
        <f aca="false">HEX2BIN(L79,5)</f>
        <v>01000</v>
      </c>
      <c r="M80" s="392"/>
      <c r="N80" s="392"/>
      <c r="O80" s="392"/>
      <c r="R80" s="381" t="str">
        <f aca="false">BIN2HEX(RIGHT((LEFT(R75,20)),4))</f>
        <v>0</v>
      </c>
    </row>
    <row r="81" customFormat="false" ht="13.5" hidden="false" customHeight="false" outlineLevel="0" collapsed="false">
      <c r="B81" s="400" t="s">
        <v>279</v>
      </c>
      <c r="C81" s="389" t="str">
        <f aca="false">CONCATENATE(R109,R110,R111,R112,R113,R114,R115,R116)</f>
        <v>00100208</v>
      </c>
      <c r="D81" s="0"/>
      <c r="E81" s="0"/>
      <c r="F81" s="0"/>
      <c r="G81" s="0"/>
      <c r="H81" s="0"/>
      <c r="I81" s="0"/>
      <c r="J81" s="0"/>
      <c r="K81" s="0"/>
      <c r="R81" s="381" t="str">
        <f aca="false">BIN2HEX(RIGHT((LEFT(R75,24)),4))</f>
        <v>9</v>
      </c>
    </row>
    <row r="82" customFormat="false" ht="12.75" hidden="false" customHeight="false" outlineLevel="0" collapsed="false">
      <c r="B82" s="0"/>
      <c r="C82" s="0"/>
      <c r="D82" s="0"/>
      <c r="E82" s="0"/>
      <c r="F82" s="0"/>
      <c r="G82" s="0"/>
      <c r="H82" s="0"/>
      <c r="I82" s="0"/>
      <c r="J82" s="0"/>
      <c r="K82" s="0"/>
      <c r="R82" s="381" t="str">
        <f aca="false">BIN2HEX(RIGHT((LEFT(R75,28)),4))</f>
        <v>3</v>
      </c>
    </row>
    <row r="83" customFormat="false" ht="13.5" hidden="false" customHeight="false" outlineLevel="0" collapsed="false">
      <c r="B83" s="0"/>
      <c r="C83" s="0"/>
      <c r="D83" s="0"/>
      <c r="E83" s="0"/>
      <c r="F83" s="0"/>
      <c r="G83" s="0"/>
      <c r="H83" s="0"/>
      <c r="I83" s="0"/>
      <c r="J83" s="0"/>
      <c r="K83" s="0"/>
      <c r="R83" s="414" t="str">
        <f aca="false">BIN2HEX(RIGHT((LEFT(R75,33)),4))</f>
        <v>B</v>
      </c>
    </row>
    <row r="84" customFormat="false" ht="13.5" hidden="false" customHeight="false" outlineLevel="0" collapsed="false">
      <c r="B84" s="369" t="s">
        <v>367</v>
      </c>
      <c r="C84" s="371"/>
      <c r="D84" s="371"/>
      <c r="E84" s="371"/>
      <c r="F84" s="371"/>
      <c r="G84" s="371"/>
      <c r="H84" s="371"/>
      <c r="I84" s="371"/>
      <c r="J84" s="371"/>
      <c r="K84" s="372"/>
      <c r="R84" s="0"/>
    </row>
    <row r="85" customFormat="false" ht="13.5" hidden="false" customHeight="false" outlineLevel="0" collapsed="false">
      <c r="B85" s="373"/>
      <c r="C85" s="416" t="s">
        <v>368</v>
      </c>
      <c r="D85" s="417" t="s">
        <v>369</v>
      </c>
      <c r="E85" s="418" t="s">
        <v>370</v>
      </c>
      <c r="F85" s="413" t="s">
        <v>371</v>
      </c>
      <c r="G85" s="395" t="s">
        <v>372</v>
      </c>
      <c r="H85" s="395" t="s">
        <v>373</v>
      </c>
      <c r="I85" s="395" t="s">
        <v>374</v>
      </c>
      <c r="J85" s="419" t="s">
        <v>375</v>
      </c>
      <c r="K85" s="420" t="s">
        <v>376</v>
      </c>
      <c r="R85" s="381" t="s">
        <v>377</v>
      </c>
    </row>
    <row r="86" customFormat="false" ht="12.75" hidden="false" customHeight="false" outlineLevel="0" collapsed="false">
      <c r="B86" s="377" t="s">
        <v>275</v>
      </c>
      <c r="C86" s="411" t="n">
        <f aca="false">IF('Step1-System Details'!E23="Single Rank",0,1)</f>
        <v>0</v>
      </c>
      <c r="D86" s="379" t="n">
        <v>1</v>
      </c>
      <c r="E86" s="411" t="n">
        <v>0</v>
      </c>
      <c r="F86" s="379" t="n">
        <f aca="false">'Step1-System Details'!E55</f>
        <v>1</v>
      </c>
      <c r="G86" s="379" t="n">
        <v>0</v>
      </c>
      <c r="H86" s="379" t="n">
        <v>1</v>
      </c>
      <c r="I86" s="421" t="n">
        <v>3</v>
      </c>
      <c r="J86" s="379" t="str">
        <f aca="false">LEFT(DEC2HEX(ROUND(((0.5/(('Step1-System Details'!E56*'Step1-System Details'!E58)+('Step1-System Details'!E57*'Step1-System Details'!E59)))*1000)/('Step2-DDR Timings'!F51/1000000),0)),2)</f>
        <v>4B</v>
      </c>
      <c r="K86" s="422" t="str">
        <f aca="false">RIGHT(DEC2HEX(ROUND(((0.5/(('Step1-System Details'!E56*'Step1-System Details'!E58)+('Step1-System Details'!E57*'Step1-System Details'!E59)))*1000)/('Step2-DDR Timings'!F51/1000000),0)),2)</f>
        <v>E1</v>
      </c>
      <c r="R86" s="381" t="str">
        <f aca="false">CONCATENATE(C66,D66,E66,F66,G66,H66)</f>
        <v>00000000000000000000000110001011</v>
      </c>
    </row>
    <row r="87" customFormat="false" ht="13.5" hidden="false" customHeight="false" outlineLevel="0" collapsed="false">
      <c r="B87" s="398" t="s">
        <v>278</v>
      </c>
      <c r="C87" s="407" t="str">
        <f aca="false">HEX2BIN(C86,1)</f>
        <v>0</v>
      </c>
      <c r="D87" s="384" t="str">
        <f aca="false">HEX2BIN(D86,1)</f>
        <v>1</v>
      </c>
      <c r="E87" s="384" t="str">
        <f aca="false">HEX2BIN(E86,1)</f>
        <v>0</v>
      </c>
      <c r="F87" s="384" t="str">
        <f aca="false">HEX2BIN(F86,1)</f>
        <v>1</v>
      </c>
      <c r="G87" s="384" t="str">
        <f aca="false">HEX2BIN(G86,8)</f>
        <v>00000000</v>
      </c>
      <c r="H87" s="384" t="str">
        <f aca="false">HEX2BIN(H86,2)</f>
        <v>01</v>
      </c>
      <c r="I87" s="423" t="str">
        <f aca="false">HEX2BIN(I86,2)</f>
        <v>11</v>
      </c>
      <c r="J87" s="384" t="str">
        <f aca="false">HEX2BIN(J86,8)</f>
        <v>01001011</v>
      </c>
      <c r="K87" s="424" t="str">
        <f aca="false">HEX2BIN(K86,8)</f>
        <v>11100001</v>
      </c>
      <c r="R87" s="381" t="str">
        <f aca="false">BIN2HEX(RIGHT((LEFT(R86,4)),4))</f>
        <v>0</v>
      </c>
    </row>
    <row r="88" customFormat="false" ht="13.5" hidden="false" customHeight="false" outlineLevel="0" collapsed="false">
      <c r="B88" s="425" t="s">
        <v>279</v>
      </c>
      <c r="C88" s="426" t="str">
        <f aca="false">CONCATENATE(R120,R121,R122,R123,R124,R125,R126,R127)</f>
        <v>50074BE1</v>
      </c>
      <c r="R88" s="381" t="str">
        <f aca="false">BIN2HEX(RIGHT((LEFT(R86,8)),4))</f>
        <v>0</v>
      </c>
    </row>
    <row r="89" customFormat="false" ht="12.75" hidden="false" customHeight="false" outlineLevel="0" collapsed="false">
      <c r="R89" s="381" t="str">
        <f aca="false">BIN2HEX(RIGHT((LEFT(R86,12)),4))</f>
        <v>0</v>
      </c>
    </row>
    <row r="90" customFormat="false" ht="12.75" hidden="false" customHeight="false" outlineLevel="0" collapsed="false">
      <c r="R90" s="381" t="str">
        <f aca="false">BIN2HEX(RIGHT((LEFT(R86,16)),4))</f>
        <v>0</v>
      </c>
    </row>
    <row r="91" customFormat="false" ht="12.75" hidden="false" customHeight="false" outlineLevel="0" collapsed="false">
      <c r="R91" s="381" t="str">
        <f aca="false">BIN2HEX(RIGHT((LEFT(R86,20)),4))</f>
        <v>0</v>
      </c>
    </row>
    <row r="92" customFormat="false" ht="12.75" hidden="false" customHeight="false" outlineLevel="0" collapsed="false">
      <c r="R92" s="381" t="str">
        <f aca="false">BIN2HEX(RIGHT((LEFT(R86,24)),4))</f>
        <v>1</v>
      </c>
    </row>
    <row r="93" customFormat="false" ht="12.75" hidden="false" customHeight="false" outlineLevel="0" collapsed="false">
      <c r="R93" s="381" t="str">
        <f aca="false">BIN2HEX(RIGHT((LEFT(R86,28)),4))</f>
        <v>8</v>
      </c>
    </row>
    <row r="94" customFormat="false" ht="12.75" hidden="false" customHeight="false" outlineLevel="0" collapsed="false">
      <c r="R94" s="381" t="str">
        <f aca="false">BIN2HEX(RIGHT((LEFT(R86,33)),4))</f>
        <v>B</v>
      </c>
    </row>
    <row r="95" customFormat="false" ht="12.75" hidden="false" customHeight="false" outlineLevel="0" collapsed="false">
      <c r="R95" s="0"/>
    </row>
    <row r="96" customFormat="false" ht="12.75" hidden="false" customHeight="false" outlineLevel="0" collapsed="false">
      <c r="R96" s="381" t="s">
        <v>378</v>
      </c>
    </row>
    <row r="97" customFormat="false" ht="12.75" hidden="false" customHeight="false" outlineLevel="0" collapsed="false">
      <c r="R97" s="381" t="str">
        <f aca="false">CONCATENATE(C73,D73,E73,F73,G73,H73,I73,J73,K73,L73,M73)</f>
        <v>00000000000000000000000110001011</v>
      </c>
    </row>
    <row r="98" customFormat="false" ht="12.75" hidden="false" customHeight="false" outlineLevel="0" collapsed="false">
      <c r="R98" s="381" t="str">
        <f aca="false">BIN2HEX(RIGHT((LEFT(R97,4)),4))</f>
        <v>0</v>
      </c>
    </row>
    <row r="99" customFormat="false" ht="12.75" hidden="false" customHeight="false" outlineLevel="0" collapsed="false">
      <c r="R99" s="381" t="str">
        <f aca="false">BIN2HEX(RIGHT((LEFT(R97,8)),4))</f>
        <v>0</v>
      </c>
    </row>
    <row r="100" customFormat="false" ht="12.75" hidden="false" customHeight="false" outlineLevel="0" collapsed="false">
      <c r="R100" s="381" t="str">
        <f aca="false">BIN2HEX(RIGHT((LEFT(R97,12)),4))</f>
        <v>0</v>
      </c>
    </row>
    <row r="101" customFormat="false" ht="12.75" hidden="false" customHeight="false" outlineLevel="0" collapsed="false">
      <c r="R101" s="381" t="str">
        <f aca="false">BIN2HEX(RIGHT((LEFT(R97,16)),4))</f>
        <v>0</v>
      </c>
    </row>
    <row r="102" customFormat="false" ht="12.75" hidden="false" customHeight="false" outlineLevel="0" collapsed="false">
      <c r="R102" s="381" t="str">
        <f aca="false">BIN2HEX(RIGHT((LEFT(R97,20)),4))</f>
        <v>0</v>
      </c>
    </row>
    <row r="103" customFormat="false" ht="12.75" hidden="false" customHeight="false" outlineLevel="0" collapsed="false">
      <c r="R103" s="381" t="str">
        <f aca="false">BIN2HEX(RIGHT((LEFT(R97,24)),4))</f>
        <v>1</v>
      </c>
    </row>
    <row r="104" customFormat="false" ht="12.75" hidden="false" customHeight="false" outlineLevel="0" collapsed="false">
      <c r="R104" s="381" t="str">
        <f aca="false">BIN2HEX(RIGHT((LEFT(R97,28)),4))</f>
        <v>8</v>
      </c>
    </row>
    <row r="105" customFormat="false" ht="12.75" hidden="false" customHeight="false" outlineLevel="0" collapsed="false">
      <c r="R105" s="381" t="str">
        <f aca="false">BIN2HEX(RIGHT((LEFT(R97,33)),4))</f>
        <v>B</v>
      </c>
    </row>
    <row r="106" customFormat="false" ht="12.75" hidden="false" customHeight="false" outlineLevel="0" collapsed="false">
      <c r="R106" s="0"/>
    </row>
    <row r="107" customFormat="false" ht="12.75" hidden="false" customHeight="false" outlineLevel="0" collapsed="false">
      <c r="R107" s="381" t="s">
        <v>379</v>
      </c>
    </row>
    <row r="108" customFormat="false" ht="12.75" hidden="false" customHeight="false" outlineLevel="0" collapsed="false">
      <c r="R108" s="381" t="str">
        <f aca="false">CONCATENATE(C80,D80,E80,F80,G80,H80,I80,J80,K80,L80)</f>
        <v>00000000000100000000001000001000</v>
      </c>
    </row>
    <row r="109" customFormat="false" ht="12.75" hidden="false" customHeight="false" outlineLevel="0" collapsed="false">
      <c r="R109" s="381" t="str">
        <f aca="false">BIN2HEX(RIGHT((LEFT(R108,4)),4))</f>
        <v>0</v>
      </c>
    </row>
    <row r="110" customFormat="false" ht="12.75" hidden="false" customHeight="false" outlineLevel="0" collapsed="false">
      <c r="R110" s="381" t="str">
        <f aca="false">BIN2HEX(RIGHT((LEFT(R108,8)),4))</f>
        <v>0</v>
      </c>
    </row>
    <row r="111" customFormat="false" ht="12.75" hidden="false" customHeight="false" outlineLevel="0" collapsed="false">
      <c r="R111" s="381" t="str">
        <f aca="false">BIN2HEX(RIGHT((LEFT(R108,12)),4))</f>
        <v>1</v>
      </c>
    </row>
    <row r="112" customFormat="false" ht="12.75" hidden="false" customHeight="false" outlineLevel="0" collapsed="false">
      <c r="R112" s="381" t="str">
        <f aca="false">BIN2HEX(RIGHT((LEFT(R108,16)),4))</f>
        <v>0</v>
      </c>
    </row>
    <row r="113" customFormat="false" ht="12.75" hidden="false" customHeight="false" outlineLevel="0" collapsed="false">
      <c r="R113" s="381" t="str">
        <f aca="false">BIN2HEX(RIGHT((LEFT(R108,20)),4))</f>
        <v>0</v>
      </c>
    </row>
    <row r="114" customFormat="false" ht="12.75" hidden="false" customHeight="false" outlineLevel="0" collapsed="false">
      <c r="R114" s="381" t="str">
        <f aca="false">BIN2HEX(RIGHT((LEFT(R108,24)),4))</f>
        <v>2</v>
      </c>
    </row>
    <row r="115" customFormat="false" ht="12.75" hidden="false" customHeight="false" outlineLevel="0" collapsed="false">
      <c r="R115" s="381" t="str">
        <f aca="false">BIN2HEX(RIGHT((LEFT(R108,28)),4))</f>
        <v>0</v>
      </c>
    </row>
    <row r="116" customFormat="false" ht="12.75" hidden="false" customHeight="false" outlineLevel="0" collapsed="false">
      <c r="R116" s="381" t="str">
        <f aca="false">BIN2HEX(RIGHT((LEFT(R108,33)),4))</f>
        <v>8</v>
      </c>
    </row>
    <row r="117" customFormat="false" ht="12.75" hidden="false" customHeight="false" outlineLevel="0" collapsed="false">
      <c r="R117" s="0"/>
    </row>
    <row r="118" customFormat="false" ht="12.75" hidden="false" customHeight="false" outlineLevel="0" collapsed="false">
      <c r="R118" s="381" t="s">
        <v>380</v>
      </c>
    </row>
    <row r="119" customFormat="false" ht="12.75" hidden="false" customHeight="false" outlineLevel="0" collapsed="false">
      <c r="R119" s="381" t="str">
        <f aca="false">CONCATENATE(C87,D87,E87,F87,G87,H87,I87,J87,K87)</f>
        <v>01010000000001110100101111100001</v>
      </c>
    </row>
    <row r="120" customFormat="false" ht="12.75" hidden="false" customHeight="false" outlineLevel="0" collapsed="false">
      <c r="R120" s="381" t="str">
        <f aca="false">BIN2HEX(RIGHT((LEFT(R119,4)),4))</f>
        <v>5</v>
      </c>
    </row>
    <row r="121" customFormat="false" ht="12.75" hidden="false" customHeight="false" outlineLevel="0" collapsed="false">
      <c r="R121" s="381" t="str">
        <f aca="false">BIN2HEX(RIGHT((LEFT(R119,8)),4))</f>
        <v>0</v>
      </c>
    </row>
    <row r="122" customFormat="false" ht="12.75" hidden="false" customHeight="false" outlineLevel="0" collapsed="false">
      <c r="R122" s="381" t="str">
        <f aca="false">BIN2HEX(RIGHT((LEFT(R119,12)),4))</f>
        <v>0</v>
      </c>
    </row>
    <row r="123" customFormat="false" ht="12.75" hidden="false" customHeight="false" outlineLevel="0" collapsed="false">
      <c r="R123" s="381" t="str">
        <f aca="false">BIN2HEX(RIGHT((LEFT(R119,16)),4))</f>
        <v>7</v>
      </c>
    </row>
    <row r="124" customFormat="false" ht="12.75" hidden="false" customHeight="false" outlineLevel="0" collapsed="false">
      <c r="R124" s="381" t="str">
        <f aca="false">BIN2HEX(RIGHT((LEFT(R119,20)),4))</f>
        <v>4</v>
      </c>
    </row>
    <row r="125" customFormat="false" ht="12.75" hidden="false" customHeight="false" outlineLevel="0" collapsed="false">
      <c r="R125" s="381" t="str">
        <f aca="false">BIN2HEX(RIGHT((LEFT(R119,24)),4))</f>
        <v>B</v>
      </c>
    </row>
    <row r="126" customFormat="false" ht="12.75" hidden="false" customHeight="false" outlineLevel="0" collapsed="false">
      <c r="R126" s="381" t="str">
        <f aca="false">BIN2HEX(RIGHT((LEFT(R119,28)),4))</f>
        <v>E</v>
      </c>
    </row>
    <row r="127" customFormat="false" ht="12.75" hidden="false" customHeight="false" outlineLevel="0" collapsed="false">
      <c r="R127" s="381" t="str">
        <f aca="false">BIN2HEX(RIGHT((LEFT(R119,33)),4))</f>
        <v>1</v>
      </c>
    </row>
  </sheetData>
  <sheetProtection sheet="true" password="d9ff" objects="true" scenarios="true"/>
  <mergeCells count="4">
    <mergeCell ref="B2:I2"/>
    <mergeCell ref="B3:I3"/>
    <mergeCell ref="B4:I6"/>
    <mergeCell ref="B7:I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D40" activeCellId="0" sqref="D40"/>
    </sheetView>
  </sheetViews>
  <sheetFormatPr defaultRowHeight="12.75"/>
  <cols>
    <col collapsed="false" hidden="false" max="1" min="1" style="292" width="3.14285714285714"/>
    <col collapsed="false" hidden="false" max="2" min="2" style="292" width="58.2908163265306"/>
    <col collapsed="false" hidden="false" max="3" min="3" style="292" width="15.8571428571429"/>
    <col collapsed="false" hidden="false" max="4" min="4" style="292" width="16"/>
    <col collapsed="false" hidden="false" max="9" min="5" style="292" width="9.14285714285714"/>
    <col collapsed="false" hidden="false" max="10" min="10" style="292" width="10"/>
    <col collapsed="false" hidden="false" max="1025" min="11" style="292" width="9.14285714285714"/>
  </cols>
  <sheetData>
    <row r="1" s="122" customFormat="true" ht="12.75" hidden="false" customHeight="true" outlineLevel="0" collapsed="false">
      <c r="A1" s="223"/>
      <c r="B1" s="217"/>
      <c r="C1" s="217"/>
      <c r="D1" s="217"/>
      <c r="E1" s="217"/>
      <c r="F1" s="217"/>
      <c r="G1" s="217"/>
      <c r="H1" s="304"/>
      <c r="I1" s="304"/>
      <c r="J1" s="217"/>
      <c r="K1" s="217"/>
    </row>
    <row r="2" customFormat="false" ht="12.75" hidden="false" customHeight="true" outlineLevel="0" collapsed="false">
      <c r="A2" s="223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</row>
    <row r="3" customFormat="false" ht="12.75" hidden="false" customHeight="true" outlineLevel="0" collapsed="false">
      <c r="A3" s="223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</row>
    <row r="4" customFormat="false" ht="12.75" hidden="false" customHeight="true" outlineLevel="0" collapsed="false">
      <c r="A4" s="223"/>
      <c r="B4" s="306" t="s">
        <v>381</v>
      </c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</row>
    <row r="5" customFormat="false" ht="12.75" hidden="false" customHeight="true" outlineLevel="0" collapsed="false">
      <c r="A5" s="223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</row>
    <row r="6" customFormat="false" ht="12.75" hidden="false" customHeight="true" outlineLevel="0" collapsed="false">
      <c r="A6" s="223"/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</row>
    <row r="7" customFormat="false" ht="12.75" hidden="false" customHeight="true" outlineLevel="0" collapsed="false">
      <c r="A7" s="223"/>
      <c r="B7" s="307" t="s">
        <v>19</v>
      </c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</row>
    <row r="8" customFormat="false" ht="12.75" hidden="false" customHeight="true" outlineLevel="0" collapsed="false">
      <c r="A8" s="223"/>
      <c r="B8" s="307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</row>
    <row r="9" customFormat="false" ht="12.75" hidden="false" customHeight="true" outlineLevel="0" collapsed="false">
      <c r="A9" s="223"/>
      <c r="B9" s="308" t="s">
        <v>20</v>
      </c>
      <c r="C9" s="309" t="s">
        <v>382</v>
      </c>
      <c r="D9" s="309"/>
      <c r="E9" s="309"/>
      <c r="F9" s="311"/>
      <c r="G9" s="311"/>
      <c r="H9" s="312"/>
      <c r="I9" s="312"/>
      <c r="J9" s="312"/>
      <c r="K9" s="312"/>
      <c r="L9" s="312"/>
      <c r="M9" s="312"/>
      <c r="N9" s="312"/>
      <c r="O9" s="315"/>
    </row>
    <row r="10" customFormat="false" ht="12.75" hidden="false" customHeight="true" outlineLevel="0" collapsed="false">
      <c r="A10" s="221"/>
      <c r="B10" s="316"/>
      <c r="C10" s="427"/>
      <c r="D10" s="317"/>
      <c r="E10" s="318"/>
      <c r="F10" s="319"/>
      <c r="G10" s="319"/>
      <c r="H10" s="320"/>
      <c r="I10" s="320"/>
      <c r="J10" s="320"/>
      <c r="K10" s="320"/>
      <c r="L10" s="320"/>
      <c r="M10" s="320"/>
      <c r="N10" s="320"/>
      <c r="O10" s="323"/>
    </row>
    <row r="11" customFormat="false" ht="12.75" hidden="false" customHeight="true" outlineLevel="0" collapsed="false">
      <c r="A11" s="221"/>
      <c r="B11" s="250"/>
      <c r="C11" s="250"/>
      <c r="D11" s="250"/>
      <c r="E11" s="250"/>
      <c r="F11" s="250"/>
      <c r="G11" s="250"/>
      <c r="H11" s="251"/>
      <c r="I11" s="251"/>
      <c r="J11" s="250"/>
      <c r="K11" s="250"/>
    </row>
    <row r="12" customFormat="false" ht="13.5" hidden="false" customHeight="false" outlineLevel="0" collapsed="false">
      <c r="B12" s="0"/>
      <c r="C12" s="0"/>
      <c r="D12" s="0"/>
      <c r="F12" s="0"/>
      <c r="G12" s="0"/>
      <c r="H12" s="0"/>
      <c r="I12" s="0"/>
      <c r="J12" s="0"/>
      <c r="K12" s="0"/>
    </row>
    <row r="13" customFormat="false" ht="12.75" hidden="false" customHeight="false" outlineLevel="0" collapsed="false">
      <c r="B13" s="428" t="s">
        <v>383</v>
      </c>
      <c r="C13" s="428"/>
      <c r="D13" s="428"/>
      <c r="F13" s="0"/>
      <c r="G13" s="0"/>
      <c r="H13" s="0"/>
      <c r="I13" s="0"/>
      <c r="J13" s="0"/>
      <c r="K13" s="0"/>
    </row>
    <row r="14" customFormat="false" ht="13.5" hidden="false" customHeight="false" outlineLevel="0" collapsed="false">
      <c r="B14" s="429" t="s">
        <v>384</v>
      </c>
      <c r="C14" s="430" t="s">
        <v>385</v>
      </c>
      <c r="D14" s="431" t="s">
        <v>27</v>
      </c>
      <c r="F14" s="0"/>
      <c r="G14" s="0"/>
      <c r="H14" s="0"/>
      <c r="I14" s="0"/>
      <c r="J14" s="0"/>
      <c r="K14" s="0"/>
    </row>
    <row r="15" customFormat="false" ht="12.75" hidden="false" customHeight="false" outlineLevel="0" collapsed="false">
      <c r="B15" s="432" t="s">
        <v>386</v>
      </c>
      <c r="C15" s="433" t="s">
        <v>387</v>
      </c>
      <c r="D15" s="434" t="str">
        <f aca="false">CONCATENATE("0x",'EMIF Tool'!C18)</f>
        <v>0x0888A39B</v>
      </c>
      <c r="F15" s="0"/>
      <c r="G15" s="0"/>
      <c r="H15" s="0"/>
      <c r="I15" s="0"/>
      <c r="J15" s="0"/>
      <c r="K15" s="0"/>
    </row>
    <row r="16" customFormat="false" ht="12.75" hidden="false" customHeight="false" outlineLevel="0" collapsed="false">
      <c r="B16" s="435" t="s">
        <v>388</v>
      </c>
      <c r="C16" s="436" t="s">
        <v>389</v>
      </c>
      <c r="D16" s="437" t="str">
        <f aca="false">CONCATENATE("0x",'EMIF Tool'!C18)</f>
        <v>0x0888A39B</v>
      </c>
      <c r="F16" s="0"/>
      <c r="G16" s="0"/>
      <c r="H16" s="0"/>
      <c r="I16" s="0"/>
      <c r="J16" s="0"/>
      <c r="K16" s="0"/>
    </row>
    <row r="17" customFormat="false" ht="12.75" hidden="false" customHeight="false" outlineLevel="0" collapsed="false">
      <c r="B17" s="435" t="s">
        <v>390</v>
      </c>
      <c r="C17" s="436" t="s">
        <v>391</v>
      </c>
      <c r="D17" s="437" t="str">
        <f aca="false">CONCATENATE("0x",'EMIF Tool'!C25)</f>
        <v>0x24517FDA</v>
      </c>
      <c r="F17" s="0"/>
      <c r="G17" s="0"/>
      <c r="H17" s="0"/>
      <c r="I17" s="0"/>
      <c r="J17" s="0"/>
      <c r="K17" s="0"/>
    </row>
    <row r="18" customFormat="false" ht="12.75" hidden="false" customHeight="false" outlineLevel="0" collapsed="false">
      <c r="B18" s="435" t="s">
        <v>392</v>
      </c>
      <c r="C18" s="436" t="s">
        <v>393</v>
      </c>
      <c r="D18" s="437" t="str">
        <f aca="false">CONCATENATE("0x",'EMIF Tool'!C25)</f>
        <v>0x24517FDA</v>
      </c>
      <c r="F18" s="0"/>
      <c r="G18" s="0"/>
      <c r="H18" s="0"/>
      <c r="I18" s="0"/>
      <c r="J18" s="0"/>
      <c r="K18" s="0"/>
    </row>
    <row r="19" customFormat="false" ht="12.75" hidden="false" customHeight="false" outlineLevel="0" collapsed="false">
      <c r="B19" s="435" t="s">
        <v>394</v>
      </c>
      <c r="C19" s="436" t="s">
        <v>395</v>
      </c>
      <c r="D19" s="437" t="str">
        <f aca="false">CONCATENATE("0x",'EMIF Tool'!C32)</f>
        <v>0x50FFE4EF</v>
      </c>
      <c r="F19" s="0"/>
      <c r="G19" s="0"/>
      <c r="H19" s="0"/>
      <c r="I19" s="0"/>
      <c r="J19" s="0"/>
      <c r="K19" s="0"/>
    </row>
    <row r="20" customFormat="false" ht="12.75" hidden="false" customHeight="false" outlineLevel="0" collapsed="false">
      <c r="B20" s="435" t="s">
        <v>396</v>
      </c>
      <c r="C20" s="436" t="s">
        <v>397</v>
      </c>
      <c r="D20" s="437" t="str">
        <f aca="false">CONCATENATE("0x",'EMIF Tool'!C32)</f>
        <v>0x50FFE4EF</v>
      </c>
      <c r="F20" s="0"/>
      <c r="G20" s="0"/>
      <c r="H20" s="0"/>
      <c r="I20" s="0"/>
      <c r="J20" s="0"/>
      <c r="K20" s="0"/>
    </row>
    <row r="21" customFormat="false" ht="12.75" hidden="false" customHeight="false" outlineLevel="0" collapsed="false">
      <c r="B21" s="435" t="s">
        <v>398</v>
      </c>
      <c r="C21" s="436" t="s">
        <v>399</v>
      </c>
      <c r="D21" s="437" t="str">
        <f aca="false">CONCATENATE("0x",'EMIF Tool'!C39)</f>
        <v>0x61A05332</v>
      </c>
      <c r="F21" s="0"/>
      <c r="G21" s="0"/>
      <c r="H21" s="0"/>
      <c r="I21" s="0"/>
      <c r="J21" s="0"/>
      <c r="K21" s="0"/>
    </row>
    <row r="22" customFormat="false" ht="12.75" hidden="false" customHeight="false" outlineLevel="0" collapsed="false">
      <c r="B22" s="435" t="s">
        <v>400</v>
      </c>
      <c r="C22" s="436" t="s">
        <v>401</v>
      </c>
      <c r="D22" s="437" t="str">
        <f aca="false">CONCATENATE("0x",'EMIF Tool'!C46)</f>
        <v>0x00000000</v>
      </c>
      <c r="F22" s="0"/>
      <c r="G22" s="0"/>
      <c r="H22" s="0"/>
      <c r="I22" s="0"/>
      <c r="J22" s="0"/>
      <c r="K22" s="0"/>
    </row>
    <row r="23" customFormat="false" ht="12.75" hidden="false" customHeight="false" outlineLevel="0" collapsed="false">
      <c r="B23" s="435" t="s">
        <v>402</v>
      </c>
      <c r="C23" s="438" t="s">
        <v>403</v>
      </c>
      <c r="D23" s="437" t="str">
        <f aca="false">CONCATENATE("0x",'EMIF Tool'!C53)</f>
        <v>0x0000093B</v>
      </c>
      <c r="F23" s="0"/>
      <c r="G23" s="0"/>
      <c r="H23" s="0"/>
      <c r="I23" s="0"/>
      <c r="J23" s="0"/>
      <c r="K23" s="0"/>
    </row>
    <row r="24" customFormat="false" ht="12.75" hidden="false" customHeight="false" outlineLevel="0" collapsed="false">
      <c r="B24" s="435" t="s">
        <v>404</v>
      </c>
      <c r="C24" s="438" t="s">
        <v>405</v>
      </c>
      <c r="D24" s="437" t="str">
        <f aca="false">CONCATENATE("0x",'EMIF Tool'!C53)</f>
        <v>0x0000093B</v>
      </c>
      <c r="F24" s="0"/>
      <c r="G24" s="0"/>
      <c r="H24" s="0"/>
      <c r="I24" s="0"/>
      <c r="J24" s="0"/>
      <c r="K24" s="0"/>
    </row>
    <row r="25" customFormat="false" ht="12.75" hidden="false" customHeight="false" outlineLevel="0" collapsed="false">
      <c r="B25" s="435" t="s">
        <v>406</v>
      </c>
      <c r="C25" s="438" t="s">
        <v>407</v>
      </c>
      <c r="D25" s="437" t="s">
        <v>408</v>
      </c>
      <c r="F25" s="0"/>
      <c r="G25" s="0"/>
      <c r="H25" s="0"/>
      <c r="I25" s="0"/>
      <c r="J25" s="0"/>
      <c r="K25" s="0"/>
    </row>
    <row r="26" customFormat="false" ht="13.5" hidden="false" customHeight="false" outlineLevel="0" collapsed="false">
      <c r="B26" s="435" t="s">
        <v>367</v>
      </c>
      <c r="C26" s="438" t="s">
        <v>409</v>
      </c>
      <c r="D26" s="439" t="str">
        <f aca="false">CONCATENATE("0x",'EMIF Tool'!C88)</f>
        <v>0x50074BE1</v>
      </c>
      <c r="F26" s="0"/>
      <c r="G26" s="0"/>
      <c r="H26" s="0"/>
      <c r="I26" s="0"/>
      <c r="J26" s="0"/>
      <c r="K26" s="0"/>
    </row>
    <row r="27" customFormat="false" ht="12.75" hidden="true" customHeight="false" outlineLevel="0" collapsed="false">
      <c r="B27" s="435" t="s">
        <v>329</v>
      </c>
      <c r="C27" s="438" t="s">
        <v>410</v>
      </c>
      <c r="D27" s="439" t="e">
        <f aca="false">CONCATENATE("0x",'EMIF Tool'!C60)</f>
        <v>#REF!</v>
      </c>
      <c r="F27" s="0"/>
      <c r="G27" s="0"/>
      <c r="H27" s="0"/>
      <c r="I27" s="0"/>
      <c r="J27" s="0"/>
      <c r="K27" s="0"/>
    </row>
    <row r="28" customFormat="false" ht="12.75" hidden="true" customHeight="false" outlineLevel="0" collapsed="false">
      <c r="B28" s="435" t="s">
        <v>411</v>
      </c>
      <c r="C28" s="438" t="s">
        <v>412</v>
      </c>
      <c r="D28" s="439" t="str">
        <f aca="false">CONCATENATE("0x",DEC2HEX(IF('Step1-System Details'!E26="NA",0,'Step1-System Details'!E26),8))</f>
        <v>0x00000000</v>
      </c>
      <c r="F28" s="0"/>
      <c r="G28" s="0"/>
      <c r="H28" s="0"/>
      <c r="I28" s="0"/>
      <c r="J28" s="0"/>
      <c r="K28" s="0"/>
    </row>
    <row r="29" customFormat="false" ht="12.75" hidden="true" customHeight="false" outlineLevel="0" collapsed="false">
      <c r="B29" s="435" t="s">
        <v>413</v>
      </c>
      <c r="C29" s="438" t="s">
        <v>414</v>
      </c>
      <c r="D29" s="437" t="s">
        <v>415</v>
      </c>
      <c r="F29" s="0"/>
      <c r="G29" s="0"/>
      <c r="H29" s="0"/>
      <c r="I29" s="0"/>
      <c r="J29" s="0"/>
      <c r="K29" s="0"/>
    </row>
    <row r="30" customFormat="false" ht="12.75" hidden="true" customHeight="false" outlineLevel="0" collapsed="false">
      <c r="B30" s="435" t="s">
        <v>416</v>
      </c>
      <c r="C30" s="438" t="s">
        <v>417</v>
      </c>
      <c r="D30" s="437"/>
      <c r="F30" s="0"/>
      <c r="G30" s="0"/>
      <c r="H30" s="0"/>
      <c r="I30" s="0"/>
      <c r="J30" s="0"/>
      <c r="K30" s="0"/>
    </row>
    <row r="31" customFormat="false" ht="12.75" hidden="true" customHeight="false" outlineLevel="0" collapsed="false">
      <c r="B31" s="435" t="s">
        <v>418</v>
      </c>
      <c r="C31" s="438" t="s">
        <v>419</v>
      </c>
      <c r="D31" s="437"/>
      <c r="F31" s="0"/>
      <c r="G31" s="0"/>
      <c r="H31" s="0"/>
      <c r="I31" s="0"/>
      <c r="J31" s="0"/>
      <c r="K31" s="0"/>
    </row>
    <row r="32" customFormat="false" ht="13.5" hidden="true" customHeight="false" outlineLevel="0" collapsed="false">
      <c r="B32" s="440" t="s">
        <v>420</v>
      </c>
      <c r="C32" s="441" t="s">
        <v>421</v>
      </c>
      <c r="D32" s="442"/>
      <c r="F32" s="0"/>
      <c r="G32" s="0"/>
      <c r="H32" s="0"/>
      <c r="I32" s="0"/>
      <c r="J32" s="0"/>
      <c r="K32" s="0"/>
    </row>
    <row r="33" customFormat="false" ht="12.75" hidden="false" customHeight="false" outlineLevel="0" collapsed="false">
      <c r="B33" s="432" t="s">
        <v>422</v>
      </c>
      <c r="C33" s="443" t="s">
        <v>423</v>
      </c>
      <c r="D33" s="434" t="str">
        <f aca="false">CONCATENATE("0x",'EMIF Tool'!C81)</f>
        <v>0x00100208</v>
      </c>
      <c r="F33" s="0"/>
      <c r="G33" s="0"/>
      <c r="H33" s="0"/>
      <c r="I33" s="0"/>
      <c r="J33" s="0"/>
      <c r="K33" s="0"/>
    </row>
    <row r="34" customFormat="false" ht="12.75" hidden="false" customHeight="false" outlineLevel="0" collapsed="false">
      <c r="B34" s="435" t="s">
        <v>424</v>
      </c>
      <c r="C34" s="438" t="s">
        <v>425</v>
      </c>
      <c r="D34" s="437" t="str">
        <f aca="false">CONCATENATE("0x",'EMIF Tool'!C81)</f>
        <v>0x00100208</v>
      </c>
      <c r="F34" s="0"/>
      <c r="G34" s="0"/>
      <c r="H34" s="0"/>
      <c r="I34" s="0"/>
      <c r="J34" s="0"/>
      <c r="K34" s="0"/>
    </row>
    <row r="35" customFormat="false" ht="13.5" hidden="false" customHeight="false" outlineLevel="0" collapsed="false">
      <c r="B35" s="0"/>
      <c r="C35" s="0"/>
      <c r="D35" s="444"/>
      <c r="F35" s="0"/>
      <c r="G35" s="0"/>
      <c r="H35" s="0"/>
      <c r="I35" s="0"/>
      <c r="J35" s="0"/>
      <c r="K35" s="0"/>
    </row>
    <row r="36" customFormat="false" ht="12.75" hidden="false" customHeight="false" outlineLevel="0" collapsed="false">
      <c r="B36" s="428" t="s">
        <v>426</v>
      </c>
      <c r="C36" s="428"/>
      <c r="D36" s="428"/>
      <c r="F36" s="0"/>
      <c r="G36" s="0"/>
      <c r="H36" s="0"/>
      <c r="I36" s="0"/>
      <c r="J36" s="0"/>
      <c r="K36" s="0"/>
    </row>
    <row r="37" customFormat="false" ht="12.75" hidden="false" customHeight="false" outlineLevel="0" collapsed="false">
      <c r="B37" s="445" t="s">
        <v>384</v>
      </c>
      <c r="C37" s="446" t="s">
        <v>385</v>
      </c>
      <c r="D37" s="447" t="s">
        <v>27</v>
      </c>
      <c r="F37" s="0"/>
      <c r="G37" s="0"/>
      <c r="H37" s="0"/>
      <c r="I37" s="0"/>
      <c r="J37" s="0"/>
      <c r="K37" s="0"/>
    </row>
    <row r="38" customFormat="false" ht="12.75" hidden="false" customHeight="false" outlineLevel="0" collapsed="false">
      <c r="B38" s="435" t="s">
        <v>427</v>
      </c>
      <c r="C38" s="438" t="s">
        <v>428</v>
      </c>
      <c r="D38" s="437" t="str">
        <f aca="false">CONCATENATE("0x",'Step3-Board Details'!$F$49)</f>
        <v>0x00000100</v>
      </c>
      <c r="F38" s="0"/>
      <c r="G38" s="0"/>
      <c r="H38" s="0"/>
      <c r="I38" s="0"/>
      <c r="J38" s="0"/>
      <c r="K38" s="0"/>
    </row>
    <row r="39" customFormat="false" ht="12.75" hidden="true" customHeight="false" outlineLevel="0" collapsed="false">
      <c r="B39" s="435" t="s">
        <v>429</v>
      </c>
      <c r="C39" s="438" t="s">
        <v>430</v>
      </c>
      <c r="D39" s="437"/>
      <c r="F39" s="0"/>
      <c r="G39" s="0"/>
      <c r="H39" s="0"/>
      <c r="I39" s="0"/>
      <c r="J39" s="0"/>
      <c r="K39" s="0"/>
    </row>
    <row r="40" customFormat="false" ht="12.75" hidden="false" customHeight="false" outlineLevel="0" collapsed="false">
      <c r="B40" s="435" t="s">
        <v>431</v>
      </c>
      <c r="C40" s="438" t="s">
        <v>432</v>
      </c>
      <c r="D40" s="437" t="str">
        <f aca="false">IF('Invert Clock'!$E$18=0,"0x00000000","0x00000001")</f>
        <v>0x00000001</v>
      </c>
      <c r="F40" s="0"/>
      <c r="G40" s="0"/>
      <c r="H40" s="0"/>
      <c r="I40" s="0"/>
      <c r="J40" s="0"/>
      <c r="K40" s="0"/>
    </row>
    <row r="41" customFormat="false" ht="12.75" hidden="false" customHeight="false" outlineLevel="0" collapsed="false">
      <c r="B41" s="435" t="s">
        <v>433</v>
      </c>
      <c r="C41" s="438" t="s">
        <v>434</v>
      </c>
      <c r="D41" s="437" t="str">
        <f aca="false">CONCATENATE("0x",'Step3-Board Details'!$F$49)</f>
        <v>0x00000100</v>
      </c>
      <c r="F41" s="0"/>
      <c r="G41" s="0"/>
      <c r="H41" s="0"/>
      <c r="I41" s="0"/>
      <c r="J41" s="0"/>
      <c r="K41" s="0"/>
    </row>
    <row r="42" customFormat="false" ht="12.75" hidden="true" customHeight="false" outlineLevel="0" collapsed="false">
      <c r="B42" s="435" t="s">
        <v>435</v>
      </c>
      <c r="C42" s="438" t="s">
        <v>436</v>
      </c>
      <c r="D42" s="437"/>
      <c r="F42" s="0"/>
      <c r="G42" s="0"/>
      <c r="H42" s="0"/>
      <c r="I42" s="0"/>
      <c r="J42" s="0"/>
      <c r="K42" s="0"/>
    </row>
    <row r="43" customFormat="false" ht="12.75" hidden="false" customHeight="false" outlineLevel="0" collapsed="false">
      <c r="B43" s="435" t="s">
        <v>437</v>
      </c>
      <c r="C43" s="438" t="s">
        <v>438</v>
      </c>
      <c r="D43" s="437" t="str">
        <f aca="false">IF('Invert Clock'!$E$18=0,"0x00000000","0x00000001")</f>
        <v>0x00000001</v>
      </c>
      <c r="F43" s="0"/>
      <c r="G43" s="0"/>
      <c r="H43" s="0"/>
      <c r="I43" s="0"/>
      <c r="J43" s="0"/>
      <c r="K43" s="0"/>
    </row>
    <row r="44" customFormat="false" ht="12.75" hidden="false" customHeight="false" outlineLevel="0" collapsed="false">
      <c r="B44" s="435" t="s">
        <v>439</v>
      </c>
      <c r="C44" s="438" t="s">
        <v>440</v>
      </c>
      <c r="D44" s="437" t="str">
        <f aca="false">CONCATENATE("0x",'Step3-Board Details'!$F$49)</f>
        <v>0x00000100</v>
      </c>
      <c r="F44" s="0"/>
      <c r="G44" s="0"/>
      <c r="H44" s="0"/>
      <c r="I44" s="0"/>
      <c r="J44" s="0"/>
      <c r="K44" s="0"/>
    </row>
    <row r="45" customFormat="false" ht="12.75" hidden="true" customHeight="false" outlineLevel="0" collapsed="false">
      <c r="B45" s="435" t="s">
        <v>441</v>
      </c>
      <c r="C45" s="438" t="s">
        <v>442</v>
      </c>
      <c r="D45" s="437"/>
      <c r="F45" s="0"/>
      <c r="G45" s="0"/>
      <c r="H45" s="0"/>
      <c r="I45" s="0"/>
      <c r="J45" s="0"/>
      <c r="K45" s="0"/>
    </row>
    <row r="46" customFormat="false" ht="12.75" hidden="false" customHeight="false" outlineLevel="0" collapsed="false">
      <c r="B46" s="435" t="s">
        <v>443</v>
      </c>
      <c r="C46" s="438" t="s">
        <v>444</v>
      </c>
      <c r="D46" s="437" t="str">
        <f aca="false">IF('Invert Clock'!$E$18=0,"0x00000000","0x00000001")</f>
        <v>0x00000001</v>
      </c>
      <c r="F46" s="0"/>
      <c r="G46" s="0"/>
      <c r="H46" s="0"/>
      <c r="I46" s="0"/>
      <c r="J46" s="0"/>
      <c r="K46" s="0"/>
    </row>
    <row r="47" customFormat="false" ht="12.75" hidden="false" customHeight="false" outlineLevel="0" collapsed="false">
      <c r="B47" s="435" t="s">
        <v>445</v>
      </c>
      <c r="C47" s="438" t="s">
        <v>446</v>
      </c>
      <c r="D47" s="437" t="str">
        <f aca="false">CONCATENATE("0x",'Step3-Board Details'!$F$42)</f>
        <v>0x00000040</v>
      </c>
      <c r="F47" s="0"/>
      <c r="G47" s="0"/>
      <c r="H47" s="0"/>
      <c r="I47" s="0"/>
      <c r="J47" s="0"/>
      <c r="K47" s="0"/>
    </row>
    <row r="48" customFormat="false" ht="12.75" hidden="false" customHeight="false" outlineLevel="0" collapsed="false">
      <c r="B48" s="435" t="s">
        <v>447</v>
      </c>
      <c r="C48" s="438" t="s">
        <v>448</v>
      </c>
      <c r="D48" s="437" t="str">
        <f aca="false">CONCATENATE("0x",'Step3-Board Details'!$F$44)</f>
        <v>0x00000081</v>
      </c>
      <c r="F48" s="0"/>
      <c r="G48" s="0"/>
      <c r="H48" s="0"/>
      <c r="I48" s="0"/>
      <c r="J48" s="0"/>
      <c r="K48" s="0"/>
    </row>
    <row r="49" customFormat="false" ht="12.75" hidden="true" customHeight="false" outlineLevel="0" collapsed="false">
      <c r="B49" s="435" t="s">
        <v>449</v>
      </c>
      <c r="C49" s="438" t="s">
        <v>450</v>
      </c>
      <c r="D49" s="437"/>
      <c r="F49" s="0"/>
      <c r="G49" s="0"/>
      <c r="H49" s="0"/>
      <c r="I49" s="0"/>
      <c r="J49" s="0"/>
      <c r="K49" s="0"/>
    </row>
    <row r="50" customFormat="false" ht="12.75" hidden="true" customHeight="false" outlineLevel="0" collapsed="false">
      <c r="B50" s="435" t="s">
        <v>451</v>
      </c>
      <c r="C50" s="438" t="s">
        <v>452</v>
      </c>
      <c r="D50" s="437"/>
      <c r="F50" s="0"/>
      <c r="G50" s="0"/>
      <c r="H50" s="0"/>
      <c r="I50" s="0"/>
      <c r="J50" s="0"/>
      <c r="K50" s="0"/>
    </row>
    <row r="51" customFormat="false" ht="12.75" hidden="true" customHeight="false" outlineLevel="0" collapsed="false">
      <c r="B51" s="435" t="s">
        <v>453</v>
      </c>
      <c r="C51" s="438" t="s">
        <v>454</v>
      </c>
      <c r="D51" s="437"/>
      <c r="F51" s="0"/>
      <c r="G51" s="0"/>
      <c r="H51" s="0"/>
      <c r="I51" s="0"/>
      <c r="J51" s="0"/>
      <c r="K51" s="0"/>
    </row>
    <row r="52" customFormat="false" ht="12.75" hidden="true" customHeight="false" outlineLevel="0" collapsed="false">
      <c r="B52" s="435" t="s">
        <v>455</v>
      </c>
      <c r="C52" s="438" t="s">
        <v>456</v>
      </c>
      <c r="D52" s="437"/>
      <c r="F52" s="0"/>
      <c r="G52" s="0"/>
      <c r="H52" s="0"/>
      <c r="I52" s="0"/>
      <c r="J52" s="0"/>
      <c r="K52" s="0"/>
    </row>
    <row r="53" customFormat="false" ht="12.75" hidden="false" customHeight="false" outlineLevel="0" collapsed="false">
      <c r="B53" s="435" t="s">
        <v>457</v>
      </c>
      <c r="C53" s="438" t="s">
        <v>458</v>
      </c>
      <c r="D53" s="437" t="str">
        <f aca="false">CONCATENATE("0x",'Step3-Board Details'!$F$43)</f>
        <v>0x000000F3</v>
      </c>
      <c r="F53" s="0"/>
      <c r="G53" s="0"/>
      <c r="H53" s="0"/>
      <c r="I53" s="0"/>
      <c r="J53" s="0"/>
      <c r="K53" s="0"/>
    </row>
    <row r="54" customFormat="false" ht="12.75" hidden="true" customHeight="false" outlineLevel="0" collapsed="false">
      <c r="B54" s="435" t="s">
        <v>459</v>
      </c>
      <c r="C54" s="438" t="s">
        <v>460</v>
      </c>
      <c r="D54" s="437"/>
      <c r="F54" s="0"/>
      <c r="G54" s="0"/>
      <c r="H54" s="0"/>
      <c r="I54" s="0"/>
      <c r="J54" s="0"/>
      <c r="K54" s="0"/>
    </row>
    <row r="55" customFormat="false" ht="12.75" hidden="false" customHeight="false" outlineLevel="0" collapsed="false">
      <c r="B55" s="435" t="s">
        <v>461</v>
      </c>
      <c r="C55" s="438" t="s">
        <v>462</v>
      </c>
      <c r="D55" s="437" t="str">
        <f aca="false">CONCATENATE("0x",'Step3-Board Details'!$F$45)</f>
        <v>0x000000C1</v>
      </c>
      <c r="F55" s="0"/>
      <c r="G55" s="0"/>
      <c r="H55" s="0"/>
      <c r="I55" s="0"/>
      <c r="J55" s="0"/>
      <c r="K55" s="0"/>
    </row>
    <row r="56" customFormat="false" ht="12.75" hidden="true" customHeight="false" outlineLevel="0" collapsed="false">
      <c r="B56" s="435" t="s">
        <v>463</v>
      </c>
      <c r="C56" s="438" t="s">
        <v>464</v>
      </c>
      <c r="D56" s="437"/>
      <c r="F56" s="0"/>
      <c r="G56" s="0"/>
      <c r="H56" s="0"/>
      <c r="I56" s="0"/>
      <c r="J56" s="0"/>
      <c r="K56" s="0"/>
    </row>
    <row r="57" customFormat="false" ht="12.75" hidden="true" customHeight="false" outlineLevel="0" collapsed="false">
      <c r="B57" s="435" t="s">
        <v>465</v>
      </c>
      <c r="C57" s="438" t="s">
        <v>466</v>
      </c>
      <c r="D57" s="437"/>
      <c r="F57" s="0"/>
      <c r="G57" s="0"/>
      <c r="H57" s="0"/>
      <c r="I57" s="0"/>
      <c r="J57" s="0"/>
      <c r="K57" s="0"/>
    </row>
    <row r="58" customFormat="false" ht="12.75" hidden="false" customHeight="false" outlineLevel="0" collapsed="false">
      <c r="B58" s="435" t="s">
        <v>467</v>
      </c>
      <c r="C58" s="438" t="s">
        <v>468</v>
      </c>
      <c r="D58" s="437" t="str">
        <f aca="false">CONCATENATE("0x",'Step3-Board Details'!$F$42)</f>
        <v>0x00000040</v>
      </c>
      <c r="F58" s="0"/>
      <c r="G58" s="0"/>
      <c r="H58" s="0"/>
      <c r="I58" s="0"/>
      <c r="J58" s="0"/>
      <c r="K58" s="0"/>
    </row>
    <row r="59" customFormat="false" ht="12.75" hidden="false" customHeight="false" outlineLevel="0" collapsed="false">
      <c r="B59" s="435" t="s">
        <v>469</v>
      </c>
      <c r="C59" s="438" t="s">
        <v>470</v>
      </c>
      <c r="D59" s="437" t="str">
        <f aca="false">CONCATENATE("0x",'Step3-Board Details'!$F$44)</f>
        <v>0x00000081</v>
      </c>
      <c r="F59" s="0"/>
      <c r="G59" s="0"/>
      <c r="H59" s="0"/>
      <c r="I59" s="0"/>
      <c r="J59" s="0"/>
      <c r="K59" s="0"/>
    </row>
    <row r="60" customFormat="false" ht="12.75" hidden="true" customHeight="false" outlineLevel="0" collapsed="false">
      <c r="B60" s="435" t="s">
        <v>471</v>
      </c>
      <c r="C60" s="438" t="s">
        <v>472</v>
      </c>
      <c r="D60" s="437"/>
      <c r="F60" s="0"/>
      <c r="G60" s="0"/>
      <c r="H60" s="0"/>
      <c r="I60" s="0"/>
      <c r="J60" s="0"/>
      <c r="K60" s="0"/>
    </row>
    <row r="61" customFormat="false" ht="12.75" hidden="true" customHeight="false" outlineLevel="0" collapsed="false">
      <c r="B61" s="435" t="s">
        <v>473</v>
      </c>
      <c r="C61" s="438" t="s">
        <v>474</v>
      </c>
      <c r="D61" s="437"/>
      <c r="F61" s="0"/>
      <c r="G61" s="0"/>
      <c r="H61" s="0"/>
      <c r="I61" s="0"/>
      <c r="J61" s="0"/>
      <c r="K61" s="0"/>
    </row>
    <row r="62" customFormat="false" ht="12.75" hidden="true" customHeight="false" outlineLevel="0" collapsed="false">
      <c r="B62" s="435" t="s">
        <v>475</v>
      </c>
      <c r="C62" s="438" t="s">
        <v>476</v>
      </c>
      <c r="D62" s="437"/>
      <c r="F62" s="0"/>
      <c r="G62" s="0"/>
      <c r="H62" s="0"/>
      <c r="I62" s="0"/>
      <c r="J62" s="0"/>
      <c r="K62" s="0"/>
    </row>
    <row r="63" customFormat="false" ht="12.75" hidden="true" customHeight="false" outlineLevel="0" collapsed="false">
      <c r="B63" s="435" t="s">
        <v>477</v>
      </c>
      <c r="C63" s="438" t="s">
        <v>478</v>
      </c>
      <c r="D63" s="437"/>
      <c r="F63" s="0"/>
      <c r="G63" s="0"/>
      <c r="H63" s="0"/>
      <c r="I63" s="0"/>
      <c r="J63" s="0"/>
      <c r="K63" s="0"/>
    </row>
    <row r="64" customFormat="false" ht="12.75" hidden="false" customHeight="false" outlineLevel="0" collapsed="false">
      <c r="B64" s="435" t="s">
        <v>479</v>
      </c>
      <c r="C64" s="438" t="s">
        <v>480</v>
      </c>
      <c r="D64" s="437" t="str">
        <f aca="false">CONCATENATE("0x",'Step3-Board Details'!$F$43)</f>
        <v>0x000000F3</v>
      </c>
      <c r="F64" s="0"/>
      <c r="G64" s="0"/>
      <c r="H64" s="0"/>
      <c r="I64" s="0"/>
      <c r="J64" s="0"/>
      <c r="K64" s="0"/>
    </row>
    <row r="65" customFormat="false" ht="12.75" hidden="true" customHeight="false" outlineLevel="0" collapsed="false">
      <c r="B65" s="435" t="s">
        <v>481</v>
      </c>
      <c r="C65" s="438" t="s">
        <v>482</v>
      </c>
      <c r="D65" s="437"/>
      <c r="F65" s="0"/>
      <c r="G65" s="0"/>
      <c r="H65" s="0"/>
      <c r="I65" s="0"/>
      <c r="J65" s="0"/>
      <c r="K65" s="0"/>
    </row>
    <row r="66" customFormat="false" ht="12.75" hidden="false" customHeight="false" outlineLevel="0" collapsed="false">
      <c r="B66" s="435" t="s">
        <v>483</v>
      </c>
      <c r="C66" s="438" t="s">
        <v>484</v>
      </c>
      <c r="D66" s="437" t="str">
        <f aca="false">CONCATENATE("0x",'Step3-Board Details'!$F$45)</f>
        <v>0x000000C1</v>
      </c>
      <c r="F66" s="0"/>
      <c r="G66" s="0"/>
      <c r="H66" s="0"/>
      <c r="I66" s="0"/>
      <c r="J66" s="0"/>
      <c r="K66" s="0"/>
    </row>
    <row r="67" customFormat="false" ht="12.75" hidden="true" customHeight="false" outlineLevel="0" collapsed="false">
      <c r="B67" s="435" t="s">
        <v>485</v>
      </c>
      <c r="C67" s="438" t="s">
        <v>486</v>
      </c>
      <c r="D67" s="437"/>
      <c r="F67" s="0"/>
      <c r="G67" s="0"/>
      <c r="H67" s="0"/>
      <c r="I67" s="0"/>
      <c r="J67" s="0"/>
      <c r="K67" s="0"/>
    </row>
    <row r="68" customFormat="false" ht="13.5" hidden="true" customHeight="false" outlineLevel="0" collapsed="false">
      <c r="B68" s="440" t="s">
        <v>487</v>
      </c>
      <c r="C68" s="441" t="s">
        <v>488</v>
      </c>
      <c r="D68" s="442"/>
      <c r="F68" s="0"/>
      <c r="G68" s="0"/>
      <c r="H68" s="0"/>
      <c r="I68" s="0"/>
      <c r="J68" s="0"/>
      <c r="K68" s="0"/>
    </row>
    <row r="69" customFormat="false" ht="12.75" hidden="false" customHeight="false" outlineLevel="0" collapsed="false">
      <c r="B69" s="0"/>
      <c r="C69" s="0"/>
      <c r="D69" s="444"/>
      <c r="F69" s="0"/>
      <c r="G69" s="0"/>
      <c r="H69" s="0"/>
      <c r="I69" s="0"/>
      <c r="J69" s="0"/>
      <c r="K69" s="0"/>
    </row>
    <row r="70" customFormat="false" ht="13.5" hidden="false" customHeight="false" outlineLevel="0" collapsed="false">
      <c r="B70" s="0"/>
      <c r="C70" s="0"/>
      <c r="D70" s="0"/>
      <c r="F70" s="0"/>
      <c r="G70" s="0"/>
      <c r="H70" s="0"/>
      <c r="I70" s="0"/>
      <c r="J70" s="0"/>
      <c r="K70" s="0"/>
    </row>
    <row r="71" customFormat="false" ht="12.75" hidden="false" customHeight="false" outlineLevel="0" collapsed="false">
      <c r="B71" s="428" t="s">
        <v>489</v>
      </c>
      <c r="C71" s="428"/>
      <c r="D71" s="428"/>
      <c r="F71" s="0"/>
      <c r="G71" s="0"/>
      <c r="H71" s="0"/>
      <c r="I71" s="0"/>
      <c r="J71" s="0"/>
      <c r="K71" s="0"/>
    </row>
    <row r="72" customFormat="false" ht="13.5" hidden="false" customHeight="false" outlineLevel="0" collapsed="false">
      <c r="B72" s="448" t="s">
        <v>384</v>
      </c>
      <c r="C72" s="449" t="s">
        <v>385</v>
      </c>
      <c r="D72" s="450" t="s">
        <v>27</v>
      </c>
      <c r="F72" s="0"/>
      <c r="G72" s="0"/>
      <c r="H72" s="0"/>
      <c r="I72" s="0"/>
      <c r="J72" s="0"/>
      <c r="K72" s="0"/>
    </row>
    <row r="73" customFormat="false" ht="12.75" hidden="false" customHeight="false" outlineLevel="0" collapsed="false">
      <c r="B73" s="451" t="s">
        <v>490</v>
      </c>
      <c r="C73" s="433" t="s">
        <v>491</v>
      </c>
      <c r="D73" s="452" t="s">
        <v>415</v>
      </c>
      <c r="F73" s="0"/>
      <c r="G73" s="0"/>
      <c r="H73" s="0"/>
      <c r="I73" s="0"/>
      <c r="J73" s="0"/>
      <c r="K73" s="0"/>
    </row>
    <row r="74" customFormat="false" ht="12.75" hidden="false" customHeight="false" outlineLevel="0" collapsed="false">
      <c r="B74" s="453" t="s">
        <v>492</v>
      </c>
      <c r="C74" s="454" t="s">
        <v>493</v>
      </c>
      <c r="D74" s="452" t="s">
        <v>494</v>
      </c>
      <c r="F74" s="0"/>
      <c r="G74" s="0"/>
      <c r="H74" s="0"/>
      <c r="I74" s="0"/>
      <c r="J74" s="0"/>
      <c r="K74" s="0"/>
    </row>
    <row r="75" customFormat="false" ht="12.75" hidden="false" customHeight="false" outlineLevel="0" collapsed="false">
      <c r="B75" s="435" t="s">
        <v>495</v>
      </c>
      <c r="C75" s="438" t="s">
        <v>496</v>
      </c>
      <c r="D75" s="437" t="str">
        <f aca="false">CONCATENATE("0x",'EMIF Tool'!C67)</f>
        <v>0x0000018B</v>
      </c>
      <c r="F75" s="0"/>
      <c r="G75" s="0"/>
      <c r="H75" s="0"/>
      <c r="I75" s="0"/>
      <c r="J75" s="0"/>
      <c r="K75" s="0"/>
    </row>
    <row r="76" customFormat="false" ht="12.75" hidden="false" customHeight="false" outlineLevel="0" collapsed="false">
      <c r="B76" s="435" t="s">
        <v>497</v>
      </c>
      <c r="C76" s="438" t="s">
        <v>498</v>
      </c>
      <c r="D76" s="437" t="str">
        <f aca="false">CONCATENATE("0x",'EMIF Tool'!C67)</f>
        <v>0x0000018B</v>
      </c>
      <c r="F76" s="0"/>
      <c r="G76" s="0"/>
      <c r="H76" s="0"/>
      <c r="I76" s="0"/>
      <c r="J76" s="0"/>
      <c r="K76" s="0"/>
    </row>
    <row r="77" customFormat="false" ht="12.75" hidden="false" customHeight="false" outlineLevel="0" collapsed="false">
      <c r="B77" s="435" t="s">
        <v>499</v>
      </c>
      <c r="C77" s="438" t="s">
        <v>500</v>
      </c>
      <c r="D77" s="437" t="str">
        <f aca="false">CONCATENATE("0x",'EMIF Tool'!C67)</f>
        <v>0x0000018B</v>
      </c>
      <c r="F77" s="0"/>
      <c r="G77" s="0"/>
      <c r="H77" s="0"/>
      <c r="I77" s="0"/>
      <c r="J77" s="0"/>
      <c r="K77" s="0"/>
    </row>
    <row r="78" customFormat="false" ht="12.75" hidden="false" customHeight="false" outlineLevel="0" collapsed="false">
      <c r="B78" s="435" t="s">
        <v>501</v>
      </c>
      <c r="C78" s="438" t="s">
        <v>502</v>
      </c>
      <c r="D78" s="437" t="str">
        <f aca="false">CONCATENATE("0x",'EMIF Tool'!C74)</f>
        <v>0x0000018B</v>
      </c>
      <c r="F78" s="0"/>
      <c r="G78" s="0"/>
      <c r="H78" s="0"/>
      <c r="I78" s="0"/>
      <c r="J78" s="0"/>
      <c r="K78" s="0"/>
    </row>
    <row r="79" customFormat="false" ht="12.75" hidden="false" customHeight="false" outlineLevel="0" collapsed="false">
      <c r="B79" s="435" t="s">
        <v>503</v>
      </c>
      <c r="C79" s="438" t="s">
        <v>504</v>
      </c>
      <c r="D79" s="437" t="str">
        <f aca="false">CONCATENATE("0x",'EMIF Tool'!C74)</f>
        <v>0x0000018B</v>
      </c>
      <c r="F79" s="0"/>
      <c r="G79" s="0"/>
      <c r="H79" s="0"/>
      <c r="I79" s="0"/>
      <c r="J79" s="0"/>
      <c r="K79" s="0"/>
    </row>
    <row r="80" customFormat="false" ht="12.75" hidden="false" customHeight="false" outlineLevel="0" collapsed="false">
      <c r="B80" s="455"/>
      <c r="C80" s="455"/>
      <c r="D80" s="456"/>
      <c r="F80" s="0"/>
      <c r="G80" s="0"/>
      <c r="H80" s="0"/>
      <c r="I80" s="0"/>
      <c r="J80" s="0"/>
      <c r="K80" s="0"/>
    </row>
    <row r="81" customFormat="false" ht="12.75" hidden="false" customHeight="false" outlineLevel="0" collapsed="false">
      <c r="B81" s="0"/>
      <c r="C81" s="0"/>
      <c r="D81" s="0"/>
      <c r="F81" s="0"/>
      <c r="G81" s="0"/>
      <c r="H81" s="0"/>
      <c r="I81" s="0"/>
      <c r="J81" s="0"/>
      <c r="K81" s="0"/>
    </row>
    <row r="82" customFormat="false" ht="12.75" hidden="true" customHeight="false" outlineLevel="0" collapsed="false">
      <c r="B82" s="428" t="s">
        <v>505</v>
      </c>
      <c r="C82" s="428"/>
      <c r="D82" s="428"/>
      <c r="F82" s="0"/>
      <c r="G82" s="0"/>
      <c r="H82" s="0"/>
      <c r="I82" s="0"/>
      <c r="J82" s="0"/>
      <c r="K82" s="0"/>
    </row>
    <row r="83" customFormat="false" ht="13.5" hidden="true" customHeight="false" outlineLevel="0" collapsed="false">
      <c r="B83" s="457" t="s">
        <v>384</v>
      </c>
      <c r="C83" s="430" t="s">
        <v>385</v>
      </c>
      <c r="D83" s="458" t="s">
        <v>27</v>
      </c>
      <c r="F83" s="0"/>
      <c r="G83" s="0"/>
      <c r="H83" s="0"/>
      <c r="I83" s="0"/>
      <c r="J83" s="0"/>
      <c r="K83" s="0"/>
    </row>
    <row r="84" customFormat="false" ht="12.75" hidden="true" customHeight="true" outlineLevel="0" collapsed="false">
      <c r="B84" s="432" t="s">
        <v>329</v>
      </c>
      <c r="C84" s="443" t="s">
        <v>410</v>
      </c>
      <c r="D84" s="459" t="s">
        <v>506</v>
      </c>
      <c r="F84" s="460" t="s">
        <v>507</v>
      </c>
      <c r="G84" s="460"/>
      <c r="H84" s="460"/>
      <c r="I84" s="460"/>
      <c r="J84" s="460"/>
      <c r="K84" s="460"/>
    </row>
    <row r="85" customFormat="false" ht="12.75" hidden="true" customHeight="false" outlineLevel="0" collapsed="false">
      <c r="B85" s="435" t="s">
        <v>411</v>
      </c>
      <c r="C85" s="438" t="s">
        <v>412</v>
      </c>
      <c r="D85" s="439" t="s">
        <v>508</v>
      </c>
      <c r="F85" s="461" t="s">
        <v>509</v>
      </c>
      <c r="G85" s="461"/>
      <c r="H85" s="461"/>
      <c r="I85" s="461"/>
      <c r="J85" s="461"/>
      <c r="K85" s="461"/>
    </row>
    <row r="86" customFormat="false" ht="12.75" hidden="true" customHeight="false" outlineLevel="0" collapsed="false">
      <c r="B86" s="435" t="s">
        <v>329</v>
      </c>
      <c r="C86" s="438" t="s">
        <v>410</v>
      </c>
      <c r="D86" s="437" t="str">
        <f aca="false">IF('Step1-System Details'!E23="Single Rank","Not Required","0x8000000A")</f>
        <v>Not Required</v>
      </c>
      <c r="F86" s="462" t="s">
        <v>510</v>
      </c>
      <c r="G86" s="462"/>
      <c r="H86" s="462"/>
      <c r="I86" s="462"/>
      <c r="J86" s="462"/>
      <c r="K86" s="462"/>
    </row>
    <row r="87" customFormat="false" ht="12.75" hidden="true" customHeight="false" outlineLevel="0" collapsed="false">
      <c r="B87" s="435" t="s">
        <v>411</v>
      </c>
      <c r="C87" s="438" t="s">
        <v>412</v>
      </c>
      <c r="D87" s="439" t="str">
        <f aca="false">IF('Step1-System Details'!E23="Single Rank","Not Required","0x00000056")</f>
        <v>Not Required</v>
      </c>
    </row>
    <row r="88" customFormat="false" ht="12.75" hidden="true" customHeight="false" outlineLevel="0" collapsed="false">
      <c r="B88" s="435" t="s">
        <v>329</v>
      </c>
      <c r="C88" s="438" t="s">
        <v>410</v>
      </c>
      <c r="D88" s="437" t="s">
        <v>494</v>
      </c>
    </row>
    <row r="89" customFormat="false" ht="12.75" hidden="true" customHeight="false" outlineLevel="0" collapsed="false">
      <c r="B89" s="435" t="s">
        <v>411</v>
      </c>
      <c r="C89" s="438" t="s">
        <v>412</v>
      </c>
      <c r="D89" s="439" t="s">
        <v>511</v>
      </c>
    </row>
    <row r="90" customFormat="false" ht="12.75" hidden="true" customHeight="false" outlineLevel="0" collapsed="false">
      <c r="B90" s="435" t="s">
        <v>329</v>
      </c>
      <c r="C90" s="438" t="s">
        <v>410</v>
      </c>
      <c r="D90" s="437" t="str">
        <f aca="false">IF('Step1-System Details'!E23="Single Rank","Not Required","0x80000001")</f>
        <v>Not Required</v>
      </c>
    </row>
    <row r="91" customFormat="false" ht="12.75" hidden="true" customHeight="false" outlineLevel="0" collapsed="false">
      <c r="B91" s="435" t="s">
        <v>411</v>
      </c>
      <c r="C91" s="438" t="s">
        <v>412</v>
      </c>
      <c r="D91" s="439" t="str">
        <f aca="false">IF('Step1-System Details'!E23="Single Rank","Not Required","0x00000043")</f>
        <v>Not Required</v>
      </c>
    </row>
    <row r="92" customFormat="false" ht="12.75" hidden="true" customHeight="false" outlineLevel="0" collapsed="false">
      <c r="B92" s="435" t="s">
        <v>329</v>
      </c>
      <c r="C92" s="438" t="s">
        <v>410</v>
      </c>
      <c r="D92" s="439" t="s">
        <v>512</v>
      </c>
    </row>
    <row r="93" customFormat="false" ht="12.75" hidden="true" customHeight="false" outlineLevel="0" collapsed="false">
      <c r="B93" s="435" t="s">
        <v>411</v>
      </c>
      <c r="C93" s="438" t="s">
        <v>412</v>
      </c>
      <c r="D93" s="439" t="s">
        <v>512</v>
      </c>
    </row>
    <row r="94" customFormat="false" ht="12.75" hidden="true" customHeight="false" outlineLevel="0" collapsed="false">
      <c r="B94" s="435" t="s">
        <v>329</v>
      </c>
      <c r="C94" s="438" t="s">
        <v>410</v>
      </c>
      <c r="D94" s="437" t="str">
        <f aca="false">IF('Step1-System Details'!E23="Single Rank","Not Required","0x80000002")</f>
        <v>Not Required</v>
      </c>
    </row>
    <row r="95" customFormat="false" ht="12.75" hidden="true" customHeight="false" outlineLevel="0" collapsed="false">
      <c r="B95" s="435" t="s">
        <v>411</v>
      </c>
      <c r="C95" s="438" t="s">
        <v>412</v>
      </c>
      <c r="D95" s="439" t="str">
        <f aca="false">IF('Step1-System Details'!E23="Single Rank","Not Required","0x00000002")</f>
        <v>Not Required</v>
      </c>
    </row>
    <row r="96" customFormat="false" ht="12.75" hidden="true" customHeight="false" outlineLevel="0" collapsed="false">
      <c r="B96" s="435" t="s">
        <v>329</v>
      </c>
      <c r="C96" s="438" t="s">
        <v>410</v>
      </c>
      <c r="D96" s="437" t="s">
        <v>513</v>
      </c>
    </row>
    <row r="97" customFormat="false" ht="12.75" hidden="true" customHeight="false" outlineLevel="0" collapsed="false">
      <c r="B97" s="435" t="s">
        <v>411</v>
      </c>
      <c r="C97" s="438" t="s">
        <v>412</v>
      </c>
      <c r="D97" s="439" t="s">
        <v>512</v>
      </c>
    </row>
    <row r="98" customFormat="false" ht="12.75" hidden="true" customHeight="false" outlineLevel="0" collapsed="false">
      <c r="B98" s="435" t="s">
        <v>329</v>
      </c>
      <c r="C98" s="438" t="s">
        <v>410</v>
      </c>
      <c r="D98" s="437" t="str">
        <f aca="false">IF('Step1-System Details'!E23="Single Rank","Not Required","0xC0000002")</f>
        <v>Not Required</v>
      </c>
    </row>
    <row r="99" customFormat="false" ht="13.5" hidden="true" customHeight="false" outlineLevel="0" collapsed="false">
      <c r="B99" s="440" t="s">
        <v>411</v>
      </c>
      <c r="C99" s="441" t="s">
        <v>412</v>
      </c>
      <c r="D99" s="463" t="str">
        <f aca="false">IF('Step1-System Details'!E23="Single Rank","Not Required","0x00000002")</f>
        <v>Not Required</v>
      </c>
    </row>
  </sheetData>
  <sheetProtection sheet="true" password="d9ff" objects="true" scenarios="true"/>
  <mergeCells count="11">
    <mergeCell ref="B2:O2"/>
    <mergeCell ref="B3:O3"/>
    <mergeCell ref="B4:O6"/>
    <mergeCell ref="B7:O8"/>
    <mergeCell ref="B13:D13"/>
    <mergeCell ref="B36:D36"/>
    <mergeCell ref="B71:D71"/>
    <mergeCell ref="B82:D82"/>
    <mergeCell ref="F84:K84"/>
    <mergeCell ref="F85:K85"/>
    <mergeCell ref="F86:K8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RowHeight="12.75"/>
  <cols>
    <col collapsed="false" hidden="false" max="7" min="1" style="0" width="8.72959183673469"/>
    <col collapsed="false" hidden="false" max="8" min="8" style="0" width="12.8622448979592"/>
    <col collapsed="false" hidden="false" max="9" min="9" style="0" width="46.8622448979592"/>
    <col collapsed="false" hidden="false" max="1025" min="10" style="0" width="8.72959183673469"/>
  </cols>
  <sheetData>
    <row r="1" s="122" customFormat="true" ht="12.75" hidden="false" customHeight="true" outlineLevel="0" collapsed="false">
      <c r="A1" s="223"/>
      <c r="B1" s="217"/>
      <c r="C1" s="217"/>
      <c r="D1" s="217"/>
      <c r="E1" s="217"/>
      <c r="F1" s="217"/>
      <c r="G1" s="304"/>
      <c r="H1" s="304"/>
      <c r="I1" s="217"/>
      <c r="J1" s="217"/>
    </row>
    <row r="2" customFormat="false" ht="12.75" hidden="false" customHeight="true" outlineLevel="0" collapsed="false">
      <c r="A2" s="223"/>
      <c r="B2" s="220"/>
      <c r="C2" s="220"/>
      <c r="D2" s="220"/>
      <c r="E2" s="220"/>
      <c r="F2" s="220"/>
      <c r="G2" s="220"/>
      <c r="H2" s="220"/>
      <c r="I2" s="220"/>
      <c r="J2" s="217"/>
    </row>
    <row r="3" customFormat="false" ht="12.75" hidden="false" customHeight="true" outlineLevel="0" collapsed="false">
      <c r="A3" s="223"/>
      <c r="B3" s="220"/>
      <c r="C3" s="220"/>
      <c r="D3" s="220"/>
      <c r="E3" s="220"/>
      <c r="F3" s="220"/>
      <c r="G3" s="220"/>
      <c r="H3" s="220"/>
      <c r="I3" s="220"/>
      <c r="J3" s="217"/>
    </row>
    <row r="4" customFormat="false" ht="12.75" hidden="false" customHeight="true" outlineLevel="0" collapsed="false">
      <c r="A4" s="223"/>
      <c r="B4" s="359" t="s">
        <v>514</v>
      </c>
      <c r="C4" s="359"/>
      <c r="D4" s="359"/>
      <c r="E4" s="359"/>
      <c r="F4" s="359"/>
      <c r="G4" s="359"/>
      <c r="H4" s="359"/>
      <c r="I4" s="359"/>
      <c r="J4" s="218"/>
    </row>
    <row r="5" customFormat="false" ht="12.75" hidden="false" customHeight="true" outlineLevel="0" collapsed="false">
      <c r="A5" s="223"/>
      <c r="B5" s="359"/>
      <c r="C5" s="359"/>
      <c r="D5" s="359"/>
      <c r="E5" s="359"/>
      <c r="F5" s="359"/>
      <c r="G5" s="359"/>
      <c r="H5" s="359"/>
      <c r="I5" s="359"/>
      <c r="J5" s="218"/>
    </row>
    <row r="6" customFormat="false" ht="12.75" hidden="false" customHeight="true" outlineLevel="0" collapsed="false">
      <c r="A6" s="223"/>
      <c r="B6" s="359"/>
      <c r="C6" s="359"/>
      <c r="D6" s="359"/>
      <c r="E6" s="359"/>
      <c r="F6" s="359"/>
      <c r="G6" s="359"/>
      <c r="H6" s="359"/>
      <c r="I6" s="359"/>
      <c r="J6" s="218"/>
    </row>
    <row r="7" customFormat="false" ht="12.75" hidden="false" customHeight="true" outlineLevel="0" collapsed="false">
      <c r="A7" s="223"/>
      <c r="B7" s="224" t="s">
        <v>19</v>
      </c>
      <c r="C7" s="224"/>
      <c r="D7" s="224"/>
      <c r="E7" s="224"/>
      <c r="F7" s="224"/>
      <c r="G7" s="224"/>
      <c r="H7" s="224"/>
      <c r="I7" s="224"/>
      <c r="J7" s="360"/>
    </row>
    <row r="8" customFormat="false" ht="12.75" hidden="false" customHeight="true" outlineLevel="0" collapsed="false">
      <c r="A8" s="223"/>
      <c r="B8" s="224"/>
      <c r="C8" s="224"/>
      <c r="D8" s="224"/>
      <c r="E8" s="224"/>
      <c r="F8" s="224"/>
      <c r="G8" s="224"/>
      <c r="H8" s="224"/>
      <c r="I8" s="224"/>
      <c r="J8" s="360"/>
    </row>
    <row r="9" customFormat="false" ht="12.75" hidden="false" customHeight="true" outlineLevel="0" collapsed="false">
      <c r="A9" s="223"/>
      <c r="B9" s="308" t="s">
        <v>20</v>
      </c>
      <c r="C9" s="309" t="s">
        <v>515</v>
      </c>
      <c r="D9" s="309"/>
      <c r="E9" s="311"/>
      <c r="F9" s="311"/>
      <c r="G9" s="312"/>
      <c r="H9" s="312"/>
      <c r="I9" s="361"/>
      <c r="J9" s="362"/>
    </row>
    <row r="10" customFormat="false" ht="12.75" hidden="false" customHeight="true" outlineLevel="0" collapsed="false">
      <c r="A10" s="221"/>
      <c r="B10" s="316"/>
      <c r="C10" s="317"/>
      <c r="D10" s="318"/>
      <c r="E10" s="319"/>
      <c r="F10" s="319"/>
      <c r="G10" s="320"/>
      <c r="H10" s="320"/>
      <c r="I10" s="363"/>
      <c r="J10" s="362"/>
    </row>
    <row r="11" customFormat="false" ht="12.75" hidden="false" customHeight="true" outlineLevel="0" collapsed="false">
      <c r="A11" s="221"/>
      <c r="B11" s="250"/>
      <c r="C11" s="250"/>
      <c r="D11" s="250"/>
      <c r="E11" s="250"/>
      <c r="F11" s="250"/>
      <c r="G11" s="251"/>
      <c r="H11" s="251"/>
      <c r="I11" s="250"/>
      <c r="J11" s="217"/>
    </row>
    <row r="14" customFormat="false" ht="12.75" hidden="false" customHeight="false" outlineLevel="0" collapsed="false">
      <c r="C14" s="0" t="s">
        <v>516</v>
      </c>
    </row>
    <row r="15" customFormat="false" ht="12.75" hidden="false" customHeight="false" outlineLevel="0" collapsed="false">
      <c r="C15" s="0" t="s">
        <v>517</v>
      </c>
    </row>
    <row r="16" customFormat="false" ht="12.75" hidden="false" customHeight="false" outlineLevel="0" collapsed="false">
      <c r="C16" s="0" t="s">
        <v>516</v>
      </c>
    </row>
    <row r="18" customFormat="false" ht="12.75" hidden="false" customHeight="false" outlineLevel="0" collapsed="false">
      <c r="C18" s="0" t="s">
        <v>518</v>
      </c>
      <c r="H18" s="0" t="str">
        <f aca="false">Registers!D38</f>
        <v>0x00000100</v>
      </c>
    </row>
    <row r="19" customFormat="false" ht="12.75" hidden="false" customHeight="false" outlineLevel="0" collapsed="false">
      <c r="C19" s="0" t="s">
        <v>519</v>
      </c>
      <c r="H19" s="0" t="str">
        <f aca="false">Registers!D40</f>
        <v>0x00000001</v>
      </c>
    </row>
    <row r="21" customFormat="false" ht="12.75" hidden="false" customHeight="false" outlineLevel="0" collapsed="false">
      <c r="C21" s="0" t="s">
        <v>520</v>
      </c>
      <c r="H21" s="0" t="str">
        <f aca="false">Registers!D47</f>
        <v>0x00000040</v>
      </c>
    </row>
    <row r="22" customFormat="false" ht="12.75" hidden="false" customHeight="false" outlineLevel="0" collapsed="false">
      <c r="C22" s="0" t="s">
        <v>521</v>
      </c>
      <c r="H22" s="0" t="str">
        <f aca="false">Registers!D53</f>
        <v>0x000000F3</v>
      </c>
    </row>
    <row r="23" customFormat="false" ht="12.75" hidden="false" customHeight="false" outlineLevel="0" collapsed="false">
      <c r="C23" s="0" t="s">
        <v>522</v>
      </c>
      <c r="H23" s="0" t="str">
        <f aca="false">Registers!D48</f>
        <v>0x00000081</v>
      </c>
    </row>
    <row r="24" customFormat="false" ht="12.75" hidden="false" customHeight="false" outlineLevel="0" collapsed="false">
      <c r="C24" s="0" t="s">
        <v>523</v>
      </c>
      <c r="H24" s="0" t="str">
        <f aca="false">Registers!D55</f>
        <v>0x000000C1</v>
      </c>
    </row>
    <row r="26" customFormat="false" ht="12.75" hidden="false" customHeight="false" outlineLevel="0" collapsed="false">
      <c r="C26" s="0" t="s">
        <v>524</v>
      </c>
      <c r="H26" s="0" t="str">
        <f aca="false">Registers!D75</f>
        <v>0x0000018B</v>
      </c>
    </row>
    <row r="28" customFormat="false" ht="12.75" hidden="false" customHeight="false" outlineLevel="0" collapsed="false">
      <c r="C28" s="0" t="s">
        <v>525</v>
      </c>
    </row>
    <row r="29" customFormat="false" ht="12.75" hidden="false" customHeight="false" outlineLevel="0" collapsed="false">
      <c r="C29" s="0" t="s">
        <v>526</v>
      </c>
    </row>
    <row r="30" customFormat="false" ht="12.75" hidden="false" customHeight="false" outlineLevel="0" collapsed="false">
      <c r="C30" s="0" t="s">
        <v>525</v>
      </c>
    </row>
    <row r="31" customFormat="false" ht="12.75" hidden="false" customHeight="false" outlineLevel="0" collapsed="false">
      <c r="C31" s="0" t="s">
        <v>527</v>
      </c>
      <c r="H31" s="0" t="str">
        <f aca="false">'EMIF Tool'!L79</f>
        <v>8</v>
      </c>
    </row>
    <row r="32" customFormat="false" ht="12.75" hidden="false" customHeight="false" outlineLevel="0" collapsed="false">
      <c r="C32" s="0" t="s">
        <v>528</v>
      </c>
      <c r="H32" s="0" t="str">
        <f aca="false">Registers!D15</f>
        <v>0x0888A39B</v>
      </c>
    </row>
    <row r="33" customFormat="false" ht="12.75" hidden="false" customHeight="false" outlineLevel="0" collapsed="false">
      <c r="C33" s="0" t="s">
        <v>529</v>
      </c>
      <c r="H33" s="0" t="str">
        <f aca="false">Registers!D17</f>
        <v>0x24517FDA</v>
      </c>
    </row>
    <row r="34" customFormat="false" ht="12.75" hidden="false" customHeight="false" outlineLevel="0" collapsed="false">
      <c r="C34" s="0" t="s">
        <v>530</v>
      </c>
      <c r="H34" s="0" t="str">
        <f aca="false">Registers!D19</f>
        <v>0x50FFE4EF</v>
      </c>
    </row>
    <row r="36" customFormat="false" ht="12.75" hidden="false" customHeight="false" outlineLevel="0" collapsed="false">
      <c r="C36" s="0" t="s">
        <v>531</v>
      </c>
      <c r="H36" s="0" t="str">
        <f aca="false">Registers!D21</f>
        <v>0x61A05332</v>
      </c>
    </row>
    <row r="37" customFormat="false" ht="12.75" hidden="false" customHeight="false" outlineLevel="0" collapsed="false">
      <c r="C37" s="0" t="s">
        <v>532</v>
      </c>
      <c r="H37" s="0" t="str">
        <f aca="false">Registers!D23</f>
        <v>0x0000093B</v>
      </c>
    </row>
    <row r="38" customFormat="false" ht="12.75" hidden="false" customHeight="false" outlineLevel="0" collapsed="false">
      <c r="C38" s="0" t="s">
        <v>533</v>
      </c>
      <c r="H38" s="0" t="str">
        <f aca="false">Registers!D26</f>
        <v>0x50074BE1</v>
      </c>
    </row>
  </sheetData>
  <sheetProtection sheet="true" password="d9ff" objects="true" scenarios="true"/>
  <mergeCells count="4">
    <mergeCell ref="B2:I2"/>
    <mergeCell ref="B3:I3"/>
    <mergeCell ref="B4:I6"/>
    <mergeCell ref="B7:I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2" activeCellId="0" sqref="D72"/>
    </sheetView>
  </sheetViews>
  <sheetFormatPr defaultRowHeight="12.75"/>
  <cols>
    <col collapsed="false" hidden="false" max="1" min="1" style="0" width="8.72959183673469"/>
    <col collapsed="false" hidden="false" max="2" min="2" style="0" width="18.7091836734694"/>
    <col collapsed="false" hidden="false" max="3" min="3" style="0" width="25.4234693877551"/>
    <col collapsed="false" hidden="false" max="4" min="4" style="0" width="35.2857142857143"/>
    <col collapsed="false" hidden="false" max="5" min="5" style="0" width="11.8622448979592"/>
    <col collapsed="false" hidden="false" max="6" min="6" style="0" width="10.9948979591837"/>
    <col collapsed="false" hidden="false" max="7" min="7" style="0" width="21.2857142857143"/>
    <col collapsed="false" hidden="false" max="8" min="8" style="0" width="12.7091836734694"/>
    <col collapsed="false" hidden="false" max="9" min="9" style="0" width="26.1428571428571"/>
    <col collapsed="false" hidden="false" max="1025" min="10" style="0" width="8.72959183673469"/>
  </cols>
  <sheetData>
    <row r="1" s="122" customFormat="true" ht="12.75" hidden="false" customHeight="true" outlineLevel="0" collapsed="false">
      <c r="A1" s="223"/>
      <c r="B1" s="217"/>
      <c r="C1" s="217"/>
      <c r="D1" s="217"/>
      <c r="E1" s="217"/>
      <c r="F1" s="217"/>
      <c r="G1" s="304"/>
      <c r="H1" s="304"/>
      <c r="I1" s="217"/>
      <c r="J1" s="217"/>
    </row>
    <row r="2" customFormat="false" ht="12.75" hidden="false" customHeight="true" outlineLevel="0" collapsed="false">
      <c r="A2" s="223"/>
      <c r="B2" s="220"/>
      <c r="C2" s="220"/>
      <c r="D2" s="220"/>
      <c r="E2" s="220"/>
      <c r="F2" s="220"/>
      <c r="G2" s="220"/>
      <c r="H2" s="220"/>
      <c r="I2" s="220"/>
      <c r="J2" s="217"/>
    </row>
    <row r="3" customFormat="false" ht="12.75" hidden="false" customHeight="true" outlineLevel="0" collapsed="false">
      <c r="A3" s="223"/>
      <c r="B3" s="220"/>
      <c r="C3" s="220"/>
      <c r="D3" s="220"/>
      <c r="E3" s="220"/>
      <c r="F3" s="220"/>
      <c r="G3" s="220"/>
      <c r="H3" s="220"/>
      <c r="I3" s="220"/>
      <c r="J3" s="217"/>
    </row>
    <row r="4" customFormat="false" ht="12.75" hidden="false" customHeight="true" outlineLevel="0" collapsed="false">
      <c r="A4" s="223"/>
      <c r="B4" s="359" t="s">
        <v>534</v>
      </c>
      <c r="C4" s="359"/>
      <c r="D4" s="359"/>
      <c r="E4" s="359"/>
      <c r="F4" s="359"/>
      <c r="G4" s="359"/>
      <c r="H4" s="359"/>
      <c r="I4" s="359"/>
      <c r="J4" s="218"/>
    </row>
    <row r="5" customFormat="false" ht="12.75" hidden="false" customHeight="true" outlineLevel="0" collapsed="false">
      <c r="A5" s="223"/>
      <c r="B5" s="359"/>
      <c r="C5" s="359"/>
      <c r="D5" s="359"/>
      <c r="E5" s="359"/>
      <c r="F5" s="359"/>
      <c r="G5" s="359"/>
      <c r="H5" s="359"/>
      <c r="I5" s="359"/>
      <c r="J5" s="218"/>
    </row>
    <row r="6" customFormat="false" ht="12.75" hidden="false" customHeight="true" outlineLevel="0" collapsed="false">
      <c r="A6" s="223"/>
      <c r="B6" s="359"/>
      <c r="C6" s="359"/>
      <c r="D6" s="359"/>
      <c r="E6" s="359"/>
      <c r="F6" s="359"/>
      <c r="G6" s="359"/>
      <c r="H6" s="359"/>
      <c r="I6" s="359"/>
      <c r="J6" s="218"/>
    </row>
    <row r="7" customFormat="false" ht="12.75" hidden="false" customHeight="true" outlineLevel="0" collapsed="false">
      <c r="A7" s="223"/>
      <c r="B7" s="224" t="s">
        <v>19</v>
      </c>
      <c r="C7" s="224"/>
      <c r="D7" s="224"/>
      <c r="E7" s="224"/>
      <c r="F7" s="224"/>
      <c r="G7" s="224"/>
      <c r="H7" s="224"/>
      <c r="I7" s="224"/>
      <c r="J7" s="360"/>
    </row>
    <row r="8" customFormat="false" ht="12.75" hidden="false" customHeight="true" outlineLevel="0" collapsed="false">
      <c r="A8" s="223"/>
      <c r="B8" s="224"/>
      <c r="C8" s="224"/>
      <c r="D8" s="224"/>
      <c r="E8" s="224"/>
      <c r="F8" s="224"/>
      <c r="G8" s="224"/>
      <c r="H8" s="224"/>
      <c r="I8" s="224"/>
      <c r="J8" s="360"/>
    </row>
    <row r="9" customFormat="false" ht="12.75" hidden="false" customHeight="true" outlineLevel="0" collapsed="false">
      <c r="A9" s="223"/>
      <c r="B9" s="308" t="s">
        <v>20</v>
      </c>
      <c r="C9" s="309" t="s">
        <v>535</v>
      </c>
      <c r="D9" s="309"/>
      <c r="E9" s="311"/>
      <c r="F9" s="311"/>
      <c r="G9" s="312"/>
      <c r="H9" s="312"/>
      <c r="I9" s="361"/>
      <c r="J9" s="362"/>
    </row>
    <row r="10" customFormat="false" ht="12.75" hidden="false" customHeight="true" outlineLevel="0" collapsed="false">
      <c r="A10" s="221"/>
      <c r="B10" s="316"/>
      <c r="C10" s="317"/>
      <c r="D10" s="318"/>
      <c r="E10" s="319"/>
      <c r="F10" s="319"/>
      <c r="G10" s="320"/>
      <c r="H10" s="320"/>
      <c r="I10" s="363"/>
      <c r="J10" s="362"/>
    </row>
    <row r="11" customFormat="false" ht="12.75" hidden="false" customHeight="true" outlineLevel="0" collapsed="false">
      <c r="A11" s="221"/>
      <c r="B11" s="250"/>
      <c r="C11" s="250"/>
      <c r="D11" s="250"/>
      <c r="E11" s="250"/>
      <c r="F11" s="250"/>
      <c r="G11" s="251"/>
      <c r="H11" s="251"/>
      <c r="I11" s="250"/>
      <c r="J11" s="217"/>
    </row>
    <row r="13" customFormat="false" ht="15.75" hidden="false" customHeight="false" outlineLevel="0" collapsed="false">
      <c r="B13" s="464" t="s">
        <v>536</v>
      </c>
    </row>
    <row r="14" customFormat="false" ht="12.75" hidden="false" customHeight="false" outlineLevel="0" collapsed="false">
      <c r="B14" s="465" t="s">
        <v>537</v>
      </c>
    </row>
    <row r="16" customFormat="false" ht="12.75" hidden="false" customHeight="false" outlineLevel="0" collapsed="false">
      <c r="B16" s="465" t="s">
        <v>538</v>
      </c>
    </row>
    <row r="17" customFormat="false" ht="12.75" hidden="false" customHeight="false" outlineLevel="0" collapsed="false">
      <c r="C17" s="466" t="s">
        <v>539</v>
      </c>
      <c r="D17" s="466" t="str">
        <f aca="false">CONCATENATE("ddr3_", 'Step1-System Details'!$E$18,"_ddr_data")</f>
        <v>ddr3_AM335xSKEVM_ddr_data</v>
      </c>
      <c r="E17" s="467" t="s">
        <v>540</v>
      </c>
      <c r="F17" s="466"/>
    </row>
    <row r="18" customFormat="false" ht="12.75" hidden="false" customHeight="false" outlineLevel="0" collapsed="false">
      <c r="C18" s="466"/>
      <c r="D18" s="466" t="s">
        <v>541</v>
      </c>
      <c r="E18" s="466" t="str">
        <f aca="false">Registers!D47</f>
        <v>0x00000040</v>
      </c>
      <c r="F18" s="466" t="s">
        <v>542</v>
      </c>
      <c r="H18" s="468"/>
    </row>
    <row r="19" customFormat="false" ht="12.75" hidden="false" customHeight="false" outlineLevel="0" collapsed="false">
      <c r="C19" s="466"/>
      <c r="D19" s="466" t="s">
        <v>543</v>
      </c>
      <c r="E19" s="466" t="str">
        <f aca="false">Registers!D48</f>
        <v>0x00000081</v>
      </c>
      <c r="F19" s="466" t="s">
        <v>542</v>
      </c>
      <c r="H19" s="468"/>
    </row>
    <row r="20" customFormat="false" ht="12.75" hidden="false" customHeight="false" outlineLevel="0" collapsed="false">
      <c r="C20" s="466"/>
      <c r="D20" s="466" t="s">
        <v>544</v>
      </c>
      <c r="E20" s="466" t="str">
        <f aca="false">Registers!D53</f>
        <v>0x000000F3</v>
      </c>
      <c r="F20" s="466" t="s">
        <v>542</v>
      </c>
      <c r="H20" s="468"/>
    </row>
    <row r="21" customFormat="false" ht="12.75" hidden="false" customHeight="false" outlineLevel="0" collapsed="false">
      <c r="C21" s="466"/>
      <c r="D21" s="466" t="s">
        <v>545</v>
      </c>
      <c r="E21" s="466" t="str">
        <f aca="false">Registers!D55</f>
        <v>0x000000C1</v>
      </c>
      <c r="F21" s="466" t="s">
        <v>542</v>
      </c>
      <c r="H21" s="468"/>
    </row>
    <row r="22" customFormat="false" ht="12.75" hidden="false" customHeight="false" outlineLevel="0" collapsed="false">
      <c r="C22" s="466" t="s">
        <v>546</v>
      </c>
      <c r="D22" s="466"/>
      <c r="E22" s="466"/>
      <c r="F22" s="466"/>
      <c r="H22" s="468"/>
    </row>
    <row r="23" customFormat="false" ht="12.75" hidden="false" customHeight="false" outlineLevel="0" collapsed="false">
      <c r="C23" s="466"/>
      <c r="D23" s="466"/>
      <c r="E23" s="466"/>
      <c r="F23" s="466"/>
      <c r="H23" s="468"/>
    </row>
    <row r="24" customFormat="false" ht="12.75" hidden="false" customHeight="false" outlineLevel="0" collapsed="false">
      <c r="C24" s="466" t="s">
        <v>547</v>
      </c>
      <c r="D24" s="466" t="str">
        <f aca="false">CONCATENATE("ddr3_", 'Step1-System Details'!$E$18,"_cmd_ctrl_data")</f>
        <v>ddr3_AM335xSKEVM_cmd_ctrl_data</v>
      </c>
      <c r="E24" s="467" t="s">
        <v>540</v>
      </c>
      <c r="F24" s="466"/>
    </row>
    <row r="25" customFormat="false" ht="12.75" hidden="false" customHeight="false" outlineLevel="0" collapsed="false">
      <c r="C25" s="466"/>
      <c r="D25" s="466" t="s">
        <v>548</v>
      </c>
      <c r="E25" s="466" t="str">
        <f aca="false">Registers!D38</f>
        <v>0x00000100</v>
      </c>
      <c r="F25" s="466" t="s">
        <v>542</v>
      </c>
      <c r="H25" s="468"/>
    </row>
    <row r="26" customFormat="false" ht="12.75" hidden="false" customHeight="false" outlineLevel="0" collapsed="false">
      <c r="C26" s="466"/>
      <c r="D26" s="466" t="s">
        <v>549</v>
      </c>
      <c r="E26" s="466" t="str">
        <f aca="false">Registers!D40</f>
        <v>0x00000001</v>
      </c>
      <c r="F26" s="466" t="s">
        <v>542</v>
      </c>
      <c r="H26" s="468"/>
    </row>
    <row r="27" customFormat="false" ht="12.75" hidden="false" customHeight="false" outlineLevel="0" collapsed="false">
      <c r="C27" s="466"/>
      <c r="D27" s="466" t="s">
        <v>550</v>
      </c>
      <c r="E27" s="466" t="str">
        <f aca="false">Registers!D41</f>
        <v>0x00000100</v>
      </c>
      <c r="F27" s="466" t="s">
        <v>542</v>
      </c>
      <c r="H27" s="468"/>
    </row>
    <row r="28" customFormat="false" ht="12.75" hidden="false" customHeight="false" outlineLevel="0" collapsed="false">
      <c r="C28" s="466"/>
      <c r="D28" s="466" t="s">
        <v>551</v>
      </c>
      <c r="E28" s="466" t="str">
        <f aca="false">Registers!D43</f>
        <v>0x00000001</v>
      </c>
      <c r="F28" s="466" t="s">
        <v>542</v>
      </c>
      <c r="H28" s="468"/>
    </row>
    <row r="29" customFormat="false" ht="12.75" hidden="false" customHeight="false" outlineLevel="0" collapsed="false">
      <c r="C29" s="466"/>
      <c r="D29" s="466" t="s">
        <v>552</v>
      </c>
      <c r="E29" s="466" t="str">
        <f aca="false">Registers!D44</f>
        <v>0x00000100</v>
      </c>
      <c r="F29" s="466" t="s">
        <v>542</v>
      </c>
      <c r="H29" s="468"/>
    </row>
    <row r="30" customFormat="false" ht="12.75" hidden="false" customHeight="false" outlineLevel="0" collapsed="false">
      <c r="C30" s="466"/>
      <c r="D30" s="466" t="s">
        <v>553</v>
      </c>
      <c r="E30" s="466" t="str">
        <f aca="false">Registers!D46</f>
        <v>0x00000001</v>
      </c>
      <c r="F30" s="466" t="s">
        <v>542</v>
      </c>
      <c r="H30" s="468"/>
    </row>
    <row r="31" customFormat="false" ht="12.75" hidden="false" customHeight="false" outlineLevel="0" collapsed="false">
      <c r="C31" s="466" t="s">
        <v>546</v>
      </c>
      <c r="D31" s="466"/>
      <c r="E31" s="466"/>
      <c r="F31" s="466"/>
      <c r="H31" s="468"/>
    </row>
    <row r="32" customFormat="false" ht="12.75" hidden="false" customHeight="false" outlineLevel="0" collapsed="false">
      <c r="C32" s="466"/>
      <c r="D32" s="466"/>
      <c r="E32" s="466"/>
      <c r="F32" s="466"/>
      <c r="H32" s="468"/>
    </row>
    <row r="33" customFormat="false" ht="12.75" hidden="false" customHeight="false" outlineLevel="0" collapsed="false">
      <c r="C33" s="466" t="s">
        <v>554</v>
      </c>
      <c r="D33" s="466" t="str">
        <f aca="false">CONCATENATE("ddr3_", 'Step1-System Details'!$E$18,"_emif_reg_data")</f>
        <v>ddr3_AM335xSKEVM_emif_reg_data</v>
      </c>
      <c r="E33" s="467" t="s">
        <v>540</v>
      </c>
      <c r="F33" s="466"/>
    </row>
    <row r="34" customFormat="false" ht="12.75" hidden="false" customHeight="false" outlineLevel="0" collapsed="false">
      <c r="C34" s="466"/>
      <c r="D34" s="466" t="s">
        <v>555</v>
      </c>
      <c r="E34" s="466" t="str">
        <f aca="false">Registers!D21</f>
        <v>0x61A05332</v>
      </c>
      <c r="F34" s="466" t="s">
        <v>542</v>
      </c>
      <c r="H34" s="468"/>
    </row>
    <row r="35" customFormat="false" ht="12.75" hidden="false" customHeight="false" outlineLevel="0" collapsed="false">
      <c r="C35" s="466"/>
      <c r="D35" s="466" t="s">
        <v>556</v>
      </c>
      <c r="E35" s="466" t="str">
        <f aca="false">Registers!D23</f>
        <v>0x0000093B</v>
      </c>
      <c r="F35" s="466" t="s">
        <v>542</v>
      </c>
      <c r="H35" s="468"/>
    </row>
    <row r="36" customFormat="false" ht="12.75" hidden="false" customHeight="false" outlineLevel="0" collapsed="false">
      <c r="C36" s="466"/>
      <c r="D36" s="466" t="s">
        <v>557</v>
      </c>
      <c r="E36" s="466" t="str">
        <f aca="false">Registers!D15</f>
        <v>0x0888A39B</v>
      </c>
      <c r="F36" s="466" t="s">
        <v>542</v>
      </c>
      <c r="H36" s="468"/>
    </row>
    <row r="37" customFormat="false" ht="12.75" hidden="false" customHeight="false" outlineLevel="0" collapsed="false">
      <c r="C37" s="466"/>
      <c r="D37" s="466" t="s">
        <v>558</v>
      </c>
      <c r="E37" s="466" t="str">
        <f aca="false">Registers!D17</f>
        <v>0x24517FDA</v>
      </c>
      <c r="F37" s="466" t="s">
        <v>542</v>
      </c>
      <c r="H37" s="468"/>
    </row>
    <row r="38" customFormat="false" ht="12.75" hidden="false" customHeight="false" outlineLevel="0" collapsed="false">
      <c r="C38" s="466"/>
      <c r="D38" s="466" t="s">
        <v>559</v>
      </c>
      <c r="E38" s="466" t="str">
        <f aca="false">Registers!D19</f>
        <v>0x50FFE4EF</v>
      </c>
      <c r="F38" s="466" t="s">
        <v>542</v>
      </c>
      <c r="H38" s="468"/>
    </row>
    <row r="39" customFormat="false" ht="12.75" hidden="false" customHeight="false" outlineLevel="0" collapsed="false">
      <c r="C39" s="466"/>
      <c r="D39" s="466" t="s">
        <v>560</v>
      </c>
      <c r="E39" s="466" t="str">
        <f aca="false">Registers!D26</f>
        <v>0x50074BE1</v>
      </c>
      <c r="F39" s="466" t="s">
        <v>542</v>
      </c>
      <c r="H39" s="468"/>
    </row>
    <row r="40" customFormat="false" ht="12.75" hidden="false" customHeight="false" outlineLevel="0" collapsed="false">
      <c r="C40" s="466"/>
      <c r="D40" s="466" t="s">
        <v>561</v>
      </c>
      <c r="E40" s="466" t="str">
        <f aca="false">Registers!D33</f>
        <v>0x00100208</v>
      </c>
      <c r="F40" s="466" t="s">
        <v>542</v>
      </c>
      <c r="H40" s="468"/>
    </row>
    <row r="41" customFormat="false" ht="12.75" hidden="false" customHeight="false" outlineLevel="0" collapsed="false">
      <c r="C41" s="466" t="s">
        <v>546</v>
      </c>
      <c r="D41" s="466"/>
      <c r="E41" s="466"/>
      <c r="F41" s="466"/>
      <c r="H41" s="468"/>
    </row>
    <row r="42" customFormat="false" ht="12.75" hidden="false" customHeight="false" outlineLevel="0" collapsed="false">
      <c r="C42" s="466"/>
      <c r="D42" s="466"/>
      <c r="E42" s="466"/>
      <c r="F42" s="466"/>
      <c r="H42" s="468"/>
    </row>
    <row r="43" customFormat="false" ht="12.75" hidden="false" customHeight="false" outlineLevel="0" collapsed="false">
      <c r="C43" s="466" t="s">
        <v>562</v>
      </c>
      <c r="D43" s="466" t="str">
        <f aca="false">CONCATENATE("ddr3_", 'Step1-System Details'!$E$18,"_ioregs_data")</f>
        <v>ddr3_AM335xSKEVM_ioregs_data</v>
      </c>
      <c r="E43" s="467" t="s">
        <v>540</v>
      </c>
      <c r="F43" s="466"/>
    </row>
    <row r="44" customFormat="false" ht="12.75" hidden="false" customHeight="false" outlineLevel="0" collapsed="false">
      <c r="C44" s="466"/>
      <c r="D44" s="466" t="s">
        <v>563</v>
      </c>
      <c r="E44" s="466" t="str">
        <f aca="false">Registers!D75</f>
        <v>0x0000018B</v>
      </c>
      <c r="F44" s="466" t="s">
        <v>542</v>
      </c>
      <c r="H44" s="468"/>
    </row>
    <row r="45" customFormat="false" ht="12.75" hidden="false" customHeight="false" outlineLevel="0" collapsed="false">
      <c r="C45" s="466"/>
      <c r="D45" s="466" t="s">
        <v>564</v>
      </c>
      <c r="E45" s="466" t="str">
        <f aca="false">Registers!D76</f>
        <v>0x0000018B</v>
      </c>
      <c r="F45" s="466" t="s">
        <v>542</v>
      </c>
      <c r="H45" s="468"/>
    </row>
    <row r="46" customFormat="false" ht="12.75" hidden="false" customHeight="false" outlineLevel="0" collapsed="false">
      <c r="C46" s="466"/>
      <c r="D46" s="466" t="s">
        <v>565</v>
      </c>
      <c r="E46" s="466" t="str">
        <f aca="false">Registers!D77</f>
        <v>0x0000018B</v>
      </c>
      <c r="F46" s="466" t="s">
        <v>542</v>
      </c>
      <c r="H46" s="468"/>
    </row>
    <row r="47" customFormat="false" ht="12.75" hidden="false" customHeight="false" outlineLevel="0" collapsed="false">
      <c r="C47" s="466"/>
      <c r="D47" s="466" t="s">
        <v>566</v>
      </c>
      <c r="E47" s="466" t="str">
        <f aca="false">Registers!D78</f>
        <v>0x0000018B</v>
      </c>
      <c r="F47" s="466" t="s">
        <v>542</v>
      </c>
      <c r="H47" s="468"/>
    </row>
    <row r="48" customFormat="false" ht="12.75" hidden="false" customHeight="false" outlineLevel="0" collapsed="false">
      <c r="C48" s="466"/>
      <c r="D48" s="466" t="s">
        <v>567</v>
      </c>
      <c r="E48" s="466" t="str">
        <f aca="false">Registers!D79</f>
        <v>0x0000018B</v>
      </c>
      <c r="F48" s="466" t="s">
        <v>542</v>
      </c>
      <c r="H48" s="468"/>
    </row>
    <row r="49" customFormat="false" ht="12.75" hidden="false" customHeight="false" outlineLevel="0" collapsed="false">
      <c r="C49" s="466" t="s">
        <v>546</v>
      </c>
      <c r="D49" s="466"/>
      <c r="E49" s="466"/>
      <c r="F49" s="466"/>
    </row>
    <row r="50" customFormat="false" ht="12.75" hidden="false" customHeight="false" outlineLevel="0" collapsed="false">
      <c r="C50" s="466"/>
      <c r="D50" s="466"/>
      <c r="E50" s="466"/>
      <c r="F50" s="466"/>
    </row>
    <row r="51" customFormat="false" ht="12.75" hidden="false" customHeight="false" outlineLevel="0" collapsed="false">
      <c r="C51" s="466" t="s">
        <v>568</v>
      </c>
      <c r="D51" s="469" t="n">
        <f aca="false">'Step1-System Details'!E20</f>
        <v>303</v>
      </c>
      <c r="E51" s="466" t="s">
        <v>542</v>
      </c>
      <c r="F51" s="466"/>
    </row>
    <row r="52" customFormat="false" ht="12.75" hidden="false" customHeight="false" outlineLevel="0" collapsed="false">
      <c r="C52" s="466"/>
      <c r="D52" s="466" t="str">
        <f aca="false">CONCATENATE("&amp;",D43)</f>
        <v>&amp;ddr3_AM335xSKEVM_ioregs_data</v>
      </c>
      <c r="E52" s="466" t="s">
        <v>542</v>
      </c>
      <c r="F52" s="466"/>
    </row>
    <row r="53" customFormat="false" ht="12.75" hidden="false" customHeight="false" outlineLevel="0" collapsed="false">
      <c r="C53" s="466"/>
      <c r="D53" s="466" t="str">
        <f aca="false">CONCATENATE("&amp;",D17)</f>
        <v>&amp;ddr3_AM335xSKEVM_ddr_data</v>
      </c>
      <c r="E53" s="466" t="s">
        <v>542</v>
      </c>
      <c r="F53" s="466"/>
    </row>
    <row r="54" customFormat="false" ht="12.75" hidden="false" customHeight="false" outlineLevel="0" collapsed="false">
      <c r="C54" s="466"/>
      <c r="D54" s="466" t="str">
        <f aca="false">CONCATENATE("&amp;",D24)</f>
        <v>&amp;ddr3_AM335xSKEVM_cmd_ctrl_data</v>
      </c>
      <c r="E54" s="466" t="s">
        <v>542</v>
      </c>
      <c r="F54" s="466"/>
    </row>
    <row r="55" customFormat="false" ht="12.75" hidden="false" customHeight="false" outlineLevel="0" collapsed="false">
      <c r="C55" s="466"/>
      <c r="D55" s="466" t="str">
        <f aca="false">CONCATENATE("&amp;",D33,",0")</f>
        <v>&amp;ddr3_AM335xSKEVM_emif_reg_data,0</v>
      </c>
      <c r="E55" s="466" t="s">
        <v>569</v>
      </c>
      <c r="F55" s="466"/>
    </row>
    <row r="57" customFormat="false" ht="15.75" hidden="false" customHeight="false" outlineLevel="0" collapsed="false">
      <c r="B57" s="464" t="s">
        <v>570</v>
      </c>
    </row>
    <row r="58" customFormat="false" ht="15" hidden="false" customHeight="false" outlineLevel="0" collapsed="false">
      <c r="B58" s="470" t="s">
        <v>571</v>
      </c>
    </row>
    <row r="59" customFormat="false" ht="12.75" hidden="false" customHeight="false" outlineLevel="0" collapsed="false">
      <c r="C59" s="465"/>
      <c r="D59" s="465"/>
      <c r="E59" s="465"/>
    </row>
    <row r="60" customFormat="false" ht="12.75" hidden="false" customHeight="false" outlineLevel="0" collapsed="false">
      <c r="B60" s="465" t="s">
        <v>538</v>
      </c>
    </row>
    <row r="61" customFormat="false" ht="12.75" hidden="false" customHeight="false" outlineLevel="0" collapsed="false">
      <c r="C61" s="471" t="s">
        <v>572</v>
      </c>
      <c r="D61" s="465"/>
      <c r="E61" s="465"/>
    </row>
    <row r="62" customFormat="false" ht="12.75" hidden="false" customHeight="false" outlineLevel="0" collapsed="false">
      <c r="C62" s="471" t="s">
        <v>573</v>
      </c>
      <c r="D62" s="465"/>
      <c r="E62" s="465"/>
    </row>
    <row r="63" customFormat="false" ht="12.75" hidden="false" customHeight="false" outlineLevel="0" collapsed="false">
      <c r="C63" s="471" t="s">
        <v>574</v>
      </c>
      <c r="D63" s="465"/>
      <c r="E63" s="465"/>
    </row>
    <row r="64" customFormat="false" ht="12.75" hidden="false" customHeight="false" outlineLevel="0" collapsed="false">
      <c r="C64" s="471"/>
      <c r="D64" s="465"/>
      <c r="E64" s="465"/>
    </row>
    <row r="65" customFormat="false" ht="12.75" hidden="false" customHeight="false" outlineLevel="0" collapsed="false">
      <c r="C65" s="472" t="str">
        <f aca="false">CONCATENATE("     return &amp;dpll_ddr3_",'Step1-System Details'!E20,"MHz[ind];")</f>
        <v>     return &amp;dpll_ddr3_303MHz[ind];</v>
      </c>
      <c r="D65" s="465"/>
      <c r="E65" s="465"/>
    </row>
    <row r="66" customFormat="false" ht="12.75" hidden="false" customHeight="false" outlineLevel="0" collapsed="false">
      <c r="C66" s="472"/>
      <c r="D66" s="465"/>
      <c r="E66" s="465"/>
    </row>
    <row r="67" customFormat="false" ht="12.75" hidden="false" customHeight="false" outlineLevel="0" collapsed="false">
      <c r="C67" s="473" t="s">
        <v>575</v>
      </c>
      <c r="D67" s="465"/>
      <c r="E67" s="465"/>
    </row>
    <row r="68" customFormat="false" ht="12.75" hidden="false" customHeight="false" outlineLevel="0" collapsed="false">
      <c r="C68" s="473" t="s">
        <v>576</v>
      </c>
      <c r="D68" s="465"/>
      <c r="E68" s="465"/>
    </row>
    <row r="69" customFormat="false" ht="12.75" hidden="false" customHeight="false" outlineLevel="0" collapsed="false">
      <c r="C69" s="473" t="s">
        <v>577</v>
      </c>
      <c r="D69" s="465"/>
      <c r="E69" s="465"/>
    </row>
    <row r="70" customFormat="false" ht="12.75" hidden="false" customHeight="false" outlineLevel="0" collapsed="false">
      <c r="C70" s="473" t="s">
        <v>578</v>
      </c>
      <c r="D70" s="465"/>
      <c r="E70" s="465"/>
    </row>
    <row r="71" customFormat="false" ht="12.75" hidden="false" customHeight="false" outlineLevel="0" collapsed="false">
      <c r="C71" s="473" t="s">
        <v>579</v>
      </c>
      <c r="D71" s="465"/>
      <c r="E71" s="465"/>
    </row>
    <row r="72" customFormat="false" ht="12.75" hidden="false" customHeight="false" outlineLevel="0" collapsed="false">
      <c r="C72" s="473" t="s">
        <v>576</v>
      </c>
      <c r="D72" s="465"/>
      <c r="E72" s="465"/>
    </row>
    <row r="73" customFormat="false" ht="12.75" hidden="false" customHeight="false" outlineLevel="0" collapsed="false">
      <c r="C73" s="474"/>
      <c r="D73" s="465"/>
      <c r="E73" s="465"/>
    </row>
    <row r="74" customFormat="false" ht="12.75" hidden="false" customHeight="false" outlineLevel="0" collapsed="false">
      <c r="C74" s="473" t="s">
        <v>580</v>
      </c>
      <c r="D74" s="465"/>
      <c r="E74" s="465"/>
    </row>
    <row r="75" customFormat="false" ht="12.75" hidden="false" customHeight="false" outlineLevel="0" collapsed="false">
      <c r="C75" s="473" t="s">
        <v>581</v>
      </c>
      <c r="D75" s="465"/>
      <c r="E75" s="465"/>
    </row>
    <row r="76" customFormat="false" ht="12.75" hidden="false" customHeight="false" outlineLevel="0" collapsed="false">
      <c r="C76" s="471" t="s">
        <v>582</v>
      </c>
      <c r="D76" s="465"/>
      <c r="E76" s="465"/>
    </row>
    <row r="77" customFormat="false" ht="12.75" hidden="false" customHeight="false" outlineLevel="0" collapsed="false">
      <c r="C77" s="465"/>
      <c r="D77" s="465"/>
    </row>
    <row r="78" customFormat="false" ht="12.75" hidden="false" customHeight="false" outlineLevel="0" collapsed="false">
      <c r="C78" s="465"/>
      <c r="D78" s="465"/>
    </row>
    <row r="79" customFormat="false" ht="12.75" hidden="false" customHeight="false" outlineLevel="0" collapsed="false">
      <c r="B79" s="465" t="s">
        <v>583</v>
      </c>
    </row>
    <row r="80" customFormat="false" ht="12.75" hidden="false" customHeight="false" outlineLevel="0" collapsed="false">
      <c r="B80" s="465"/>
    </row>
    <row r="81" customFormat="false" ht="12.75" hidden="false" customHeight="false" outlineLevel="0" collapsed="false">
      <c r="C81" s="471" t="s">
        <v>584</v>
      </c>
      <c r="D81" s="465"/>
      <c r="E81" s="465"/>
      <c r="F81" s="465"/>
    </row>
    <row r="82" customFormat="false" ht="12.75" hidden="false" customHeight="false" outlineLevel="0" collapsed="false">
      <c r="C82" s="471" t="s">
        <v>585</v>
      </c>
      <c r="D82" s="465"/>
      <c r="E82" s="465"/>
      <c r="F82" s="465"/>
    </row>
    <row r="83" customFormat="false" ht="12.75" hidden="false" customHeight="false" outlineLevel="0" collapsed="false">
      <c r="C83" s="471" t="s">
        <v>586</v>
      </c>
      <c r="D83" s="465"/>
      <c r="E83" s="465"/>
      <c r="F83" s="465"/>
    </row>
    <row r="84" customFormat="false" ht="12.75" hidden="false" customHeight="false" outlineLevel="0" collapsed="false">
      <c r="C84" s="471" t="s">
        <v>587</v>
      </c>
      <c r="D84" s="465"/>
      <c r="E84" s="465"/>
      <c r="F84" s="465"/>
    </row>
    <row r="85" customFormat="false" ht="12.75" hidden="false" customHeight="false" outlineLevel="0" collapsed="false">
      <c r="C85" s="471" t="s">
        <v>588</v>
      </c>
      <c r="D85" s="465"/>
      <c r="E85" s="465"/>
      <c r="F85" s="465"/>
    </row>
    <row r="86" customFormat="false" ht="12.75" hidden="false" customHeight="false" outlineLevel="0" collapsed="false">
      <c r="C86" s="471" t="s">
        <v>546</v>
      </c>
      <c r="D86" s="465"/>
      <c r="E86" s="465"/>
      <c r="F86" s="465"/>
    </row>
    <row r="87" customFormat="false" ht="12.75" hidden="false" customHeight="false" outlineLevel="0" collapsed="false">
      <c r="C87" s="471"/>
      <c r="D87" s="465"/>
      <c r="E87" s="465"/>
      <c r="F87" s="465"/>
    </row>
    <row r="88" customFormat="false" ht="12.75" hidden="false" customHeight="false" outlineLevel="0" collapsed="false">
      <c r="C88" s="471" t="s">
        <v>589</v>
      </c>
      <c r="D88" s="465"/>
      <c r="E88" s="465"/>
      <c r="F88" s="465"/>
    </row>
    <row r="89" customFormat="false" ht="12.75" hidden="false" customHeight="false" outlineLevel="0" collapsed="false">
      <c r="C89" s="471" t="s">
        <v>590</v>
      </c>
      <c r="D89" s="465"/>
      <c r="E89" s="465"/>
      <c r="F89" s="465"/>
    </row>
    <row r="90" customFormat="false" ht="12.75" hidden="false" customHeight="false" outlineLevel="0" collapsed="false">
      <c r="C90" s="471" t="s">
        <v>591</v>
      </c>
      <c r="D90" s="465"/>
      <c r="E90" s="465"/>
      <c r="F90" s="465"/>
    </row>
    <row r="91" customFormat="false" ht="12.75" hidden="false" customHeight="false" outlineLevel="0" collapsed="false">
      <c r="C91" s="471" t="s">
        <v>592</v>
      </c>
      <c r="D91" s="465"/>
      <c r="E91" s="465"/>
      <c r="F91" s="465"/>
    </row>
    <row r="92" customFormat="false" ht="12.75" hidden="false" customHeight="false" outlineLevel="0" collapsed="false">
      <c r="C92" s="471" t="s">
        <v>593</v>
      </c>
      <c r="D92" s="465"/>
      <c r="E92" s="465"/>
      <c r="F92" s="465"/>
    </row>
    <row r="93" customFormat="false" ht="12.75" hidden="false" customHeight="false" outlineLevel="0" collapsed="false">
      <c r="C93" s="471" t="s">
        <v>546</v>
      </c>
      <c r="D93" s="465"/>
      <c r="E93" s="465"/>
      <c r="F93" s="465"/>
    </row>
  </sheetData>
  <sheetProtection sheet="true" password="d9ff" objects="true" scenarios="true"/>
  <mergeCells count="4">
    <mergeCell ref="B2:I2"/>
    <mergeCell ref="B3:I3"/>
    <mergeCell ref="B4:I6"/>
    <mergeCell ref="B7:I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2009-01-21T14:50:02Z</dcterms:created>
  <dc:creator>Eric Hansen</dc:creator>
  <dc:language>en-US</dc:language>
  <cp:lastModifiedBy>Doublesin, James</cp:lastModifiedBy>
  <cp:lastPrinted>2009-09-15T15:48:00Z</cp:lastPrinted>
  <dcterms:modified xsi:type="dcterms:W3CDTF">2020-02-04T21:51:05Z</dcterms:modified>
  <cp:revision>0</cp:revision>
</cp:coreProperties>
</file>