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20" yWindow="-20" windowWidth="25660" windowHeight="1556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8" i="1"/>
  <c r="C17" i="1"/>
  <c r="B18" i="1"/>
  <c r="B16" i="1"/>
  <c r="B3" i="1"/>
  <c r="B5" i="1"/>
  <c r="H9" i="1"/>
  <c r="F9" i="1"/>
  <c r="G9" i="1"/>
  <c r="I2" i="1"/>
  <c r="I3" i="1"/>
  <c r="J3" i="1"/>
  <c r="F3" i="1"/>
  <c r="I4" i="1"/>
  <c r="J4" i="1"/>
  <c r="F4" i="1"/>
  <c r="I5" i="1"/>
  <c r="J5" i="1"/>
  <c r="F5" i="1"/>
  <c r="I6" i="1"/>
  <c r="J6" i="1"/>
  <c r="F6" i="1"/>
  <c r="I7" i="1"/>
  <c r="J7" i="1"/>
  <c r="F7" i="1"/>
  <c r="I8" i="1"/>
  <c r="J8" i="1"/>
  <c r="F8" i="1"/>
  <c r="I9" i="1"/>
  <c r="I10" i="1"/>
  <c r="J10" i="1"/>
  <c r="F10" i="1"/>
  <c r="I11" i="1"/>
  <c r="J11" i="1"/>
  <c r="F11" i="1"/>
  <c r="I12" i="1"/>
  <c r="J12" i="1"/>
  <c r="F12" i="1"/>
  <c r="I13" i="1"/>
  <c r="J13" i="1"/>
  <c r="F13" i="1"/>
  <c r="I14" i="1"/>
  <c r="J14" i="1"/>
  <c r="F14" i="1"/>
  <c r="I15" i="1"/>
  <c r="J15" i="1"/>
  <c r="F15" i="1"/>
  <c r="I16" i="1"/>
  <c r="J16" i="1"/>
  <c r="F16" i="1"/>
  <c r="I17" i="1"/>
  <c r="J17" i="1"/>
  <c r="F17" i="1"/>
  <c r="I18" i="1"/>
  <c r="J18" i="1"/>
  <c r="F18" i="1"/>
  <c r="I19" i="1"/>
  <c r="J19" i="1"/>
  <c r="F19" i="1"/>
  <c r="I20" i="1"/>
  <c r="J20" i="1"/>
  <c r="F20" i="1"/>
  <c r="I21" i="1"/>
  <c r="J21" i="1"/>
  <c r="F21" i="1"/>
  <c r="B10" i="1"/>
  <c r="B11" i="1"/>
  <c r="J9" i="1"/>
  <c r="B12" i="1"/>
  <c r="B6" i="1"/>
  <c r="B9" i="1"/>
  <c r="G10" i="1"/>
  <c r="H8" i="1"/>
  <c r="G8" i="1"/>
  <c r="H7" i="1"/>
  <c r="G7" i="1"/>
  <c r="H6" i="1"/>
  <c r="G6" i="1"/>
  <c r="H5" i="1"/>
  <c r="G5" i="1"/>
  <c r="H4" i="1"/>
  <c r="G4" i="1"/>
  <c r="H3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  <c r="G21" i="1"/>
  <c r="G20" i="1"/>
  <c r="G19" i="1"/>
  <c r="G18" i="1"/>
  <c r="G17" i="1"/>
  <c r="G16" i="1"/>
  <c r="G15" i="1"/>
  <c r="G14" i="1"/>
  <c r="G13" i="1"/>
  <c r="G12" i="1"/>
  <c r="G11" i="1"/>
  <c r="G3" i="1"/>
</calcChain>
</file>

<file path=xl/sharedStrings.xml><?xml version="1.0" encoding="utf-8"?>
<sst xmlns="http://schemas.openxmlformats.org/spreadsheetml/2006/main" count="51" uniqueCount="39">
  <si>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</si>
  <si>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</si>
  <si>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</si>
  <si>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</si>
  <si>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</si>
  <si>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</si>
  <si>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</si>
  <si>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</si>
  <si>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</si>
  <si>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</si>
  <si>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</si>
  <si>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</si>
  <si>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</si>
  <si>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</si>
  <si>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</si>
  <si>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</si>
  <si>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</si>
  <si>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</si>
  <si>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</si>
  <si>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</si>
  <si>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</si>
  <si>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</si>
  <si>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</si>
  <si>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</si>
  <si>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</si>
  <si>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</si>
  <si>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Amount resin (mmol)</t>
  </si>
  <si>
    <t>MM Resin (mmol/g)</t>
  </si>
  <si>
    <t>Amount resin (g)</t>
  </si>
  <si>
    <t>4-chlorobenzoic acid</t>
  </si>
  <si>
    <t>Fmoc-K-Mtt</t>
  </si>
  <si>
    <t>4-iodobenzoic acid</t>
  </si>
  <si>
    <t>RWPTS[K-4IB]I</t>
  </si>
  <si>
    <t>Reagent</t>
  </si>
  <si>
    <t>4IB</t>
  </si>
  <si>
    <t>HBTU</t>
  </si>
  <si>
    <t>DIC</t>
  </si>
  <si>
    <t>Amount</t>
  </si>
  <si>
    <t>MM(4IB)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</si>
</sst>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  <font>
      <sz val="11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0.44999542222357858"/>
        <bgColor theme="1" tint="0.44999542222357858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theme="8" tint="0.39997558519241921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3" fillId="2" borderId="1" xfId="5" applyAlignment="1">
      <alignment wrapText="1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  <xf numFmtId="0" fontId="16" fillId="0" borderId="0" xfId="0" applyFont="1"/>
    <xf numFmtId="0" fontId="7" fillId="0" borderId="0" xfId="0" applyFont="1" applyBorder="1"/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3" borderId="8" xfId="0" applyFont="1" applyFill="1" applyBorder="1"/>
    <xf numFmtId="0" fontId="12" fillId="3" borderId="9" xfId="0" applyFont="1" applyFill="1" applyBorder="1"/>
    <xf numFmtId="0" fontId="15" fillId="4" borderId="10" xfId="0" applyFont="1" applyFill="1" applyBorder="1"/>
    <xf numFmtId="0" fontId="10" fillId="4" borderId="11" xfId="0" applyFont="1" applyFill="1" applyBorder="1"/>
    <xf numFmtId="0" fontId="15" fillId="0" borderId="10" xfId="0" applyFont="1" applyBorder="1"/>
    <xf numFmtId="0" fontId="10" fillId="0" borderId="11" xfId="0" applyFont="1" applyBorder="1"/>
    <xf numFmtId="0" fontId="10" fillId="4" borderId="12" xfId="0" applyFont="1" applyFill="1" applyBorder="1"/>
    <xf numFmtId="0" fontId="15" fillId="0" borderId="10" xfId="0" applyFont="1" applyBorder="1" applyAlignment="1">
      <alignment wrapText="1"/>
    </xf>
    <xf numFmtId="0" fontId="10" fillId="0" borderId="12" xfId="0" applyFont="1" applyBorder="1"/>
    <xf numFmtId="0" fontId="7" fillId="5" borderId="0" xfId="0" applyFont="1" applyFill="1" applyBorder="1"/>
  </cellXfs>
  <cellStyles count="256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E2:H21" totalsRowShown="0" headerRowDxfId="19" dataDxfId="18">
  <autoFilter ref="E2:H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LOOKUP(E3,Table2101316[Fmoc-AA],Table2101316[MM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(mmol)]]*F3,"")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1" totalsRowShown="0" headerRowDxfId="3" dataDxfId="2">
  <autoFilter ref="D1:E11"/>
  <sortState ref="D2:E11">
    <sortCondition ref="D1:D11"/>
  </sortState>
  <tableColumns count="2">
    <tableColumn id="1" name="Fmoc-AA" dataDxfId="1"/>
    <tableColumn id="2" name="MM (g/mol)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1" sqref="C1:D1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25" t="s">
        <v>24</v>
      </c>
      <c r="B1" s="25"/>
      <c r="C1" s="26" t="s">
        <v>32</v>
      </c>
      <c r="D1" s="26"/>
      <c r="E1" s="27"/>
      <c r="F1" s="27"/>
      <c r="G1" s="27"/>
    </row>
    <row r="2" spans="1:11" ht="39" thickTop="1" thickBot="1">
      <c r="A2" s="17" t="s">
        <v>5</v>
      </c>
      <c r="B2" s="18" t="s">
        <v>23</v>
      </c>
      <c r="C2" s="15"/>
      <c r="E2" s="8" t="s">
        <v>13</v>
      </c>
      <c r="F2" s="8" t="s">
        <v>14</v>
      </c>
      <c r="G2" s="8" t="s">
        <v>6</v>
      </c>
      <c r="H2" s="8" t="s">
        <v>10</v>
      </c>
      <c r="I2" s="16" t="str">
        <f>C1</f>
        <v>RWPTS[K-4IB]I</v>
      </c>
      <c r="J2" s="16" t="str">
        <f>IF(Table17[[#This Row],[Column2]]&lt;&gt;"",CONCATENATE("Fmoc-",RIGHT(I2,1)),"")</f>
        <v>Fmoc-I</v>
      </c>
      <c r="K2" s="4" t="s">
        <v>5</v>
      </c>
    </row>
    <row r="3" spans="1:11" ht="19" thickTop="1">
      <c r="A3" s="19" t="s">
        <v>27</v>
      </c>
      <c r="B3" s="20">
        <f>LOOKUP(Table19[[#Headers],[Fmoc-I]],Table21114[Resin],Table21114[MM (mmol/g)])</f>
        <v>0.32</v>
      </c>
      <c r="C3" s="13"/>
      <c r="E3" s="6" t="s">
        <v>30</v>
      </c>
      <c r="F3" s="6">
        <f>IF(Table591217[[#This Row],[Fmoc Amino Acids]] &lt;&gt; "", LOOKUP(E3,Table2101316[Fmoc-AA],Table2101316[MM (g/mol)]), "")</f>
        <v>629.79</v>
      </c>
      <c r="G3" s="6">
        <f>IF(Table591217[[#This Row],[Fmoc Amino Acids]] &lt;&gt; "",Table591217[[#This Row],[Amount (mmol)]]*F3,"")</f>
        <v>342.60576000000003</v>
      </c>
      <c r="H3" s="6">
        <f>IF(Table591217[[#This Row],[Fmoc Amino Acids]] &lt;&gt; "",$B$5*5,"")</f>
        <v>0.54400000000000004</v>
      </c>
      <c r="I3" s="6" t="str">
        <f t="shared" ref="I3:I21" si="0">IF(I2&lt;&gt;"",LEFT(I2,LEN(I2)-1),"")</f>
        <v>RWPTS[K-4IB]</v>
      </c>
      <c r="J3" s="8" t="str">
        <f>IF(Table17[[#This Row],[Column2]]&lt;&gt;"",CONCATENATE("Fmoc-",RIGHT(I3,1)),"")</f>
        <v>Fmoc-]</v>
      </c>
    </row>
    <row r="4" spans="1:11" ht="18">
      <c r="A4" s="19" t="s">
        <v>28</v>
      </c>
      <c r="B4" s="20">
        <v>0.34</v>
      </c>
      <c r="C4" s="13" t="s">
        <v>17</v>
      </c>
      <c r="E4" s="6" t="s">
        <v>0</v>
      </c>
      <c r="F4" s="6">
        <f>IF(Table591217[[#This Row],[Fmoc Amino Acids]] &lt;&gt; "", LOOKUP(E4,Table2101316[Fmoc-AA],Table2101316[MM (g/mol)]), "")</f>
        <v>383.4</v>
      </c>
      <c r="G4" s="6">
        <f>IF(Table591217[[#This Row],[Fmoc Amino Acids]] &lt;&gt; "",Table591217[[#This Row],[Amount (mmol)]]*F4,"")</f>
        <v>208.56960000000001</v>
      </c>
      <c r="H4" s="6">
        <f>IF(Table591217[[#This Row],[Fmoc Amino Acids]] &lt;&gt; "",$B$5*5,"")</f>
        <v>0.54400000000000004</v>
      </c>
      <c r="I4" s="6" t="str">
        <f t="shared" si="0"/>
        <v>RWPTS[K-4IB</v>
      </c>
      <c r="J4" s="8" t="str">
        <f>IF(Table17[[#This Row],[Column2]]&lt;&gt;"",CONCATENATE("Fmoc-",RIGHT(I4,1)),"")</f>
        <v>Fmoc-B</v>
      </c>
    </row>
    <row r="5" spans="1:11" ht="18">
      <c r="A5" s="19" t="s">
        <v>26</v>
      </c>
      <c r="B5" s="21">
        <f>B3*B4</f>
        <v>0.10880000000000001</v>
      </c>
      <c r="C5" s="15"/>
      <c r="E5" s="6" t="s">
        <v>1</v>
      </c>
      <c r="F5" s="6">
        <f>IF(Table591217[[#This Row],[Fmoc Amino Acids]] &lt;&gt; "", LOOKUP(E5,Table2101316[Fmoc-AA],Table2101316[MM (g/mol)]), "")</f>
        <v>397.5</v>
      </c>
      <c r="G5" s="6">
        <f>IF(Table591217[[#This Row],[Fmoc Amino Acids]] &lt;&gt; "",Table591217[[#This Row],[Amount (mmol)]]*F5,"")</f>
        <v>216.24</v>
      </c>
      <c r="H5" s="6">
        <f>IF(Table591217[[#This Row],[Fmoc Amino Acids]] &lt;&gt; "",$B$5*5,"")</f>
        <v>0.54400000000000004</v>
      </c>
      <c r="I5" s="6" t="str">
        <f t="shared" si="0"/>
        <v>RWPTS[K-4I</v>
      </c>
      <c r="J5" s="8" t="str">
        <f>IF(Table17[[#This Row],[Column2]]&lt;&gt;"",CONCATENATE("Fmoc-",RIGHT(I5,1)),"")</f>
        <v>Fmoc-I</v>
      </c>
    </row>
    <row r="6" spans="1:11" ht="32">
      <c r="A6" s="22" t="s">
        <v>8</v>
      </c>
      <c r="B6" s="21">
        <f>10*B5</f>
        <v>1.0880000000000001</v>
      </c>
      <c r="C6" s="15"/>
      <c r="E6" s="6" t="s">
        <v>2</v>
      </c>
      <c r="F6" s="6">
        <f>IF(Table591217[[#This Row],[Fmoc Amino Acids]] &lt;&gt; "", LOOKUP(E6,Table2101316[Fmoc-AA],Table2101316[MM (g/mol)]), "")</f>
        <v>337.37</v>
      </c>
      <c r="G6" s="6">
        <f>IF(Table591217[[#This Row],[Fmoc Amino Acids]] &lt;&gt; "",Table591217[[#This Row],[Amount (mmol)]]*F6,"")</f>
        <v>183.52928000000003</v>
      </c>
      <c r="H6" s="6">
        <f>IF(Table591217[[#This Row],[Fmoc Amino Acids]] &lt;&gt; "",$B$5*5,"")</f>
        <v>0.54400000000000004</v>
      </c>
      <c r="I6" s="6" t="str">
        <f t="shared" si="0"/>
        <v>RWPTS[K-4</v>
      </c>
      <c r="J6" s="8" t="str">
        <f>IF(Table17[[#This Row],[Column2]]&lt;&gt;"",CONCATENATE("Fmoc-",RIGHT(I6,1)),"")</f>
        <v>Fmoc-4</v>
      </c>
      <c r="K6" s="1"/>
    </row>
    <row r="7" spans="1:11" ht="18">
      <c r="A7" s="22" t="s">
        <v>7</v>
      </c>
      <c r="B7" s="20">
        <v>129.25</v>
      </c>
      <c r="C7" s="15"/>
      <c r="E7" s="6" t="s">
        <v>3</v>
      </c>
      <c r="F7" s="6">
        <f>IF(Table591217[[#This Row],[Fmoc Amino Acids]] &lt;&gt; "", LOOKUP(E7,Table2101316[Fmoc-AA],Table2101316[MM (g/mol)]), "")</f>
        <v>526.6</v>
      </c>
      <c r="G7" s="6">
        <f>IF(Table591217[[#This Row],[Fmoc Amino Acids]] &lt;&gt; "",Table591217[[#This Row],[Amount (mmol)]]*F7,"")</f>
        <v>286.47040000000004</v>
      </c>
      <c r="H7" s="6">
        <f>IF(Table591217[[#This Row],[Fmoc Amino Acids]] &lt;&gt; "",$B$5*5,"")</f>
        <v>0.54400000000000004</v>
      </c>
      <c r="I7" s="6" t="str">
        <f t="shared" si="0"/>
        <v>RWPTS[K-</v>
      </c>
      <c r="J7" s="8" t="str">
        <f>IF(Table17[[#This Row],[Column2]]&lt;&gt;"",CONCATENATE("Fmoc-",RIGHT(I7,1)),"")</f>
        <v>Fmoc--</v>
      </c>
    </row>
    <row r="8" spans="1:11" ht="18">
      <c r="A8" s="22" t="s">
        <v>11</v>
      </c>
      <c r="B8" s="20">
        <v>0.74199999999999999</v>
      </c>
      <c r="C8" s="15"/>
      <c r="E8" s="6" t="s">
        <v>4</v>
      </c>
      <c r="F8" s="6">
        <f>IF(Table591217[[#This Row],[Fmoc Amino Acids]] &lt;&gt; "", LOOKUP(E8,Table2101316[Fmoc-AA],Table2101316[MM (g/mol)]), "")</f>
        <v>648.79999999999995</v>
      </c>
      <c r="G8" s="6">
        <f>IF(Table591217[[#This Row],[Fmoc Amino Acids]] &lt;&gt; "",Table591217[[#This Row],[Amount (mmol)]]*F8,"")</f>
        <v>352.94720000000001</v>
      </c>
      <c r="H8" s="6">
        <f>IF(Table591217[[#This Row],[Fmoc Amino Acids]] &lt;&gt; "",$B$5*5,"")</f>
        <v>0.54400000000000004</v>
      </c>
      <c r="I8" s="6" t="str">
        <f t="shared" si="0"/>
        <v>RWPTS[K</v>
      </c>
      <c r="J8" s="8" t="str">
        <f>IF(Table17[[#This Row],[Column2]]&lt;&gt;"",CONCATENATE("Fmoc-",RIGHT(I8,1)),"")</f>
        <v>Fmoc-K</v>
      </c>
    </row>
    <row r="9" spans="1:11" ht="18">
      <c r="A9" s="22" t="s">
        <v>12</v>
      </c>
      <c r="B9" s="21">
        <f>0.001*B6*B7/B8</f>
        <v>0.18952021563342322</v>
      </c>
      <c r="C9" s="15"/>
      <c r="E9" s="11"/>
      <c r="F9" s="6" t="str">
        <f>IF(Table591217[[#This Row],[Fmoc Amino Acids]] &lt;&gt; "", LOOKUP(E9,Table2101316[Fmoc-AA],Table2101316[MM (g/mol)]), "")</f>
        <v/>
      </c>
      <c r="G9" s="6" t="str">
        <f>IF(Table591217[[#This Row],[Fmoc Amino Acids]] &lt;&gt; "",Table591217[[#This Row],[Amount (mmol)]]*F9,"")</f>
        <v/>
      </c>
      <c r="H9" s="6" t="str">
        <f>IF(Table591217[[#This Row],[Fmoc Amino Acids]] &lt;&gt; "",$B$5*5,"")</f>
        <v/>
      </c>
      <c r="I9" s="6" t="str">
        <f t="shared" si="0"/>
        <v>RWPTS[</v>
      </c>
      <c r="J9" s="8" t="str">
        <f>IF(Table17[[#This Row],[Column2]]&lt;&gt;"",CONCATENATE("Fmoc-",RIGHT(I9,1)),"")</f>
        <v>Fmoc-[</v>
      </c>
    </row>
    <row r="10" spans="1:11" ht="48">
      <c r="A10" s="22" t="s">
        <v>9</v>
      </c>
      <c r="B10" s="21">
        <f>15*1000*B5</f>
        <v>1632.0000000000002</v>
      </c>
      <c r="C10" s="15"/>
      <c r="E10" s="6"/>
      <c r="F10" s="6" t="str">
        <f>IF(Table591217[[#This Row],[Fmoc Amino Acids]] &lt;&gt; "", LOOKUP(E10,Table2101316[Fmoc-AA],Table2101316[MM (g/mol)]), "")</f>
        <v/>
      </c>
      <c r="G10" s="6" t="str">
        <f>IF(Table591217[[#This Row],[Fmoc Amino Acids]] &lt;&gt; "",Table591217[[#This Row],[Amount (mmol)]]*F10,"")</f>
        <v/>
      </c>
      <c r="H10" s="6" t="str">
        <f>IF(Table591217[[#This Row],[Fmoc Amino Acids]] &lt;&gt; "",$B$5*5,"")</f>
        <v/>
      </c>
      <c r="I10" s="6" t="str">
        <f t="shared" si="0"/>
        <v>RWPTS</v>
      </c>
      <c r="J10" s="8" t="str">
        <f>IF(Table17[[#This Row],[Column2]]&lt;&gt;"",CONCATENATE("Fmoc-",RIGHT(I10,1)),"")</f>
        <v>Fmoc-S</v>
      </c>
    </row>
    <row r="11" spans="1:11" ht="32">
      <c r="A11" s="22" t="s">
        <v>15</v>
      </c>
      <c r="B11" s="21">
        <f>COUNT(Table591217[MM (g/mol)])*B10*0.001</f>
        <v>9.7920000000000016</v>
      </c>
      <c r="C11" s="15"/>
      <c r="E11" s="6"/>
      <c r="F11" s="6" t="str">
        <f>IF(Table591217[[#This Row],[Fmoc Amino Acids]] &lt;&gt; "", LOOKUP(E11,Table2101316[Fmoc-AA],Table2101316[MM (g/mol)]), "")</f>
        <v/>
      </c>
      <c r="G11" s="6" t="str">
        <f>IF(Table591217[[#This Row],[Fmoc Amino Acids]] &lt;&gt; "",Table591217[[#This Row],[Amount (mmol)]]*F11,"")</f>
        <v/>
      </c>
      <c r="H11" s="6" t="str">
        <f>IF(Table591217[[#This Row],[Fmoc Amino Acids]] &lt;&gt; "",$B$5*5,"")</f>
        <v/>
      </c>
      <c r="I11" s="6" t="str">
        <f t="shared" si="0"/>
        <v>RWPT</v>
      </c>
      <c r="J11" s="8" t="str">
        <f>IF(Table17[[#This Row],[Column2]]&lt;&gt;"",CONCATENATE("Fmoc-",RIGHT(I11,1)),"")</f>
        <v>Fmoc-T</v>
      </c>
    </row>
    <row r="12" spans="1:11" ht="18">
      <c r="A12" s="22" t="s">
        <v>16</v>
      </c>
      <c r="B12" s="21">
        <f>B11*139</f>
        <v>1361.0880000000002</v>
      </c>
      <c r="C12" s="15"/>
      <c r="E12" s="6"/>
      <c r="F12" s="6" t="str">
        <f>IF(Table591217[[#This Row],[Fmoc Amino Acids]] &lt;&gt; "", LOOKUP(E12,Table2101316[Fmoc-AA],Table2101316[MM (g/mol)]), "")</f>
        <v/>
      </c>
      <c r="G12" s="6" t="str">
        <f>IF(Table591217[[#This Row],[Fmoc Amino Acids]] &lt;&gt; "",Table591217[[#This Row],[Amount (mmol)]]*F12,"")</f>
        <v/>
      </c>
      <c r="H12" s="6" t="str">
        <f>IF(Table591217[[#This Row],[Fmoc Amino Acids]] &lt;&gt; "",$B$5*5,"")</f>
        <v/>
      </c>
      <c r="I12" s="6" t="str">
        <f t="shared" si="0"/>
        <v>RWP</v>
      </c>
      <c r="J12" s="8" t="str">
        <f>IF(Table17[[#This Row],[Column2]]&lt;&gt;"",CONCATENATE("Fmoc-",RIGHT(I12,1)),"")</f>
        <v>Fmoc-P</v>
      </c>
    </row>
    <row r="13" spans="1:11" ht="18">
      <c r="A13" s="8"/>
      <c r="B13" s="3"/>
      <c r="C13" s="4"/>
      <c r="E13" s="6"/>
      <c r="F13" s="6" t="str">
        <f>IF(Table591217[[#This Row],[Fmoc Amino Acids]] &lt;&gt; "", LOOKUP(E13,Table2101316[Fmoc-AA],Table2101316[MM (g/mol)]), "")</f>
        <v/>
      </c>
      <c r="G13" s="6" t="str">
        <f>IF(Table591217[[#This Row],[Fmoc Amino Acids]] &lt;&gt; "",Table591217[[#This Row],[Amount (mmol)]]*F13,"")</f>
        <v/>
      </c>
      <c r="H13" s="6" t="str">
        <f>IF(Table591217[[#This Row],[Fmoc Amino Acids]] &lt;&gt; "",$B$5*5,"")</f>
        <v/>
      </c>
      <c r="I13" s="6" t="str">
        <f t="shared" si="0"/>
        <v>RW</v>
      </c>
      <c r="J13" s="8" t="str">
        <f>IF(Table17[[#This Row],[Column2]]&lt;&gt;"",CONCATENATE("Fmoc-",RIGHT(I13,1)),"")</f>
        <v>Fmoc-W</v>
      </c>
    </row>
    <row r="14" spans="1:11" ht="18">
      <c r="A14" s="8"/>
      <c r="B14" s="3"/>
      <c r="C14" s="4"/>
      <c r="E14" s="6"/>
      <c r="F14" s="6" t="str">
        <f>IF(Table591217[[#This Row],[Fmoc Amino Acids]] &lt;&gt; "", LOOKUP(E14,Table2101316[Fmoc-AA],Table2101316[MM (g/mol)]), "")</f>
        <v/>
      </c>
      <c r="G14" s="6" t="str">
        <f>IF(Table591217[[#This Row],[Fmoc Amino Acids]] &lt;&gt; "",Table591217[[#This Row],[Amount (mmol)]]*F14,"")</f>
        <v/>
      </c>
      <c r="H14" s="6" t="str">
        <f>IF(Table591217[[#This Row],[Fmoc Amino Acids]] &lt;&gt; "",$B$5*5,"")</f>
        <v/>
      </c>
      <c r="I14" s="6" t="str">
        <f t="shared" si="0"/>
        <v>R</v>
      </c>
      <c r="J14" s="8" t="str">
        <f>IF(Table17[[#This Row],[Column2]]&lt;&gt;"",CONCATENATE("Fmoc-",RIGHT(I14,1)),"")</f>
        <v>Fmoc-R</v>
      </c>
    </row>
    <row r="15" spans="1:11" ht="21">
      <c r="A15" s="29" t="s">
        <v>33</v>
      </c>
      <c r="B15" s="30" t="s">
        <v>10</v>
      </c>
      <c r="C15" s="30" t="s">
        <v>37</v>
      </c>
      <c r="E15" s="6"/>
      <c r="F15" s="10" t="str">
        <f>IF(Table591217[[#This Row],[Fmoc Amino Acids]] &lt;&gt; "", LOOKUP(E15,Table2101316[Fmoc-AA],Table2101316[MM (g/mol)]), "")</f>
        <v/>
      </c>
      <c r="G15" s="10" t="str">
        <f>IF(Table591217[[#This Row],[Fmoc Amino Acids]] &lt;&gt; "",Table591217[[#This Row],[Amount (mmol)]]*F15,"")</f>
        <v/>
      </c>
      <c r="H15" s="10" t="str">
        <f>IF(Table591217[[#This Row],[Fmoc Amino Acids]] &lt;&gt; "",$B$5*5,"")</f>
        <v/>
      </c>
      <c r="I15" s="6" t="str">
        <f t="shared" si="0"/>
        <v/>
      </c>
      <c r="J15" s="8" t="str">
        <f>IF(Table17[[#This Row],[Column2]]&lt;&gt;"",CONCATENATE("Fmoc-",RIGHT(I15,1)),"")</f>
        <v/>
      </c>
    </row>
    <row r="16" spans="1:11" ht="18">
      <c r="A16" s="31" t="s">
        <v>34</v>
      </c>
      <c r="B16" s="32">
        <f>2*$B$5</f>
        <v>0.21760000000000002</v>
      </c>
      <c r="C16" s="32">
        <f>B16*B21</f>
        <v>53.969152000000008</v>
      </c>
      <c r="E16" s="6"/>
      <c r="F16" s="10" t="str">
        <f>IF(Table591217[[#This Row],[Fmoc Amino Acids]] &lt;&gt; "", LOOKUP(E16,Table2101316[Fmoc-AA],Table2101316[MM (g/mol)]), "")</f>
        <v/>
      </c>
      <c r="G16" s="10" t="str">
        <f>IF(Table591217[[#This Row],[Fmoc Amino Acids]] &lt;&gt; "",Table591217[[#This Row],[Amount (mmol)]]*F16,"")</f>
        <v/>
      </c>
      <c r="H16" s="10" t="str">
        <f>IF(Table591217[[#This Row],[Fmoc Amino Acids]] &lt;&gt; "",$B$5*5,"")</f>
        <v/>
      </c>
      <c r="I16" s="6" t="str">
        <f t="shared" si="0"/>
        <v/>
      </c>
      <c r="J16" s="8" t="str">
        <f>IF(Table17[[#This Row],[Column2]]&lt;&gt;"",CONCATENATE("Fmoc-",RIGHT(I16,1)),"")</f>
        <v/>
      </c>
    </row>
    <row r="17" spans="1:10" ht="18">
      <c r="A17" s="33" t="s">
        <v>35</v>
      </c>
      <c r="B17" s="34">
        <v>0.21760000000000002</v>
      </c>
      <c r="C17" s="34">
        <f>B17*379.25</f>
        <v>82.524799999999999</v>
      </c>
      <c r="E17" s="6"/>
      <c r="F17" s="10" t="str">
        <f>IF(Table591217[[#This Row],[Fmoc Amino Acids]] &lt;&gt; "", LOOKUP(E17,Table2101316[Fmoc-AA],Table2101316[MM (g/mol)]), "")</f>
        <v/>
      </c>
      <c r="G17" s="10" t="str">
        <f>IF(Table591217[[#This Row],[Fmoc Amino Acids]] &lt;&gt; "",Table591217[[#This Row],[Amount (mmol)]]*F17,"")</f>
        <v/>
      </c>
      <c r="H17" s="10" t="str">
        <f>IF(Table591217[[#This Row],[Fmoc Amino Acids]] &lt;&gt; "",$B$5*5,"")</f>
        <v/>
      </c>
      <c r="I17" s="6" t="str">
        <f t="shared" si="0"/>
        <v/>
      </c>
      <c r="J17" s="8" t="str">
        <f>IF(Table17[[#This Row],[Column2]]&lt;&gt;"",CONCATENATE("Fmoc-",RIGHT(I17,1)),"")</f>
        <v/>
      </c>
    </row>
    <row r="18" spans="1:10" ht="18">
      <c r="A18" s="31" t="s">
        <v>36</v>
      </c>
      <c r="B18" s="32">
        <f>2*$B$5</f>
        <v>0.21760000000000002</v>
      </c>
      <c r="C18" s="35">
        <f>B18*126.2/(1000*0.806)</f>
        <v>3.4070868486352358E-2</v>
      </c>
      <c r="E18" s="6"/>
      <c r="F18" s="10" t="str">
        <f>IF(Table591217[[#This Row],[Fmoc Amino Acids]] &lt;&gt; "", LOOKUP(E18,Table2101316[Fmoc-AA],Table2101316[MM (g/mol)]), "")</f>
        <v/>
      </c>
      <c r="G18" s="10" t="str">
        <f>IF(Table591217[[#This Row],[Fmoc Amino Acids]] &lt;&gt; "",Table591217[[#This Row],[Amount (mmol)]]*F18,"")</f>
        <v/>
      </c>
      <c r="H18" s="10" t="str">
        <f>IF(Table591217[[#This Row],[Fmoc Amino Acids]] &lt;&gt; "",$B$5*5,"")</f>
        <v/>
      </c>
      <c r="I18" s="6" t="str">
        <f t="shared" si="0"/>
        <v/>
      </c>
      <c r="J18" s="8" t="str">
        <f>IF(Table17[[#This Row],[Column2]]&lt;&gt;"",CONCATENATE("Fmoc-",RIGHT(I18,1)),"")</f>
        <v/>
      </c>
    </row>
    <row r="19" spans="1:10" ht="18">
      <c r="A19" s="36"/>
      <c r="B19" s="34"/>
      <c r="C19" s="37"/>
      <c r="E19" s="6"/>
      <c r="F19" s="10" t="str">
        <f>IF(Table591217[[#This Row],[Fmoc Amino Acids]] &lt;&gt; "", LOOKUP(E19,Table2101316[Fmoc-AA],Table2101316[MM (g/mol)]), "")</f>
        <v/>
      </c>
      <c r="G19" s="10" t="str">
        <f>IF(Table591217[[#This Row],[Fmoc Amino Acids]] &lt;&gt; "",Table591217[[#This Row],[Amount (mmol)]]*F19,"")</f>
        <v/>
      </c>
      <c r="H19" s="10" t="str">
        <f>IF(Table591217[[#This Row],[Fmoc Amino Acids]] &lt;&gt; "",$B$5*5,"")</f>
        <v/>
      </c>
      <c r="I19" s="6" t="str">
        <f t="shared" si="0"/>
        <v/>
      </c>
      <c r="J19" s="8" t="str">
        <f>IF(Table17[[#This Row],[Column2]]&lt;&gt;"",CONCATENATE("Fmoc-",RIGHT(I19,1)),"")</f>
        <v/>
      </c>
    </row>
    <row r="20" spans="1:10" ht="18">
      <c r="E20" s="6"/>
      <c r="F20" s="10" t="str">
        <f>IF(Table591217[[#This Row],[Fmoc Amino Acids]] &lt;&gt; "", LOOKUP(E20,Table2101316[Fmoc-AA],Table2101316[MM (g/mol)]), "")</f>
        <v/>
      </c>
      <c r="G20" s="10" t="str">
        <f>IF(Table591217[[#This Row],[Fmoc Amino Acids]] &lt;&gt; "",Table591217[[#This Row],[Amount (mmol)]]*F20,"")</f>
        <v/>
      </c>
      <c r="H20" s="10" t="str">
        <f>IF(Table591217[[#This Row],[Fmoc Amino Acids]] &lt;&gt; "",$B$5*5,"")</f>
        <v/>
      </c>
      <c r="I20" s="6" t="str">
        <f t="shared" si="0"/>
        <v/>
      </c>
      <c r="J20" s="8" t="str">
        <f>IF(Table17[[#This Row],[Column2]]&lt;&gt;"",CONCATENATE("Fmoc-",RIGHT(I20,1)),"")</f>
        <v/>
      </c>
    </row>
    <row r="21" spans="1:10" ht="18">
      <c r="A21" t="s">
        <v>38</v>
      </c>
      <c r="B21" s="38">
        <v>248.02</v>
      </c>
      <c r="E21" s="6"/>
      <c r="F21" s="10" t="str">
        <f>IF(Table591217[[#This Row],[Fmoc Amino Acids]] &lt;&gt; "", LOOKUP(E21,Table2101316[Fmoc-AA],Table2101316[MM (g/mol)]), "")</f>
        <v/>
      </c>
      <c r="G21" s="10" t="str">
        <f>IF(Table591217[[#This Row],[Fmoc Amino Acids]] &lt;&gt; "",Table591217[[#This Row],[Amount (mmol)]]*F21,"")</f>
        <v/>
      </c>
      <c r="H21" s="10" t="str">
        <f>IF(Table591217[[#This Row],[Fmoc Amino Acids]] &lt;&gt; "",$B$5*5,"")</f>
        <v/>
      </c>
      <c r="I21" s="6" t="str">
        <f t="shared" si="0"/>
        <v/>
      </c>
      <c r="J21" s="8" t="str">
        <f>IF(Table17[[#This Row],[Column2]]&lt;&gt;"",CONCATENATE("Fmoc-",RIGHT(I21,1)),"")</f>
        <v/>
      </c>
    </row>
    <row r="22" spans="1:10">
      <c r="E22" s="4" t="s">
        <v>18</v>
      </c>
      <c r="F22" s="4"/>
      <c r="G22" s="4"/>
      <c r="H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 horizontalDpi="4294967292" verticalDpi="4294967292"/>
  <ignoredErrors>
    <ignoredError sqref="I2:I22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5</v>
      </c>
      <c r="B1" s="8" t="s">
        <v>22</v>
      </c>
      <c r="D1" s="5" t="s">
        <v>21</v>
      </c>
      <c r="E1" s="8" t="s">
        <v>14</v>
      </c>
      <c r="F1" s="8"/>
      <c r="G1" s="8"/>
    </row>
    <row r="2" spans="1:7" ht="16">
      <c r="A2" s="6" t="s">
        <v>23</v>
      </c>
      <c r="B2" s="2">
        <v>0.32</v>
      </c>
      <c r="D2" s="11" t="s">
        <v>29</v>
      </c>
      <c r="E2" s="24">
        <v>156.27000000000001</v>
      </c>
      <c r="F2" s="6"/>
      <c r="G2" s="6"/>
    </row>
    <row r="3" spans="1:7" ht="16">
      <c r="A3" s="11" t="s">
        <v>19</v>
      </c>
      <c r="B3" s="12">
        <v>0.32</v>
      </c>
      <c r="D3" s="11" t="s">
        <v>31</v>
      </c>
      <c r="E3" s="24">
        <v>248.02</v>
      </c>
      <c r="F3" s="6"/>
      <c r="G3" s="6"/>
    </row>
    <row r="4" spans="1:7" ht="16">
      <c r="D4" s="6" t="s">
        <v>30</v>
      </c>
      <c r="E4" s="9">
        <v>629.79</v>
      </c>
      <c r="F4" s="6"/>
      <c r="G4" s="6"/>
    </row>
    <row r="5" spans="1:7" ht="16">
      <c r="D5" s="6" t="s">
        <v>19</v>
      </c>
      <c r="E5" s="9">
        <v>353.4</v>
      </c>
      <c r="F5" s="6"/>
      <c r="G5" s="6"/>
    </row>
    <row r="6" spans="1:7" ht="16">
      <c r="D6" s="6" t="s">
        <v>2</v>
      </c>
      <c r="E6" s="9">
        <v>337.37</v>
      </c>
      <c r="F6" s="6"/>
      <c r="G6" s="6"/>
    </row>
    <row r="7" spans="1:7" ht="16">
      <c r="D7" s="6" t="s">
        <v>4</v>
      </c>
      <c r="E7" s="9">
        <v>648.79999999999995</v>
      </c>
      <c r="F7" s="6"/>
      <c r="G7" s="6"/>
    </row>
    <row r="8" spans="1:7" ht="16">
      <c r="D8" s="6" t="s">
        <v>0</v>
      </c>
      <c r="E8" s="9">
        <v>383.4</v>
      </c>
      <c r="F8" s="6"/>
      <c r="G8" s="6"/>
    </row>
    <row r="9" spans="1:7" ht="16">
      <c r="D9" s="6" t="s">
        <v>1</v>
      </c>
      <c r="E9" s="9">
        <v>397.5</v>
      </c>
      <c r="F9" s="6"/>
      <c r="G9" s="6"/>
    </row>
    <row r="10" spans="1:7" ht="16">
      <c r="D10" s="6" t="s">
        <v>20</v>
      </c>
      <c r="E10" s="9">
        <v>339.4</v>
      </c>
      <c r="F10" s="6"/>
      <c r="G10" s="23"/>
    </row>
    <row r="11" spans="1:7" ht="16">
      <c r="D11" s="6" t="s">
        <v>3</v>
      </c>
      <c r="E11" s="9">
        <v>526.6</v>
      </c>
    </row>
    <row r="14" spans="1:7">
      <c r="A14" s="28" t="s">
        <v>25</v>
      </c>
      <c r="B14" s="28"/>
      <c r="C14" s="28"/>
      <c r="D14" s="28"/>
      <c r="E14" s="28"/>
      <c r="F14" s="28"/>
    </row>
    <row r="15" spans="1:7">
      <c r="A15" s="28"/>
      <c r="B15" s="28"/>
      <c r="C15" s="28"/>
      <c r="D15" s="28"/>
      <c r="E15" s="28"/>
      <c r="F15" s="28"/>
    </row>
    <row r="16" spans="1:7">
      <c r="A16" s="28"/>
      <c r="B16" s="28"/>
      <c r="C16" s="28"/>
      <c r="D16" s="28"/>
      <c r="E16" s="28"/>
      <c r="F16" s="28"/>
    </row>
    <row r="17" spans="1:6">
      <c r="A17" s="28"/>
      <c r="B17" s="28"/>
      <c r="C17" s="28"/>
      <c r="D17" s="28"/>
      <c r="E17" s="28"/>
      <c r="F17" s="28"/>
    </row>
  </sheetData>
  <mergeCells count="1">
    <mergeCell ref="A14:F17"/>
  </mergeCells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2017-04-25T17:54:41Z</dcterms:modified>
</cp:coreProperties>
</file>