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 Non-Admin\Documents\DocsBF\Finances\Models\"/>
    </mc:Choice>
  </mc:AlternateContent>
  <xr:revisionPtr revIDLastSave="0" documentId="13_ncr:1_{96CF8FEF-7612-48C4-B64D-B3724666983B}" xr6:coauthVersionLast="45" xr6:coauthVersionMax="45" xr10:uidLastSave="{00000000-0000-0000-0000-000000000000}"/>
  <bookViews>
    <workbookView xWindow="-110" yWindow="-110" windowWidth="19420" windowHeight="10420" activeTab="2" xr2:uid="{4D9B9DEF-B412-48B6-8A04-1B131674ABA6}"/>
  </bookViews>
  <sheets>
    <sheet name="Scenario Params" sheetId="5" r:id="rId1"/>
    <sheet name="Yearly Schedule" sheetId="2" r:id="rId2"/>
    <sheet name="Scenario Outcom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6" l="1"/>
  <c r="E27" i="6" l="1"/>
  <c r="C27" i="6"/>
  <c r="C17" i="2" l="1"/>
  <c r="C5" i="2"/>
  <c r="D5" i="2"/>
  <c r="I7" i="5" l="1"/>
  <c r="E28" i="6" l="1"/>
  <c r="C28" i="6"/>
  <c r="D28" i="6"/>
  <c r="D22" i="2"/>
  <c r="E22" i="2" s="1"/>
  <c r="F22" i="2" l="1"/>
  <c r="G22" i="2" s="1"/>
  <c r="E26" i="2"/>
  <c r="D26" i="2"/>
  <c r="C26" i="2"/>
  <c r="D15" i="2"/>
  <c r="D18" i="2" s="1"/>
  <c r="D19" i="2" s="1"/>
  <c r="C14" i="2"/>
  <c r="C15" i="2" s="1"/>
  <c r="C18" i="2" s="1"/>
  <c r="C19" i="2" s="1"/>
  <c r="F26" i="2" l="1"/>
  <c r="F23" i="2"/>
  <c r="E23" i="2"/>
  <c r="C23" i="2"/>
  <c r="D23" i="2"/>
  <c r="G23" i="2"/>
  <c r="D25" i="2"/>
  <c r="D27" i="2" s="1"/>
  <c r="E25" i="2"/>
  <c r="E27" i="2" s="1"/>
  <c r="C25" i="2"/>
  <c r="C27" i="2" s="1"/>
  <c r="F25" i="2"/>
  <c r="F27" i="2" s="1"/>
  <c r="G25" i="2"/>
  <c r="G26" i="2"/>
  <c r="H22" i="2"/>
  <c r="H23" i="2" s="1"/>
  <c r="C20" i="2"/>
  <c r="H25" i="2" l="1"/>
  <c r="F29" i="2"/>
  <c r="F30" i="2" s="1"/>
  <c r="E29" i="2"/>
  <c r="E30" i="2" s="1"/>
  <c r="G27" i="2"/>
  <c r="G29" i="2" s="1"/>
  <c r="G30" i="2" s="1"/>
  <c r="I22" i="2"/>
  <c r="H26" i="2"/>
  <c r="C29" i="2"/>
  <c r="D29" i="2"/>
  <c r="D30" i="2" s="1"/>
  <c r="H27" i="2" l="1"/>
  <c r="H29" i="2" s="1"/>
  <c r="H30" i="2" s="1"/>
  <c r="I25" i="2"/>
  <c r="I23" i="2"/>
  <c r="C30" i="2"/>
  <c r="J22" i="2"/>
  <c r="I26" i="2"/>
  <c r="I27" i="2" l="1"/>
  <c r="I29" i="2" s="1"/>
  <c r="I30" i="2" s="1"/>
  <c r="J23" i="2"/>
  <c r="J25" i="2"/>
  <c r="K22" i="2"/>
  <c r="J26" i="2"/>
  <c r="K23" i="2" l="1"/>
  <c r="K25" i="2"/>
  <c r="J27" i="2"/>
  <c r="J29" i="2" s="1"/>
  <c r="J30" i="2" s="1"/>
  <c r="K26" i="2"/>
  <c r="L22" i="2"/>
  <c r="L25" i="2" l="1"/>
  <c r="L23" i="2"/>
  <c r="K27" i="2"/>
  <c r="K29" i="2" s="1"/>
  <c r="K30" i="2" s="1"/>
  <c r="L26" i="2"/>
  <c r="L27" i="2" l="1"/>
  <c r="L29" i="2" s="1"/>
  <c r="L30" i="2" l="1"/>
  <c r="C32" i="2"/>
</calcChain>
</file>

<file path=xl/sharedStrings.xml><?xml version="1.0" encoding="utf-8"?>
<sst xmlns="http://schemas.openxmlformats.org/spreadsheetml/2006/main" count="56" uniqueCount="40">
  <si>
    <t>Coffees Per Day</t>
  </si>
  <si>
    <t>Keurig Machine</t>
  </si>
  <si>
    <t>Dunkin</t>
  </si>
  <si>
    <t>Keurig</t>
  </si>
  <si>
    <t>Cost Per Cup</t>
  </si>
  <si>
    <t>-</t>
  </si>
  <si>
    <t>Cup Description</t>
  </si>
  <si>
    <t>Medium Dunkin Iced Coffee</t>
  </si>
  <si>
    <t>Starbucks Pike Place Medium Roast K-Cup, 72-count</t>
  </si>
  <si>
    <t>Year</t>
  </si>
  <si>
    <t>Total Savings</t>
  </si>
  <si>
    <t>Cost Per Day</t>
  </si>
  <si>
    <t>Cost Per Year</t>
  </si>
  <si>
    <t>Dunkin Cost Per Year</t>
  </si>
  <si>
    <t>Keurig Cost Per Year</t>
  </si>
  <si>
    <t>Amortized Keurig Machine Cost</t>
  </si>
  <si>
    <t>Savings Per Year</t>
  </si>
  <si>
    <t>Savings Per Month</t>
  </si>
  <si>
    <t>Scenario</t>
  </si>
  <si>
    <t>Everyday Per Year</t>
  </si>
  <si>
    <t>Weekends Only</t>
  </si>
  <si>
    <t>Only Morning Coffees</t>
  </si>
  <si>
    <t>Keurig Machine Lifespan (Years)</t>
  </si>
  <si>
    <t>Box of Pods Cost</t>
  </si>
  <si>
    <t>Pods Per Box of Pods</t>
  </si>
  <si>
    <t>Cups Per Day</t>
  </si>
  <si>
    <t>Cost Per Month</t>
  </si>
  <si>
    <t xml:space="preserve">  Scenario:</t>
  </si>
  <si>
    <t>Total Savings Over 10 Years</t>
  </si>
  <si>
    <t>Description</t>
  </si>
  <si>
    <t>Base scenario</t>
  </si>
  <si>
    <t>Drinking coffees at work during the week</t>
  </si>
  <si>
    <t>Drinking coffees at work in the afternoon</t>
  </si>
  <si>
    <t>Only Morning Coffees with pre-workout</t>
  </si>
  <si>
    <t>Drinking coffees at work in the afternoon, only one keuring in morning</t>
  </si>
  <si>
    <t>Average</t>
  </si>
  <si>
    <t>Weighted Average</t>
  </si>
  <si>
    <t>P(Scenario)</t>
  </si>
  <si>
    <t>Keurig Total Cost Per Year</t>
  </si>
  <si>
    <t>Coffee Drinking Days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</si>
</sst>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_);[Red]\(&quot;$&quot;#,##0\);_(&quot;-&quot;_);_(@_)"/>
    <numFmt numFmtId="165" formatCode="\ \ 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7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8"/>
      <color theme="1"/>
      <name val="Arial"/>
      <family val="2"/>
    </font>
    <font>
      <sz val="11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 style="dotted">
        <color theme="0" tint="-0.2499465926084170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 applyBorder="1"/>
    <xf numFmtId="8" fontId="2" fillId="2" borderId="3" xfId="0" applyNumberFormat="1" applyFont="1" applyFill="1" applyBorder="1"/>
    <xf numFmtId="8" fontId="2" fillId="2" borderId="0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6" fontId="2" fillId="2" borderId="3" xfId="0" applyNumberFormat="1" applyFont="1" applyFill="1" applyBorder="1"/>
    <xf numFmtId="6" fontId="2" fillId="2" borderId="0" xfId="0" applyNumberFormat="1" applyFont="1" applyFill="1"/>
    <xf numFmtId="0" fontId="1" fillId="2" borderId="4" xfId="0" applyFont="1" applyFill="1" applyBorder="1"/>
    <xf numFmtId="8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/>
    <xf numFmtId="0" fontId="1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1" fillId="2" borderId="8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6" fontId="1" fillId="3" borderId="0" xfId="0" applyNumberFormat="1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/>
    <xf numFmtId="164" fontId="2" fillId="2" borderId="0" xfId="0" applyNumberFormat="1" applyFont="1" applyFill="1" applyBorder="1"/>
    <xf numFmtId="0" fontId="5" fillId="2" borderId="0" xfId="0" applyFont="1" applyFill="1" applyBorder="1"/>
    <xf numFmtId="0" fontId="5" fillId="2" borderId="0" xfId="0" applyFont="1" applyFill="1"/>
    <xf numFmtId="8" fontId="7" fillId="2" borderId="0" xfId="0" applyNumberFormat="1" applyFont="1" applyFill="1" applyBorder="1"/>
    <xf numFmtId="8" fontId="7" fillId="2" borderId="3" xfId="0" applyNumberFormat="1" applyFont="1" applyFill="1" applyBorder="1"/>
    <xf numFmtId="38" fontId="7" fillId="2" borderId="3" xfId="0" applyNumberFormat="1" applyFont="1" applyFill="1" applyBorder="1"/>
    <xf numFmtId="0" fontId="7" fillId="2" borderId="3" xfId="0" applyFont="1" applyFill="1" applyBorder="1"/>
    <xf numFmtId="0" fontId="2" fillId="2" borderId="0" xfId="0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3" fillId="2" borderId="3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left"/>
    </xf>
    <xf numFmtId="0" fontId="4" fillId="2" borderId="0" xfId="0" applyNumberFormat="1" applyFon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Coffee Drinking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Outcomes'!$C$21</c:f>
              <c:strCache>
                <c:ptCount val="1"/>
                <c:pt idx="0">
                  <c:v>Savings Per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'Scenario Outcomes'!$B$22:$B$27</c15:sqref>
                  </c15:fullRef>
                </c:ext>
              </c:extLst>
              <c:f>('Scenario Outcomes'!$B$22:$B$25,'Scenario Outcomes'!$B$27)</c:f>
              <c:strCache>
                <c:ptCount val="5"/>
                <c:pt idx="0">
                  <c:v>Everyday Per Year</c:v>
                </c:pt>
                <c:pt idx="1">
                  <c:v>Weekends Only</c:v>
                </c:pt>
                <c:pt idx="2">
                  <c:v>Only Morning Coffees</c:v>
                </c:pt>
                <c:pt idx="3">
                  <c:v>Only Morning Coffees with pre-workout</c:v>
                </c:pt>
                <c:pt idx="4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Outcomes'!$C$22:$C$27</c15:sqref>
                  </c15:fullRef>
                </c:ext>
              </c:extLst>
              <c:f>('Scenario Outcomes'!$C$22:$C$25,'Scenario Outcomes'!$C$27)</c:f>
              <c:numCache>
                <c:formatCode>"$"#,##0_);[Red]\("$"#,##0\)</c:formatCode>
                <c:ptCount val="5"/>
                <c:pt idx="0">
                  <c:v>144.41492361111111</c:v>
                </c:pt>
                <c:pt idx="1">
                  <c:v>39.897111111111116</c:v>
                </c:pt>
                <c:pt idx="2">
                  <c:v>64.364171296296277</c:v>
                </c:pt>
                <c:pt idx="3">
                  <c:v>78.300918981481473</c:v>
                </c:pt>
                <c:pt idx="4">
                  <c:v>81.744281249999986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66-40B9-B346-64A860DD6B92}"/>
            </c:ext>
          </c:extLst>
        </c:ser>
        <c:ser>
          <c:idx val="1"/>
          <c:order val="1"/>
          <c:tx>
            <c:strRef>
              <c:f>'Scenario Outcomes'!$D$21</c:f>
              <c:strCache>
                <c:ptCount val="1"/>
                <c:pt idx="0">
                  <c:v>Savings Per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'Scenario Outcomes'!$B$22:$B$27</c15:sqref>
                  </c15:fullRef>
                </c:ext>
              </c:extLst>
              <c:f>('Scenario Outcomes'!$B$22:$B$25,'Scenario Outcomes'!$B$27)</c:f>
              <c:strCache>
                <c:ptCount val="5"/>
                <c:pt idx="0">
                  <c:v>Everyday Per Year</c:v>
                </c:pt>
                <c:pt idx="1">
                  <c:v>Weekends Only</c:v>
                </c:pt>
                <c:pt idx="2">
                  <c:v>Only Morning Coffees</c:v>
                </c:pt>
                <c:pt idx="3">
                  <c:v>Only Morning Coffees with pre-workout</c:v>
                </c:pt>
                <c:pt idx="4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'Scenario Outcomes'!$D$22:$D$27</c15:sqref>
                  </c15:fullRef>
                </c:ext>
              </c:extLst>
              <c:f>('Scenario Outcomes'!$D$22:$D$25,'Scenario Outcomes'!$D$27)</c:f>
              <c:numCache>
                <c:formatCode>"$"#,##0_);[Red]\("$"#,##0\)</c:formatCode>
                <c:ptCount val="5"/>
                <c:pt idx="0">
                  <c:v>1732.9790833333332</c:v>
                </c:pt>
                <c:pt idx="1">
                  <c:v>478.76533333333339</c:v>
                </c:pt>
                <c:pt idx="2">
                  <c:v>772.37005555555538</c:v>
                </c:pt>
                <c:pt idx="3">
                  <c:v>939.61102777777774</c:v>
                </c:pt>
                <c:pt idx="4">
                  <c:v>980.93137499999989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0B9-B346-64A860DD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054808"/>
        <c:axId val="506053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'Scenario Outcomes'!$E$21</c15:sqref>
                        </c15:formulaRef>
                      </c:ext>
                    </c:extLst>
                    <c:strCache>
                      <c:ptCount val="1"/>
                      <c:pt idx="0">
                        <c:v>Total Savings Over 10 Years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1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'Scenario Outcomes'!$B$22:$B$27</c15:sqref>
                        </c15:fullRef>
                        <c15:formulaRef>
                          <c15:sqref>('Scenario Outcomes'!$B$22:$B$25,'Scenario Outcomes'!$B$27)</c15:sqref>
                        </c15:formulaRef>
                      </c:ext>
                    </c:extLst>
                    <c:strCache>
                      <c:ptCount val="5"/>
                      <c:pt idx="0">
                        <c:v>Everyday Per Year</c:v>
                      </c:pt>
                      <c:pt idx="1">
                        <c:v>Weekends Only</c:v>
                      </c:pt>
                      <c:pt idx="2">
                        <c:v>Only Morning Coffees</c:v>
                      </c:pt>
                      <c:pt idx="3">
                        <c:v>Only Morning Coffees with pre-workout</c:v>
                      </c:pt>
                      <c:pt idx="4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'Scenario Outcomes'!$E$22:$E$27</c15:sqref>
                        </c15:fullRef>
                        <c15:formulaRef>
                          <c15:sqref>('Scenario Outcomes'!$E$22:$E$25,'Scenario Outcomes'!$E$27)</c15:sqref>
                        </c15:formulaRef>
                      </c:ext>
                    </c:extLst>
                    <c:numCache>
                      <c:formatCode>"$"#,##0_);[Red]\("$"#,##0\)</c:formatCode>
                      <c:ptCount val="5"/>
                      <c:pt idx="0">
                        <c:v>17329.790833333333</c:v>
                      </c:pt>
                      <c:pt idx="1">
                        <c:v>4787.6533333333336</c:v>
                      </c:pt>
                      <c:pt idx="2">
                        <c:v>7723.7005555555525</c:v>
                      </c:pt>
                      <c:pt idx="3">
                        <c:v>9396.1102777777778</c:v>
                      </c:pt>
                      <c:pt idx="4">
                        <c:v>9809.3137499999993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366-40B9-B346-64A860DD6B92}"/>
                  </c:ext>
                </c:extLst>
              </c15:ser>
            </c15:filteredBarSeries>
          </c:ext>
        </c:extLst>
      </c:barChart>
      <c:catAx>
        <c:axId val="50605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053496"/>
        <c:crosses val="autoZero"/>
        <c:auto val="1"/>
        <c:lblAlgn val="ctr"/>
        <c:lblOffset val="100"/>
        <c:noMultiLvlLbl val="0"/>
      </c:catAx>
      <c:valAx>
        <c:axId val="506053496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605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244475</xdr:colOff>
      <xdr:row>1</xdr:row>
      <xdr:rowOff>3175</xdr:rowOff>
    </xdr:from>
    <xdr:to>
      <xdr:col>11</xdr:col>
      <xdr:colOff>425451</xdr:colOff>
      <xdr:row>18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BE556-BAAA-4873-8FA0-51A9751A8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0ECB-2763-4D0D-ADED-3CB827082BAB}">
  <dimension ref="B2:I7"/>
  <sheetViews>
    <sheetView workbookViewId="0">
      <selection activeCell="G3" sqref="G3"/>
    </sheetView>
  </sheetViews>
  <sheetFormatPr defaultRowHeight="14" x14ac:dyDescent="0.3"/>
  <cols>
    <col min="1" max="1" width="1.90625" style="2" customWidth="1"/>
    <col min="2" max="2" width="35.26953125" style="2" bestFit="1" customWidth="1"/>
    <col min="3" max="3" width="26.6328125" style="2" bestFit="1" customWidth="1"/>
    <col min="4" max="4" width="1.90625" style="2" customWidth="1"/>
    <col min="5" max="5" width="29.36328125" style="2" bestFit="1" customWidth="1"/>
    <col min="6" max="7" width="10.6328125" style="2" customWidth="1"/>
    <col min="8" max="8" width="1.90625" style="2" customWidth="1"/>
    <col min="9" max="9" width="11.6328125" style="2" bestFit="1" customWidth="1"/>
    <col min="10" max="16384" width="8.7265625" style="2"/>
  </cols>
  <sheetData>
    <row r="2" spans="2:9" x14ac:dyDescent="0.3">
      <c r="F2" s="16" t="s">
        <v>0</v>
      </c>
      <c r="G2" s="16"/>
    </row>
    <row r="3" spans="2:9" ht="20" customHeight="1" x14ac:dyDescent="0.3">
      <c r="B3" s="21" t="s">
        <v>18</v>
      </c>
      <c r="C3" s="17" t="s">
        <v>29</v>
      </c>
      <c r="D3" s="40"/>
      <c r="E3" s="18" t="s">
        <v>39</v>
      </c>
      <c r="F3" s="18" t="s">
        <v>3</v>
      </c>
      <c r="G3" s="18" t="s">
        <v>2</v>
      </c>
      <c r="I3" s="18" t="s">
        <v>37</v>
      </c>
    </row>
    <row r="4" spans="2:9" x14ac:dyDescent="0.3">
      <c r="B4" s="22" t="s">
        <v>19</v>
      </c>
      <c r="C4" s="19" t="s">
        <v>30</v>
      </c>
      <c r="D4" s="19"/>
      <c r="E4" s="2">
        <v>365</v>
      </c>
      <c r="F4" s="2">
        <v>3</v>
      </c>
      <c r="G4" s="2">
        <v>2</v>
      </c>
      <c r="I4" s="19">
        <v>0.01</v>
      </c>
    </row>
    <row r="5" spans="2:9" x14ac:dyDescent="0.3">
      <c r="B5" s="22" t="s">
        <v>20</v>
      </c>
      <c r="C5" s="19" t="s">
        <v>31</v>
      </c>
      <c r="D5" s="19"/>
      <c r="E5" s="2">
        <v>104</v>
      </c>
      <c r="F5" s="2">
        <v>3</v>
      </c>
      <c r="G5" s="2">
        <v>2</v>
      </c>
      <c r="I5" s="19">
        <v>0.15</v>
      </c>
    </row>
    <row r="6" spans="2:9" x14ac:dyDescent="0.3">
      <c r="B6" s="22" t="s">
        <v>21</v>
      </c>
      <c r="C6" s="19" t="s">
        <v>32</v>
      </c>
      <c r="D6" s="19"/>
      <c r="E6" s="2">
        <v>365</v>
      </c>
      <c r="F6" s="2">
        <v>2</v>
      </c>
      <c r="G6" s="2">
        <v>1</v>
      </c>
      <c r="I6" s="19">
        <v>0.09</v>
      </c>
    </row>
    <row r="7" spans="2:9" ht="20" x14ac:dyDescent="0.3">
      <c r="B7" s="22" t="s">
        <v>33</v>
      </c>
      <c r="C7" s="20" t="s">
        <v>34</v>
      </c>
      <c r="D7" s="20"/>
      <c r="E7" s="2">
        <v>365</v>
      </c>
      <c r="F7" s="2">
        <v>1</v>
      </c>
      <c r="G7" s="2">
        <v>1</v>
      </c>
      <c r="I7" s="20">
        <f>1-SUM(I4:I6)</f>
        <v>0.75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9262-7EDE-40FA-B44A-FBBCB04F5DC9}">
  <dimension ref="B2:L32"/>
  <sheetViews>
    <sheetView workbookViewId="0">
      <selection activeCell="C4" sqref="C4"/>
    </sheetView>
  </sheetViews>
  <sheetFormatPr defaultRowHeight="14" x14ac:dyDescent="0.3"/>
  <cols>
    <col min="1" max="1" width="1.90625" style="2" customWidth="1"/>
    <col min="2" max="2" width="38.1796875" style="2" bestFit="1" customWidth="1"/>
    <col min="3" max="3" width="35.26953125" style="2" bestFit="1" customWidth="1"/>
    <col min="4" max="12" width="20.6328125" style="2" customWidth="1"/>
    <col min="13" max="16384" width="8.7265625" style="2"/>
  </cols>
  <sheetData>
    <row r="2" spans="2:4" x14ac:dyDescent="0.3">
      <c r="B2" s="15" t="s">
        <v>27</v>
      </c>
      <c r="C2" s="27" t="s">
        <v>33</v>
      </c>
    </row>
    <row r="4" spans="2:4" x14ac:dyDescent="0.3">
      <c r="C4" s="3" t="s">
        <v>3</v>
      </c>
      <c r="D4" s="3" t="s">
        <v>2</v>
      </c>
    </row>
    <row r="5" spans="2:4" x14ac:dyDescent="0.3">
      <c r="B5" s="3" t="s">
        <v>25</v>
      </c>
      <c r="C5" s="25">
        <f>VLOOKUP($C$2, 'Scenario Params'!$B:$G, MATCH(C$4, 'Scenario Params'!$B$3:$G$3, 0), 0)</f>
        <v>1</v>
      </c>
      <c r="D5" s="26">
        <f>VLOOKUP($C$2, 'Scenario Params'!$B:$G, MATCH(D$4, 'Scenario Params'!$B$3:$G$3, 0), 0)</f>
        <v>1</v>
      </c>
    </row>
    <row r="6" spans="2:4" x14ac:dyDescent="0.3">
      <c r="B6" s="36"/>
      <c r="C6" s="4"/>
      <c r="D6" s="5"/>
    </row>
    <row r="7" spans="2:4" x14ac:dyDescent="0.3">
      <c r="B7" s="3" t="s">
        <v>1</v>
      </c>
      <c r="C7" s="4"/>
      <c r="D7" s="5"/>
    </row>
    <row r="8" spans="2:4" ht="14.5" x14ac:dyDescent="0.35">
      <c r="B8" s="37" t="s">
        <v>1</v>
      </c>
      <c r="C8" s="33">
        <v>104.99</v>
      </c>
      <c r="D8" s="13" t="s">
        <v>5</v>
      </c>
    </row>
    <row r="9" spans="2:4" ht="14.5" x14ac:dyDescent="0.35">
      <c r="B9" s="37" t="s">
        <v>22</v>
      </c>
      <c r="C9" s="34">
        <v>10</v>
      </c>
      <c r="D9" s="8" t="s">
        <v>5</v>
      </c>
    </row>
    <row r="10" spans="2:4" ht="14.5" x14ac:dyDescent="0.35">
      <c r="B10" s="37" t="s">
        <v>24</v>
      </c>
      <c r="C10" s="35">
        <v>72</v>
      </c>
      <c r="D10" s="9" t="s">
        <v>5</v>
      </c>
    </row>
    <row r="11" spans="2:4" ht="14.5" x14ac:dyDescent="0.35">
      <c r="B11" s="37" t="s">
        <v>23</v>
      </c>
      <c r="C11" s="33">
        <v>32.99</v>
      </c>
      <c r="D11" s="9" t="s">
        <v>5</v>
      </c>
    </row>
    <row r="12" spans="2:4" x14ac:dyDescent="0.3">
      <c r="B12" s="36"/>
      <c r="C12" s="4"/>
      <c r="D12" s="5"/>
    </row>
    <row r="13" spans="2:4" x14ac:dyDescent="0.3">
      <c r="B13" s="3" t="s">
        <v>6</v>
      </c>
      <c r="C13" s="38" t="s">
        <v>8</v>
      </c>
      <c r="D13" s="39" t="s">
        <v>7</v>
      </c>
    </row>
    <row r="14" spans="2:4" x14ac:dyDescent="0.3">
      <c r="B14" s="3" t="s">
        <v>4</v>
      </c>
      <c r="C14" s="6">
        <f>C11/C10</f>
        <v>0.45819444444444446</v>
      </c>
      <c r="D14" s="32">
        <v>3.09</v>
      </c>
    </row>
    <row r="15" spans="2:4" x14ac:dyDescent="0.3">
      <c r="B15" s="3" t="s">
        <v>11</v>
      </c>
      <c r="C15" s="6">
        <f>C14*C5</f>
        <v>0.45819444444444446</v>
      </c>
      <c r="D15" s="7">
        <f>D14*D5</f>
        <v>3.09</v>
      </c>
    </row>
    <row r="16" spans="2:4" x14ac:dyDescent="0.3">
      <c r="B16" s="36"/>
      <c r="C16" s="4"/>
    </row>
    <row r="17" spans="2:12" x14ac:dyDescent="0.3">
      <c r="B17" s="3" t="s">
        <v>39</v>
      </c>
      <c r="C17" s="28">
        <f>VLOOKUP($C$2, 'Scenario Params'!$B:$G, MATCH($B$17, 'Scenario Params'!$B$3:$G$3, 0), 0)</f>
        <v>365</v>
      </c>
    </row>
    <row r="18" spans="2:12" x14ac:dyDescent="0.3">
      <c r="B18" s="3" t="s">
        <v>12</v>
      </c>
      <c r="C18" s="10">
        <f>$C$17*C15+$C$8/$C$9</f>
        <v>177.73997222222224</v>
      </c>
      <c r="D18" s="11">
        <f>$C$17*D15</f>
        <v>1127.8499999999999</v>
      </c>
    </row>
    <row r="19" spans="2:12" x14ac:dyDescent="0.3">
      <c r="B19" s="3" t="s">
        <v>26</v>
      </c>
      <c r="C19" s="10">
        <f>C18/12</f>
        <v>14.811664351851853</v>
      </c>
      <c r="D19" s="10">
        <f>D18/12</f>
        <v>93.987499999999997</v>
      </c>
    </row>
    <row r="20" spans="2:12" x14ac:dyDescent="0.3">
      <c r="B20" s="3" t="s">
        <v>16</v>
      </c>
      <c r="C20" s="10">
        <f>D18-C18</f>
        <v>950.11002777777765</v>
      </c>
    </row>
    <row r="21" spans="2:12" x14ac:dyDescent="0.3">
      <c r="B21" s="1"/>
    </row>
    <row r="22" spans="2:12" x14ac:dyDescent="0.3">
      <c r="B22" s="12" t="s">
        <v>9</v>
      </c>
      <c r="C22" s="12">
        <v>1</v>
      </c>
      <c r="D22" s="12">
        <f>C22+1</f>
        <v>2</v>
      </c>
      <c r="E22" s="12">
        <f t="shared" ref="E22:L22" si="0">D22+1</f>
        <v>3</v>
      </c>
      <c r="F22" s="12">
        <f t="shared" si="0"/>
        <v>4</v>
      </c>
      <c r="G22" s="12">
        <f t="shared" si="0"/>
        <v>5</v>
      </c>
      <c r="H22" s="12">
        <f t="shared" si="0"/>
        <v>6</v>
      </c>
      <c r="I22" s="12">
        <f t="shared" si="0"/>
        <v>7</v>
      </c>
      <c r="J22" s="12">
        <f t="shared" si="0"/>
        <v>8</v>
      </c>
      <c r="K22" s="12">
        <f t="shared" si="0"/>
        <v>9</v>
      </c>
      <c r="L22" s="12">
        <f t="shared" si="0"/>
        <v>10</v>
      </c>
    </row>
    <row r="23" spans="2:12" x14ac:dyDescent="0.3">
      <c r="B23" s="31" t="s">
        <v>13</v>
      </c>
      <c r="C23" s="14">
        <f t="shared" ref="C23:L23" si="1">IF(C22&lt;=$C$9, $D$18, 0)</f>
        <v>1127.8499999999999</v>
      </c>
      <c r="D23" s="14">
        <f t="shared" si="1"/>
        <v>1127.8499999999999</v>
      </c>
      <c r="E23" s="14">
        <f t="shared" si="1"/>
        <v>1127.8499999999999</v>
      </c>
      <c r="F23" s="14">
        <f t="shared" si="1"/>
        <v>1127.8499999999999</v>
      </c>
      <c r="G23" s="14">
        <f t="shared" si="1"/>
        <v>1127.8499999999999</v>
      </c>
      <c r="H23" s="14">
        <f t="shared" si="1"/>
        <v>1127.8499999999999</v>
      </c>
      <c r="I23" s="14">
        <f t="shared" si="1"/>
        <v>1127.8499999999999</v>
      </c>
      <c r="J23" s="14">
        <f t="shared" si="1"/>
        <v>1127.8499999999999</v>
      </c>
      <c r="K23" s="14">
        <f t="shared" si="1"/>
        <v>1127.8499999999999</v>
      </c>
      <c r="L23" s="14">
        <f t="shared" si="1"/>
        <v>1127.8499999999999</v>
      </c>
    </row>
    <row r="24" spans="2:12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2:12" ht="14.5" x14ac:dyDescent="0.35">
      <c r="B25" s="41" t="s">
        <v>14</v>
      </c>
      <c r="C25" s="14">
        <f t="shared" ref="C25:L25" si="2">IF(C22&lt;=$C$9, $C$18, 0)</f>
        <v>177.73997222222224</v>
      </c>
      <c r="D25" s="14">
        <f t="shared" si="2"/>
        <v>177.73997222222224</v>
      </c>
      <c r="E25" s="14">
        <f t="shared" si="2"/>
        <v>177.73997222222224</v>
      </c>
      <c r="F25" s="14">
        <f t="shared" si="2"/>
        <v>177.73997222222224</v>
      </c>
      <c r="G25" s="14">
        <f t="shared" si="2"/>
        <v>177.73997222222224</v>
      </c>
      <c r="H25" s="14">
        <f t="shared" si="2"/>
        <v>177.73997222222224</v>
      </c>
      <c r="I25" s="14">
        <f t="shared" si="2"/>
        <v>177.73997222222224</v>
      </c>
      <c r="J25" s="14">
        <f t="shared" si="2"/>
        <v>177.73997222222224</v>
      </c>
      <c r="K25" s="14">
        <f t="shared" si="2"/>
        <v>177.73997222222224</v>
      </c>
      <c r="L25" s="14">
        <f t="shared" si="2"/>
        <v>177.73997222222224</v>
      </c>
    </row>
    <row r="26" spans="2:12" ht="14.5" x14ac:dyDescent="0.35">
      <c r="B26" s="41" t="s">
        <v>15</v>
      </c>
      <c r="C26" s="14">
        <f t="shared" ref="C26:L26" si="3">IF(C22&lt;=$C$9, $C$8/$C$9, 0)</f>
        <v>10.498999999999999</v>
      </c>
      <c r="D26" s="14">
        <f t="shared" si="3"/>
        <v>10.498999999999999</v>
      </c>
      <c r="E26" s="14">
        <f t="shared" si="3"/>
        <v>10.498999999999999</v>
      </c>
      <c r="F26" s="14">
        <f t="shared" si="3"/>
        <v>10.498999999999999</v>
      </c>
      <c r="G26" s="14">
        <f t="shared" si="3"/>
        <v>10.498999999999999</v>
      </c>
      <c r="H26" s="14">
        <f t="shared" si="3"/>
        <v>10.498999999999999</v>
      </c>
      <c r="I26" s="14">
        <f t="shared" si="3"/>
        <v>10.498999999999999</v>
      </c>
      <c r="J26" s="14">
        <f t="shared" si="3"/>
        <v>10.498999999999999</v>
      </c>
      <c r="K26" s="14">
        <f t="shared" si="3"/>
        <v>10.498999999999999</v>
      </c>
      <c r="L26" s="14">
        <f t="shared" si="3"/>
        <v>10.498999999999999</v>
      </c>
    </row>
    <row r="27" spans="2:12" x14ac:dyDescent="0.3">
      <c r="B27" s="30" t="s">
        <v>38</v>
      </c>
      <c r="C27" s="29">
        <f>SUM(C25:C26)</f>
        <v>188.23897222222223</v>
      </c>
      <c r="D27" s="29">
        <f>SUM(D25:D26)</f>
        <v>188.23897222222223</v>
      </c>
      <c r="E27" s="29">
        <f t="shared" ref="E27:L27" si="4">SUM(E25:E26)</f>
        <v>188.23897222222223</v>
      </c>
      <c r="F27" s="29">
        <f t="shared" si="4"/>
        <v>188.23897222222223</v>
      </c>
      <c r="G27" s="29">
        <f t="shared" si="4"/>
        <v>188.23897222222223</v>
      </c>
      <c r="H27" s="29">
        <f t="shared" si="4"/>
        <v>188.23897222222223</v>
      </c>
      <c r="I27" s="29">
        <f t="shared" si="4"/>
        <v>188.23897222222223</v>
      </c>
      <c r="J27" s="29">
        <f t="shared" si="4"/>
        <v>188.23897222222223</v>
      </c>
      <c r="K27" s="29">
        <f t="shared" si="4"/>
        <v>188.23897222222223</v>
      </c>
      <c r="L27" s="29">
        <f t="shared" si="4"/>
        <v>188.23897222222223</v>
      </c>
    </row>
    <row r="28" spans="2:12" x14ac:dyDescent="0.3"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2:12" x14ac:dyDescent="0.3">
      <c r="B29" s="31" t="s">
        <v>16</v>
      </c>
      <c r="C29" s="14">
        <f>C23-C27</f>
        <v>939.61102777777774</v>
      </c>
      <c r="D29" s="14">
        <f>D23-D27</f>
        <v>939.61102777777774</v>
      </c>
      <c r="E29" s="14">
        <f t="shared" ref="E29:L29" si="5">E23-E27</f>
        <v>939.61102777777774</v>
      </c>
      <c r="F29" s="14">
        <f t="shared" si="5"/>
        <v>939.61102777777774</v>
      </c>
      <c r="G29" s="14">
        <f t="shared" si="5"/>
        <v>939.61102777777774</v>
      </c>
      <c r="H29" s="14">
        <f t="shared" si="5"/>
        <v>939.61102777777774</v>
      </c>
      <c r="I29" s="14">
        <f t="shared" si="5"/>
        <v>939.61102777777774</v>
      </c>
      <c r="J29" s="14">
        <f t="shared" si="5"/>
        <v>939.61102777777774</v>
      </c>
      <c r="K29" s="14">
        <f t="shared" si="5"/>
        <v>939.61102777777774</v>
      </c>
      <c r="L29" s="14">
        <f t="shared" si="5"/>
        <v>939.61102777777774</v>
      </c>
    </row>
    <row r="30" spans="2:12" x14ac:dyDescent="0.3">
      <c r="B30" s="31" t="s">
        <v>17</v>
      </c>
      <c r="C30" s="14">
        <f>C29/12</f>
        <v>78.300918981481473</v>
      </c>
      <c r="D30" s="14">
        <f>D29/12</f>
        <v>78.300918981481473</v>
      </c>
      <c r="E30" s="14">
        <f t="shared" ref="E30:L30" si="6">E29/12</f>
        <v>78.300918981481473</v>
      </c>
      <c r="F30" s="14">
        <f t="shared" si="6"/>
        <v>78.300918981481473</v>
      </c>
      <c r="G30" s="14">
        <f t="shared" si="6"/>
        <v>78.300918981481473</v>
      </c>
      <c r="H30" s="14">
        <f t="shared" si="6"/>
        <v>78.300918981481473</v>
      </c>
      <c r="I30" s="14">
        <f t="shared" si="6"/>
        <v>78.300918981481473</v>
      </c>
      <c r="J30" s="14">
        <f t="shared" si="6"/>
        <v>78.300918981481473</v>
      </c>
      <c r="K30" s="14">
        <f t="shared" si="6"/>
        <v>78.300918981481473</v>
      </c>
      <c r="L30" s="14">
        <f t="shared" si="6"/>
        <v>78.300918981481473</v>
      </c>
    </row>
    <row r="31" spans="2:12" x14ac:dyDescent="0.3">
      <c r="B31" s="31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2:12" x14ac:dyDescent="0.3">
      <c r="B32" s="31" t="s">
        <v>10</v>
      </c>
      <c r="C32" s="14">
        <f>SUM(C29:L29)</f>
        <v>9396.1102777777778</v>
      </c>
      <c r="D32" s="11"/>
      <c r="E32" s="11"/>
      <c r="F32" s="11"/>
      <c r="G32" s="11"/>
      <c r="H32" s="11"/>
      <c r="I32" s="11"/>
      <c r="J32" s="11"/>
      <c r="K32" s="11"/>
      <c r="L32" s="11"/>
    </row>
  </sheetData>
  <dataValidations count="1">
    <dataValidation type="whole" allowBlank="1" showInputMessage="1" showErrorMessage="1" errorTitle="Input Error" error="Amortization Value must be between 1 and 10" sqref="C9" xr:uid="{5D724F7F-E95A-40C5-BD7A-553FE0327EF8}">
      <formula1>1</formula1>
      <formula2>10</formula2>
    </dataValidation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210D51-507F-4F3E-9E86-75D5CCF74936}">
          <x14:formula1>
            <xm:f>'Scenario Params'!$B$4:$B$7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7751-C821-4043-B4D8-99F139C94C95}">
  <dimension ref="B21:E28"/>
  <sheetViews>
    <sheetView tabSelected="1" topLeftCell="A22" workbookViewId="0">
      <selection activeCell="B31" sqref="B31"/>
    </sheetView>
  </sheetViews>
  <sheetFormatPr defaultRowHeight="14" x14ac:dyDescent="0.3"/>
  <cols>
    <col min="1" max="1" width="1.90625" style="2" customWidth="1"/>
    <col min="2" max="2" width="35.26953125" style="2" bestFit="1" customWidth="1"/>
    <col min="3" max="3" width="18.54296875" style="2" bestFit="1" customWidth="1"/>
    <col min="4" max="4" width="17.08984375" style="2" bestFit="1" customWidth="1"/>
    <col min="5" max="5" width="27.7265625" style="2" bestFit="1" customWidth="1"/>
    <col min="6" max="16384" width="8.7265625" style="2"/>
  </cols>
  <sheetData>
    <row r="21" spans="2:5" ht="20" customHeight="1" x14ac:dyDescent="0.3">
      <c r="B21" s="21" t="s">
        <v>18</v>
      </c>
      <c r="C21" s="18" t="s">
        <v>17</v>
      </c>
      <c r="D21" s="18" t="s">
        <v>16</v>
      </c>
      <c r="E21" s="18" t="s">
        <v>28</v>
      </c>
    </row>
    <row r="22" spans="2:5" x14ac:dyDescent="0.3">
      <c r="B22" s="22" t="s">
        <v>19</v>
      </c>
      <c r="C22" s="11">
        <v>144.41492361111111</v>
      </c>
      <c r="D22" s="11">
        <v>1732.9790833333332</v>
      </c>
      <c r="E22" s="11">
        <v>17329.790833333333</v>
      </c>
    </row>
    <row r="23" spans="2:5" x14ac:dyDescent="0.3">
      <c r="B23" s="22" t="s">
        <v>20</v>
      </c>
      <c r="C23" s="11">
        <v>39.897111111111116</v>
      </c>
      <c r="D23" s="11">
        <v>478.76533333333339</v>
      </c>
      <c r="E23" s="11">
        <v>4787.6533333333336</v>
      </c>
    </row>
    <row r="24" spans="2:5" x14ac:dyDescent="0.3">
      <c r="B24" s="22" t="s">
        <v>21</v>
      </c>
      <c r="C24" s="11">
        <v>64.364171296296277</v>
      </c>
      <c r="D24" s="11">
        <v>772.37005555555538</v>
      </c>
      <c r="E24" s="11">
        <v>7723.7005555555525</v>
      </c>
    </row>
    <row r="25" spans="2:5" x14ac:dyDescent="0.3">
      <c r="B25" s="22" t="s">
        <v>33</v>
      </c>
      <c r="C25" s="11">
        <v>78.300918981481473</v>
      </c>
      <c r="D25" s="11">
        <v>939.61102777777774</v>
      </c>
      <c r="E25" s="11">
        <v>9396.1102777777778</v>
      </c>
    </row>
    <row r="27" spans="2:5" x14ac:dyDescent="0.3">
      <c r="B27" s="23" t="s">
        <v>35</v>
      </c>
      <c r="C27" s="24">
        <f>AVERAGE(C22:C25)</f>
        <v>81.744281249999986</v>
      </c>
      <c r="D27" s="24">
        <f>AVERAGE(D22:D25)</f>
        <v>980.93137499999989</v>
      </c>
      <c r="E27" s="24">
        <f>AVERAGE(E22:E25)</f>
        <v>9809.3137499999993</v>
      </c>
    </row>
    <row r="28" spans="2:5" x14ac:dyDescent="0.3">
      <c r="B28" s="23" t="s">
        <v>36</v>
      </c>
      <c r="C28" s="24">
        <f>SUMPRODUCT('Scenario Params'!$I$4:$I$7, C22:C25)</f>
        <v>71.947180555555548</v>
      </c>
      <c r="D28" s="24">
        <f>SUMPRODUCT('Scenario Params'!$I$4:$I$7, D22:D25)</f>
        <v>863.36616666666657</v>
      </c>
      <c r="E28" s="24">
        <f>SUMPRODUCT('Scenario Params'!$I$4:$I$7, E22:E25)</f>
        <v>8633.6616666666669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Params</vt:lpstr>
      <vt:lpstr>Yearly Schedule</vt:lpstr>
      <vt:lpstr>Scenario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Non-Admin</dc:creator>
  <cp:lastModifiedBy>Brendan Non-Admin</cp:lastModifiedBy>
  <cp:lastPrinted>2020-07-15T15:13:00Z</cp:lastPrinted>
  <dcterms:created xsi:type="dcterms:W3CDTF">2020-06-04T13:48:08Z</dcterms:created>
  <dcterms:modified xsi:type="dcterms:W3CDTF">2020-08-03T22:32:43Z</dcterms:modified>
</cp:coreProperties>
</file>