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basil/Documents/Miscellaneous_R_Projects/GauntletAppV1/"/>
    </mc:Choice>
  </mc:AlternateContent>
  <xr:revisionPtr revIDLastSave="0" documentId="13_ncr:1_{311B60F2-0840-0C44-BFDB-42AB24E8C020}" xr6:coauthVersionLast="45" xr6:coauthVersionMax="45" xr10:uidLastSave="{00000000-0000-0000-0000-000000000000}"/>
  <bookViews>
    <workbookView xWindow="0" yWindow="460" windowWidth="33600" windowHeight="19640" firstSheet="2" activeTab="5" xr2:uid="{00000000-000D-0000-FFFF-FFFF00000000}"/>
  </bookViews>
  <sheets>
    <sheet name="Harry Usage" sheetId="27" r:id="rId1"/>
    <sheet name="Will Usage" sheetId="14" r:id="rId2"/>
    <sheet name="Mehul Usage" sheetId="25" r:id="rId3"/>
    <sheet name="Keyur Usage" sheetId="13" r:id="rId4"/>
    <sheet name="Sam Usage" sheetId="26" r:id="rId5"/>
    <sheet name="Geoff Usage" sheetId="32" r:id="rId6"/>
    <sheet name="Geoff Usage (2)" sheetId="12" r:id="rId7"/>
    <sheet name="Basil Usage (2)" sheetId="24" r:id="rId8"/>
    <sheet name="Basil Usage" sheetId="31" r:id="rId9"/>
    <sheet name="Ben Usage" sheetId="8" r:id="rId10"/>
    <sheet name="Week 1 Template" sheetId="9" state="hidden" r:id="rId11"/>
    <sheet name="Week 2 Template" sheetId="10" state="hidden" r:id="rId12"/>
    <sheet name="Week 3 Template" sheetId="11" state="hidden" r:id="rId13"/>
    <sheet name="Week 4 Template" sheetId="15" state="hidden" r:id="rId14"/>
    <sheet name="Week 16 Template" sheetId="30" r:id="rId15"/>
    <sheet name="Week 14 Template" sheetId="28" r:id="rId16"/>
    <sheet name="Week 13 Template" sheetId="23" r:id="rId17"/>
    <sheet name="Week 12 Template" sheetId="22" r:id="rId18"/>
    <sheet name="Week 10 Template" sheetId="21" r:id="rId19"/>
    <sheet name="Week 9 Template" sheetId="20" state="hidden" r:id="rId20"/>
    <sheet name="Week 8 Template" sheetId="19" state="hidden" r:id="rId21"/>
    <sheet name="Week 7 Template" sheetId="18" state="hidden" r:id="rId22"/>
    <sheet name="Week 6 Template" sheetId="17" state="hidden" r:id="rId23"/>
    <sheet name="Week 5 Template" sheetId="16" state="hidden" r:id="rId24"/>
    <sheet name="QB" sheetId="2" r:id="rId25"/>
    <sheet name="RB" sheetId="3" r:id="rId26"/>
    <sheet name="WR" sheetId="4" r:id="rId27"/>
    <sheet name="TE" sheetId="5" r:id="rId28"/>
    <sheet name="DST" sheetId="6" r:id="rId29"/>
    <sheet name="K" sheetId="7" r:id="rId30"/>
    <sheet name="All_Players" sheetId="1" r:id="rId31"/>
  </sheets>
  <definedNames>
    <definedName name="CIQWBGuid" hidden="1">"aef6e6b4-2f44-42bb-b775-d551d91678af"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7" hidden="1">43397.8975925926</definedName>
    <definedName name="IQ_NAMES_REVISION_DATE_" localSheetId="9" hidden="1">43397.8975925926</definedName>
    <definedName name="IQ_NAMES_REVISION_DATE_" localSheetId="6" hidden="1">43397.8975925926</definedName>
    <definedName name="IQ_NAMES_REVISION_DATE_" localSheetId="0" hidden="1">43397.8975925926</definedName>
    <definedName name="IQ_NAMES_REVISION_DATE_" localSheetId="3" hidden="1">43397.8975925926</definedName>
    <definedName name="IQ_NAMES_REVISION_DATE_" localSheetId="2" hidden="1">43397.8975925926</definedName>
    <definedName name="IQ_NAMES_REVISION_DATE_" localSheetId="4" hidden="1">43397.8975925926</definedName>
    <definedName name="IQ_NAMES_REVISION_DATE_" localSheetId="1" hidden="1">43397.8975925926</definedName>
    <definedName name="IQ_NAMES_REVISION_DATE_" hidden="1">43397.8975925926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30" l="1"/>
  <c r="E14" i="30"/>
  <c r="E15" i="30"/>
  <c r="E16" i="30"/>
  <c r="E17" i="30"/>
  <c r="E18" i="30"/>
  <c r="E19" i="30"/>
  <c r="E20" i="30"/>
  <c r="E21" i="30"/>
  <c r="E12" i="30"/>
  <c r="E11" i="30"/>
  <c r="C76" i="4"/>
  <c r="E10" i="30"/>
  <c r="E7" i="30"/>
  <c r="E6" i="30"/>
  <c r="E5" i="30"/>
  <c r="E4" i="30"/>
  <c r="E3" i="30"/>
  <c r="E2" i="30"/>
  <c r="H7" i="30"/>
  <c r="H6" i="30"/>
  <c r="H5" i="30"/>
  <c r="H4" i="30"/>
  <c r="H3" i="30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H2" i="30"/>
  <c r="C21" i="28" l="1"/>
  <c r="E21" i="28" s="1"/>
  <c r="B21" i="28"/>
  <c r="C20" i="28"/>
  <c r="B20" i="28"/>
  <c r="C19" i="28"/>
  <c r="E19" i="28" s="1"/>
  <c r="B19" i="28"/>
  <c r="C18" i="28"/>
  <c r="E18" i="28" s="1"/>
  <c r="B18" i="28"/>
  <c r="C17" i="28"/>
  <c r="E17" i="28" s="1"/>
  <c r="B17" i="28"/>
  <c r="C16" i="28"/>
  <c r="E16" i="28" s="1"/>
  <c r="B16" i="28"/>
  <c r="C15" i="28"/>
  <c r="E15" i="28" s="1"/>
  <c r="B15" i="28"/>
  <c r="C14" i="28"/>
  <c r="E14" i="28" s="1"/>
  <c r="B14" i="28"/>
  <c r="C13" i="28"/>
  <c r="E13" i="28" s="1"/>
  <c r="B13" i="28"/>
  <c r="C12" i="28"/>
  <c r="E12" i="28" s="1"/>
  <c r="B12" i="28"/>
  <c r="C11" i="28"/>
  <c r="E11" i="28" s="1"/>
  <c r="B11" i="28"/>
  <c r="C10" i="28"/>
  <c r="E10" i="28" s="1"/>
  <c r="B10" i="28"/>
  <c r="C9" i="28"/>
  <c r="E9" i="28" s="1"/>
  <c r="B9" i="28"/>
  <c r="E20" i="28"/>
  <c r="C8" i="28"/>
  <c r="E8" i="28" s="1"/>
  <c r="B8" i="28"/>
  <c r="C7" i="28"/>
  <c r="E7" i="28" s="1"/>
  <c r="B7" i="28"/>
  <c r="C6" i="28"/>
  <c r="E6" i="28" s="1"/>
  <c r="B6" i="28"/>
  <c r="C5" i="28"/>
  <c r="E5" i="28" s="1"/>
  <c r="B5" i="28"/>
  <c r="C4" i="28"/>
  <c r="B4" i="28"/>
  <c r="C3" i="28"/>
  <c r="E3" i="28" s="1"/>
  <c r="B3" i="28"/>
  <c r="C2" i="28"/>
  <c r="E2" i="28" s="1"/>
  <c r="B2" i="28"/>
  <c r="H3" i="28"/>
  <c r="H6" i="28"/>
  <c r="H5" i="28"/>
  <c r="H4" i="28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H7" i="28" l="1"/>
  <c r="H2" i="28"/>
  <c r="C16" i="23"/>
  <c r="B16" i="23"/>
  <c r="C15" i="23"/>
  <c r="B15" i="23"/>
  <c r="C14" i="23"/>
  <c r="B14" i="23"/>
  <c r="C13" i="23"/>
  <c r="E13" i="23" s="1"/>
  <c r="B13" i="23"/>
  <c r="C12" i="23"/>
  <c r="B12" i="23"/>
  <c r="C11" i="23"/>
  <c r="E11" i="23" s="1"/>
  <c r="B11" i="23"/>
  <c r="C10" i="23"/>
  <c r="E10" i="23" s="1"/>
  <c r="B10" i="23"/>
  <c r="C9" i="23"/>
  <c r="B9" i="23"/>
  <c r="C8" i="23"/>
  <c r="B8" i="23"/>
  <c r="C226" i="3"/>
  <c r="B226" i="3"/>
  <c r="D226" i="3"/>
  <c r="C7" i="23"/>
  <c r="B7" i="23"/>
  <c r="C6" i="23"/>
  <c r="E6" i="23" s="1"/>
  <c r="B6" i="23"/>
  <c r="C5" i="23"/>
  <c r="E5" i="23" s="1"/>
  <c r="B5" i="23"/>
  <c r="C4" i="23"/>
  <c r="B4" i="23"/>
  <c r="C3" i="23"/>
  <c r="C2" i="23"/>
  <c r="E2" i="23" s="1"/>
  <c r="B2" i="23"/>
  <c r="C261" i="27"/>
  <c r="C260" i="27"/>
  <c r="C259" i="27"/>
  <c r="C258" i="27"/>
  <c r="C257" i="27"/>
  <c r="C256" i="27"/>
  <c r="C255" i="27"/>
  <c r="C254" i="27"/>
  <c r="C253" i="27"/>
  <c r="C252" i="27"/>
  <c r="C251" i="27"/>
  <c r="C250" i="27"/>
  <c r="C249" i="27"/>
  <c r="C248" i="27"/>
  <c r="C247" i="27"/>
  <c r="C246" i="27"/>
  <c r="C245" i="27"/>
  <c r="C244" i="27"/>
  <c r="C243" i="27"/>
  <c r="C242" i="27"/>
  <c r="C241" i="27"/>
  <c r="C240" i="27"/>
  <c r="C239" i="27"/>
  <c r="C238" i="27"/>
  <c r="C237" i="27"/>
  <c r="C236" i="27"/>
  <c r="C235" i="27"/>
  <c r="C234" i="27"/>
  <c r="C233" i="27"/>
  <c r="C232" i="27"/>
  <c r="C231" i="27"/>
  <c r="C230" i="27"/>
  <c r="C229" i="27"/>
  <c r="C228" i="27"/>
  <c r="C227" i="27"/>
  <c r="C226" i="27"/>
  <c r="C225" i="27"/>
  <c r="C224" i="27"/>
  <c r="C223" i="27"/>
  <c r="C222" i="27"/>
  <c r="C221" i="27"/>
  <c r="C220" i="27"/>
  <c r="C219" i="27"/>
  <c r="C218" i="27"/>
  <c r="C217" i="27"/>
  <c r="C216" i="27"/>
  <c r="C215" i="27"/>
  <c r="C214" i="27"/>
  <c r="C213" i="27"/>
  <c r="C212" i="27"/>
  <c r="C211" i="27"/>
  <c r="C210" i="27"/>
  <c r="C209" i="27"/>
  <c r="C208" i="27"/>
  <c r="C207" i="27"/>
  <c r="C206" i="27"/>
  <c r="C205" i="27"/>
  <c r="C204" i="27"/>
  <c r="C203" i="27"/>
  <c r="C202" i="27"/>
  <c r="C201" i="27"/>
  <c r="C200" i="27"/>
  <c r="C199" i="27"/>
  <c r="C198" i="27"/>
  <c r="C197" i="27"/>
  <c r="C196" i="27"/>
  <c r="C195" i="27"/>
  <c r="C194" i="27"/>
  <c r="C193" i="27"/>
  <c r="C192" i="27"/>
  <c r="C191" i="27"/>
  <c r="C190" i="27"/>
  <c r="C189" i="27"/>
  <c r="C188" i="27"/>
  <c r="C187" i="27"/>
  <c r="C186" i="27"/>
  <c r="C185" i="27"/>
  <c r="C184" i="27"/>
  <c r="C183" i="27"/>
  <c r="C182" i="27"/>
  <c r="C181" i="27"/>
  <c r="C180" i="27"/>
  <c r="C179" i="27"/>
  <c r="C178" i="27"/>
  <c r="C177" i="27"/>
  <c r="C176" i="27"/>
  <c r="C175" i="27"/>
  <c r="C174" i="27"/>
  <c r="C173" i="27"/>
  <c r="C172" i="27"/>
  <c r="C171" i="27"/>
  <c r="C170" i="27"/>
  <c r="C169" i="27"/>
  <c r="C168" i="27"/>
  <c r="C167" i="27"/>
  <c r="C166" i="27"/>
  <c r="C165" i="27"/>
  <c r="C164" i="27"/>
  <c r="C163" i="27"/>
  <c r="C162" i="27"/>
  <c r="C161" i="27"/>
  <c r="C160" i="27"/>
  <c r="C159" i="27"/>
  <c r="C158" i="27"/>
  <c r="C157" i="27"/>
  <c r="C156" i="27"/>
  <c r="C155" i="27"/>
  <c r="C154" i="27"/>
  <c r="C153" i="27"/>
  <c r="C152" i="27"/>
  <c r="C151" i="27"/>
  <c r="C150" i="27"/>
  <c r="C149" i="27"/>
  <c r="C148" i="27"/>
  <c r="C147" i="27"/>
  <c r="C146" i="27"/>
  <c r="C145" i="27"/>
  <c r="C144" i="27"/>
  <c r="C143" i="27"/>
  <c r="C142" i="27"/>
  <c r="C141" i="27"/>
  <c r="C140" i="27"/>
  <c r="C139" i="27"/>
  <c r="C138" i="27"/>
  <c r="C137" i="27"/>
  <c r="C136" i="27"/>
  <c r="C135" i="27"/>
  <c r="C134" i="27"/>
  <c r="C133" i="27"/>
  <c r="C132" i="27"/>
  <c r="C131" i="27"/>
  <c r="C130" i="27"/>
  <c r="C129" i="27"/>
  <c r="C128" i="27"/>
  <c r="C127" i="27"/>
  <c r="C126" i="27"/>
  <c r="C125" i="27"/>
  <c r="C124" i="27"/>
  <c r="C123" i="27"/>
  <c r="C122" i="27"/>
  <c r="C121" i="27"/>
  <c r="C120" i="27"/>
  <c r="C119" i="27"/>
  <c r="C118" i="27"/>
  <c r="C117" i="27"/>
  <c r="C116" i="27"/>
  <c r="C115" i="27"/>
  <c r="C114" i="27"/>
  <c r="C113" i="27"/>
  <c r="C112" i="27"/>
  <c r="C111" i="27"/>
  <c r="C110" i="27"/>
  <c r="C109" i="27"/>
  <c r="C108" i="27"/>
  <c r="C107" i="27"/>
  <c r="C106" i="27"/>
  <c r="C105" i="27"/>
  <c r="C104" i="27"/>
  <c r="C103" i="27"/>
  <c r="C102" i="27"/>
  <c r="C101" i="27"/>
  <c r="C100" i="27"/>
  <c r="C99" i="27"/>
  <c r="C98" i="27"/>
  <c r="C97" i="27"/>
  <c r="C96" i="27"/>
  <c r="C95" i="27"/>
  <c r="C94" i="27"/>
  <c r="C93" i="27"/>
  <c r="C92" i="27"/>
  <c r="C91" i="27"/>
  <c r="C90" i="27"/>
  <c r="C89" i="27"/>
  <c r="C88" i="27"/>
  <c r="C87" i="27"/>
  <c r="C86" i="27"/>
  <c r="C85" i="27"/>
  <c r="C84" i="27"/>
  <c r="C83" i="27"/>
  <c r="C82" i="27"/>
  <c r="C81" i="27"/>
  <c r="C80" i="27"/>
  <c r="C79" i="27"/>
  <c r="C78" i="27"/>
  <c r="C77" i="27"/>
  <c r="C76" i="27"/>
  <c r="C75" i="27"/>
  <c r="C74" i="27"/>
  <c r="C73" i="27"/>
  <c r="C72" i="27"/>
  <c r="C71" i="27"/>
  <c r="C70" i="27"/>
  <c r="C69" i="27"/>
  <c r="C68" i="27"/>
  <c r="C67" i="27"/>
  <c r="C66" i="27"/>
  <c r="C65" i="27"/>
  <c r="C64" i="27"/>
  <c r="C63" i="27"/>
  <c r="C62" i="27"/>
  <c r="C61" i="27"/>
  <c r="C60" i="27"/>
  <c r="C59" i="27"/>
  <c r="C58" i="27"/>
  <c r="C57" i="27"/>
  <c r="C56" i="27"/>
  <c r="C55" i="27"/>
  <c r="C54" i="27"/>
  <c r="C53" i="27"/>
  <c r="C52" i="27"/>
  <c r="C51" i="27"/>
  <c r="C50" i="27"/>
  <c r="C49" i="27"/>
  <c r="C48" i="27"/>
  <c r="C47" i="27"/>
  <c r="C46" i="27"/>
  <c r="C45" i="27"/>
  <c r="C44" i="27"/>
  <c r="C43" i="27"/>
  <c r="C42" i="27"/>
  <c r="C41" i="27"/>
  <c r="C40" i="27"/>
  <c r="C39" i="27"/>
  <c r="C38" i="27"/>
  <c r="C261" i="26"/>
  <c r="C260" i="26"/>
  <c r="C259" i="26"/>
  <c r="C258" i="26"/>
  <c r="C257" i="26"/>
  <c r="C256" i="26"/>
  <c r="C255" i="26"/>
  <c r="C254" i="26"/>
  <c r="C253" i="26"/>
  <c r="C252" i="26"/>
  <c r="C251" i="26"/>
  <c r="C250" i="26"/>
  <c r="C249" i="26"/>
  <c r="C248" i="26"/>
  <c r="C247" i="26"/>
  <c r="C246" i="26"/>
  <c r="C245" i="26"/>
  <c r="C244" i="26"/>
  <c r="C243" i="26"/>
  <c r="C242" i="26"/>
  <c r="C241" i="26"/>
  <c r="C240" i="26"/>
  <c r="C239" i="26"/>
  <c r="C238" i="26"/>
  <c r="C237" i="26"/>
  <c r="C236" i="26"/>
  <c r="C235" i="26"/>
  <c r="C234" i="26"/>
  <c r="C233" i="26"/>
  <c r="C232" i="26"/>
  <c r="C231" i="26"/>
  <c r="C230" i="26"/>
  <c r="C229" i="26"/>
  <c r="C228" i="26"/>
  <c r="C227" i="26"/>
  <c r="C226" i="26"/>
  <c r="C225" i="26"/>
  <c r="C224" i="26"/>
  <c r="C223" i="26"/>
  <c r="C222" i="26"/>
  <c r="C221" i="26"/>
  <c r="C220" i="26"/>
  <c r="C219" i="26"/>
  <c r="C218" i="26"/>
  <c r="C217" i="26"/>
  <c r="C216" i="26"/>
  <c r="C215" i="26"/>
  <c r="C214" i="26"/>
  <c r="C213" i="26"/>
  <c r="C212" i="26"/>
  <c r="C211" i="26"/>
  <c r="C210" i="26"/>
  <c r="C209" i="26"/>
  <c r="C208" i="26"/>
  <c r="C207" i="26"/>
  <c r="C206" i="26"/>
  <c r="C205" i="26"/>
  <c r="C204" i="26"/>
  <c r="C203" i="26"/>
  <c r="C202" i="26"/>
  <c r="C201" i="26"/>
  <c r="C200" i="26"/>
  <c r="C199" i="26"/>
  <c r="C198" i="26"/>
  <c r="C197" i="26"/>
  <c r="C196" i="26"/>
  <c r="C195" i="26"/>
  <c r="C194" i="26"/>
  <c r="C193" i="26"/>
  <c r="C192" i="26"/>
  <c r="C191" i="26"/>
  <c r="C190" i="26"/>
  <c r="C189" i="26"/>
  <c r="C188" i="26"/>
  <c r="C187" i="26"/>
  <c r="C186" i="26"/>
  <c r="C185" i="26"/>
  <c r="C184" i="26"/>
  <c r="C183" i="26"/>
  <c r="C182" i="26"/>
  <c r="C181" i="26"/>
  <c r="C180" i="26"/>
  <c r="C179" i="26"/>
  <c r="C178" i="26"/>
  <c r="C177" i="26"/>
  <c r="C176" i="26"/>
  <c r="C175" i="26"/>
  <c r="C174" i="26"/>
  <c r="C173" i="26"/>
  <c r="C172" i="26"/>
  <c r="C171" i="26"/>
  <c r="C170" i="26"/>
  <c r="C169" i="26"/>
  <c r="C168" i="26"/>
  <c r="C167" i="26"/>
  <c r="C166" i="26"/>
  <c r="C165" i="26"/>
  <c r="C164" i="26"/>
  <c r="C163" i="26"/>
  <c r="C162" i="26"/>
  <c r="C161" i="26"/>
  <c r="C160" i="26"/>
  <c r="C159" i="26"/>
  <c r="C158" i="26"/>
  <c r="C157" i="26"/>
  <c r="C156" i="26"/>
  <c r="C155" i="26"/>
  <c r="C154" i="26"/>
  <c r="C153" i="26"/>
  <c r="C152" i="26"/>
  <c r="C151" i="26"/>
  <c r="C150" i="26"/>
  <c r="C149" i="26"/>
  <c r="C148" i="26"/>
  <c r="C147" i="26"/>
  <c r="C146" i="26"/>
  <c r="C145" i="26"/>
  <c r="C144" i="26"/>
  <c r="C143" i="26"/>
  <c r="C142" i="26"/>
  <c r="C141" i="26"/>
  <c r="C140" i="26"/>
  <c r="C139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4" i="26"/>
  <c r="C123" i="26"/>
  <c r="C122" i="26"/>
  <c r="C121" i="26"/>
  <c r="C120" i="26"/>
  <c r="C119" i="26"/>
  <c r="C118" i="26"/>
  <c r="C117" i="26"/>
  <c r="C116" i="26"/>
  <c r="C115" i="26"/>
  <c r="C114" i="26"/>
  <c r="C113" i="26"/>
  <c r="C112" i="26"/>
  <c r="C111" i="26"/>
  <c r="C110" i="26"/>
  <c r="C109" i="26"/>
  <c r="C108" i="26"/>
  <c r="C107" i="26"/>
  <c r="C106" i="26"/>
  <c r="C105" i="26"/>
  <c r="C104" i="26"/>
  <c r="C103" i="26"/>
  <c r="C102" i="26"/>
  <c r="C101" i="26"/>
  <c r="C100" i="26"/>
  <c r="C99" i="26"/>
  <c r="C98" i="26"/>
  <c r="C97" i="26"/>
  <c r="C96" i="26"/>
  <c r="C95" i="26"/>
  <c r="C94" i="26"/>
  <c r="C93" i="26"/>
  <c r="C92" i="26"/>
  <c r="C91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261" i="25"/>
  <c r="C260" i="25"/>
  <c r="C259" i="25"/>
  <c r="C258" i="25"/>
  <c r="C257" i="25"/>
  <c r="C256" i="25"/>
  <c r="C255" i="25"/>
  <c r="C254" i="25"/>
  <c r="C253" i="25"/>
  <c r="C252" i="25"/>
  <c r="C251" i="25"/>
  <c r="C250" i="25"/>
  <c r="C249" i="25"/>
  <c r="C248" i="25"/>
  <c r="C247" i="25"/>
  <c r="C246" i="25"/>
  <c r="C245" i="25"/>
  <c r="C244" i="25"/>
  <c r="C243" i="25"/>
  <c r="C242" i="25"/>
  <c r="C241" i="25"/>
  <c r="C240" i="25"/>
  <c r="C239" i="25"/>
  <c r="C238" i="25"/>
  <c r="C237" i="25"/>
  <c r="C236" i="25"/>
  <c r="C235" i="25"/>
  <c r="C234" i="25"/>
  <c r="C233" i="25"/>
  <c r="C232" i="25"/>
  <c r="C231" i="25"/>
  <c r="C230" i="25"/>
  <c r="C229" i="25"/>
  <c r="C228" i="25"/>
  <c r="C227" i="25"/>
  <c r="C226" i="25"/>
  <c r="C225" i="25"/>
  <c r="C224" i="25"/>
  <c r="C223" i="25"/>
  <c r="C222" i="25"/>
  <c r="C221" i="25"/>
  <c r="C220" i="25"/>
  <c r="C219" i="25"/>
  <c r="C218" i="25"/>
  <c r="C217" i="25"/>
  <c r="C216" i="25"/>
  <c r="C215" i="25"/>
  <c r="C214" i="25"/>
  <c r="C213" i="25"/>
  <c r="C212" i="25"/>
  <c r="C211" i="25"/>
  <c r="C210" i="25"/>
  <c r="C209" i="25"/>
  <c r="C208" i="25"/>
  <c r="C207" i="25"/>
  <c r="C206" i="25"/>
  <c r="C205" i="25"/>
  <c r="C204" i="25"/>
  <c r="C203" i="25"/>
  <c r="C202" i="25"/>
  <c r="C201" i="25"/>
  <c r="C200" i="25"/>
  <c r="C199" i="25"/>
  <c r="C198" i="25"/>
  <c r="C197" i="25"/>
  <c r="C196" i="25"/>
  <c r="C195" i="25"/>
  <c r="C194" i="25"/>
  <c r="C193" i="25"/>
  <c r="C192" i="25"/>
  <c r="C191" i="25"/>
  <c r="C190" i="25"/>
  <c r="C189" i="25"/>
  <c r="C188" i="25"/>
  <c r="C187" i="25"/>
  <c r="C186" i="25"/>
  <c r="C185" i="25"/>
  <c r="C184" i="25"/>
  <c r="C183" i="25"/>
  <c r="C182" i="25"/>
  <c r="C181" i="25"/>
  <c r="C180" i="25"/>
  <c r="C179" i="25"/>
  <c r="C178" i="25"/>
  <c r="C177" i="25"/>
  <c r="C176" i="25"/>
  <c r="C175" i="25"/>
  <c r="C174" i="25"/>
  <c r="C173" i="25"/>
  <c r="C172" i="25"/>
  <c r="C171" i="25"/>
  <c r="C170" i="25"/>
  <c r="C169" i="25"/>
  <c r="C168" i="25"/>
  <c r="C167" i="25"/>
  <c r="C166" i="25"/>
  <c r="C165" i="25"/>
  <c r="C164" i="25"/>
  <c r="C163" i="25"/>
  <c r="C162" i="25"/>
  <c r="C161" i="25"/>
  <c r="C160" i="25"/>
  <c r="C159" i="25"/>
  <c r="C158" i="25"/>
  <c r="C157" i="25"/>
  <c r="C156" i="25"/>
  <c r="C155" i="25"/>
  <c r="C154" i="25"/>
  <c r="C153" i="25"/>
  <c r="C152" i="25"/>
  <c r="C151" i="25"/>
  <c r="C150" i="25"/>
  <c r="C149" i="25"/>
  <c r="C148" i="25"/>
  <c r="C147" i="25"/>
  <c r="C146" i="25"/>
  <c r="C145" i="25"/>
  <c r="C144" i="25"/>
  <c r="C143" i="25"/>
  <c r="C142" i="25"/>
  <c r="C141" i="25"/>
  <c r="C140" i="25"/>
  <c r="C139" i="25"/>
  <c r="C138" i="25"/>
  <c r="C137" i="25"/>
  <c r="C136" i="25"/>
  <c r="C135" i="25"/>
  <c r="C134" i="25"/>
  <c r="C133" i="25"/>
  <c r="C132" i="25"/>
  <c r="C131" i="25"/>
  <c r="C130" i="25"/>
  <c r="C129" i="25"/>
  <c r="C128" i="25"/>
  <c r="C127" i="25"/>
  <c r="C126" i="25"/>
  <c r="C125" i="25"/>
  <c r="C124" i="25"/>
  <c r="C123" i="25"/>
  <c r="C122" i="25"/>
  <c r="C121" i="25"/>
  <c r="C120" i="25"/>
  <c r="C119" i="25"/>
  <c r="C118" i="25"/>
  <c r="C117" i="25"/>
  <c r="C116" i="25"/>
  <c r="C115" i="25"/>
  <c r="C114" i="25"/>
  <c r="C113" i="25"/>
  <c r="C112" i="25"/>
  <c r="C111" i="25"/>
  <c r="C110" i="25"/>
  <c r="C109" i="25"/>
  <c r="C108" i="25"/>
  <c r="C107" i="25"/>
  <c r="C106" i="25"/>
  <c r="C105" i="25"/>
  <c r="C104" i="25"/>
  <c r="C103" i="25"/>
  <c r="C102" i="25"/>
  <c r="C101" i="25"/>
  <c r="C100" i="25"/>
  <c r="C99" i="25"/>
  <c r="C98" i="25"/>
  <c r="C97" i="25"/>
  <c r="C96" i="25"/>
  <c r="C95" i="25"/>
  <c r="C94" i="25"/>
  <c r="C93" i="25"/>
  <c r="C92" i="25"/>
  <c r="C91" i="25"/>
  <c r="C90" i="25"/>
  <c r="C89" i="25"/>
  <c r="C88" i="25"/>
  <c r="C87" i="25"/>
  <c r="C86" i="25"/>
  <c r="C85" i="25"/>
  <c r="C84" i="25"/>
  <c r="C83" i="25"/>
  <c r="C82" i="25"/>
  <c r="C81" i="25"/>
  <c r="C80" i="25"/>
  <c r="C79" i="25"/>
  <c r="C78" i="25"/>
  <c r="C77" i="25"/>
  <c r="C76" i="25"/>
  <c r="C75" i="25"/>
  <c r="C74" i="25"/>
  <c r="C73" i="25"/>
  <c r="C72" i="25"/>
  <c r="C71" i="25"/>
  <c r="C70" i="25"/>
  <c r="C69" i="25"/>
  <c r="C68" i="25"/>
  <c r="C67" i="25"/>
  <c r="C66" i="25"/>
  <c r="C65" i="25"/>
  <c r="C64" i="25"/>
  <c r="C63" i="25"/>
  <c r="C62" i="25"/>
  <c r="C61" i="25"/>
  <c r="C60" i="25"/>
  <c r="C59" i="25"/>
  <c r="C58" i="25"/>
  <c r="C57" i="25"/>
  <c r="C56" i="25"/>
  <c r="C55" i="25"/>
  <c r="C54" i="25"/>
  <c r="C53" i="25"/>
  <c r="C52" i="25"/>
  <c r="C51" i="25"/>
  <c r="C50" i="25"/>
  <c r="C49" i="25"/>
  <c r="C48" i="25"/>
  <c r="C47" i="25"/>
  <c r="C46" i="25"/>
  <c r="C45" i="25"/>
  <c r="C44" i="25"/>
  <c r="C43" i="25"/>
  <c r="C42" i="25"/>
  <c r="C41" i="25"/>
  <c r="C40" i="25"/>
  <c r="C39" i="25"/>
  <c r="C38" i="25"/>
  <c r="C261" i="24"/>
  <c r="C260" i="24"/>
  <c r="C259" i="24"/>
  <c r="C258" i="24"/>
  <c r="C257" i="24"/>
  <c r="C256" i="24"/>
  <c r="C255" i="24"/>
  <c r="C254" i="24"/>
  <c r="C253" i="24"/>
  <c r="C252" i="24"/>
  <c r="C251" i="24"/>
  <c r="C250" i="24"/>
  <c r="C249" i="24"/>
  <c r="C248" i="24"/>
  <c r="C247" i="24"/>
  <c r="C246" i="24"/>
  <c r="C245" i="24"/>
  <c r="C244" i="24"/>
  <c r="C243" i="24"/>
  <c r="C242" i="24"/>
  <c r="C241" i="24"/>
  <c r="C240" i="24"/>
  <c r="C239" i="24"/>
  <c r="C238" i="24"/>
  <c r="C237" i="24"/>
  <c r="C236" i="24"/>
  <c r="C235" i="24"/>
  <c r="C234" i="24"/>
  <c r="C233" i="24"/>
  <c r="C232" i="24"/>
  <c r="C231" i="24"/>
  <c r="C230" i="24"/>
  <c r="C229" i="24"/>
  <c r="C228" i="24"/>
  <c r="C227" i="24"/>
  <c r="C226" i="24"/>
  <c r="C225" i="24"/>
  <c r="C224" i="24"/>
  <c r="C223" i="24"/>
  <c r="C222" i="24"/>
  <c r="C221" i="24"/>
  <c r="C220" i="24"/>
  <c r="C219" i="24"/>
  <c r="C218" i="24"/>
  <c r="C217" i="24"/>
  <c r="C216" i="24"/>
  <c r="C215" i="24"/>
  <c r="C214" i="24"/>
  <c r="C213" i="24"/>
  <c r="C212" i="24"/>
  <c r="C211" i="24"/>
  <c r="C210" i="24"/>
  <c r="C209" i="24"/>
  <c r="C208" i="24"/>
  <c r="C207" i="24"/>
  <c r="C206" i="24"/>
  <c r="C205" i="24"/>
  <c r="C204" i="24"/>
  <c r="C203" i="24"/>
  <c r="C202" i="24"/>
  <c r="C201" i="24"/>
  <c r="C200" i="24"/>
  <c r="C199" i="24"/>
  <c r="C198" i="24"/>
  <c r="C197" i="24"/>
  <c r="C196" i="24"/>
  <c r="C195" i="24"/>
  <c r="C194" i="24"/>
  <c r="C193" i="24"/>
  <c r="C192" i="24"/>
  <c r="C191" i="24"/>
  <c r="C190" i="24"/>
  <c r="C189" i="24"/>
  <c r="C188" i="24"/>
  <c r="C187" i="24"/>
  <c r="C186" i="24"/>
  <c r="C185" i="24"/>
  <c r="C184" i="24"/>
  <c r="C183" i="24"/>
  <c r="C182" i="24"/>
  <c r="C181" i="24"/>
  <c r="C180" i="24"/>
  <c r="C179" i="24"/>
  <c r="C178" i="24"/>
  <c r="C177" i="24"/>
  <c r="C176" i="24"/>
  <c r="C175" i="24"/>
  <c r="C174" i="24"/>
  <c r="C173" i="24"/>
  <c r="C172" i="24"/>
  <c r="C171" i="24"/>
  <c r="C170" i="24"/>
  <c r="C169" i="24"/>
  <c r="C168" i="24"/>
  <c r="C167" i="24"/>
  <c r="C166" i="24"/>
  <c r="C165" i="24"/>
  <c r="C164" i="24"/>
  <c r="C163" i="24"/>
  <c r="C162" i="24"/>
  <c r="C161" i="24"/>
  <c r="C160" i="24"/>
  <c r="C159" i="24"/>
  <c r="C158" i="24"/>
  <c r="C157" i="24"/>
  <c r="C156" i="24"/>
  <c r="C155" i="24"/>
  <c r="C154" i="24"/>
  <c r="C153" i="24"/>
  <c r="C152" i="24"/>
  <c r="C151" i="24"/>
  <c r="C150" i="24"/>
  <c r="C149" i="24"/>
  <c r="C148" i="24"/>
  <c r="C147" i="24"/>
  <c r="C146" i="24"/>
  <c r="C145" i="24"/>
  <c r="C144" i="24"/>
  <c r="C143" i="24"/>
  <c r="C142" i="24"/>
  <c r="C141" i="24"/>
  <c r="C140" i="24"/>
  <c r="C139" i="24"/>
  <c r="C138" i="24"/>
  <c r="C137" i="24"/>
  <c r="C136" i="24"/>
  <c r="C135" i="24"/>
  <c r="C134" i="24"/>
  <c r="C133" i="24"/>
  <c r="C132" i="24"/>
  <c r="C131" i="24"/>
  <c r="C130" i="24"/>
  <c r="C129" i="24"/>
  <c r="C128" i="24"/>
  <c r="C127" i="24"/>
  <c r="C126" i="24"/>
  <c r="C125" i="24"/>
  <c r="C124" i="24"/>
  <c r="C123" i="24"/>
  <c r="C122" i="24"/>
  <c r="C121" i="24"/>
  <c r="C120" i="24"/>
  <c r="C119" i="24"/>
  <c r="C118" i="24"/>
  <c r="C117" i="24"/>
  <c r="C116" i="24"/>
  <c r="C115" i="24"/>
  <c r="C114" i="24"/>
  <c r="C113" i="24"/>
  <c r="C112" i="24"/>
  <c r="C111" i="24"/>
  <c r="C110" i="24"/>
  <c r="C109" i="24"/>
  <c r="C108" i="24"/>
  <c r="C107" i="24"/>
  <c r="C106" i="24"/>
  <c r="C105" i="24"/>
  <c r="C104" i="24"/>
  <c r="C103" i="24"/>
  <c r="C102" i="24"/>
  <c r="C101" i="24"/>
  <c r="C100" i="24"/>
  <c r="C99" i="24"/>
  <c r="C98" i="24"/>
  <c r="C97" i="24"/>
  <c r="C96" i="24"/>
  <c r="C95" i="24"/>
  <c r="C94" i="24"/>
  <c r="C93" i="24"/>
  <c r="C92" i="24"/>
  <c r="C91" i="24"/>
  <c r="C90" i="24"/>
  <c r="C89" i="24"/>
  <c r="C88" i="24"/>
  <c r="C87" i="24"/>
  <c r="C86" i="24"/>
  <c r="C85" i="24"/>
  <c r="C84" i="24"/>
  <c r="C83" i="24"/>
  <c r="C82" i="24"/>
  <c r="C81" i="24"/>
  <c r="C80" i="24"/>
  <c r="C79" i="24"/>
  <c r="C78" i="24"/>
  <c r="C77" i="24"/>
  <c r="C76" i="24"/>
  <c r="C75" i="24"/>
  <c r="C74" i="24"/>
  <c r="C73" i="24"/>
  <c r="C72" i="24"/>
  <c r="C71" i="24"/>
  <c r="C70" i="24"/>
  <c r="C69" i="24"/>
  <c r="C68" i="24"/>
  <c r="C67" i="24"/>
  <c r="C66" i="24"/>
  <c r="C65" i="24"/>
  <c r="C64" i="24"/>
  <c r="C63" i="24"/>
  <c r="C62" i="24"/>
  <c r="C61" i="24"/>
  <c r="C60" i="24"/>
  <c r="C59" i="24"/>
  <c r="C58" i="24"/>
  <c r="C57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C42" i="24"/>
  <c r="C41" i="24"/>
  <c r="C40" i="24"/>
  <c r="C39" i="24"/>
  <c r="C38" i="24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3" i="23"/>
  <c r="H7" i="23" l="1"/>
  <c r="H4" i="23"/>
  <c r="H2" i="23"/>
  <c r="H3" i="23"/>
  <c r="H5" i="23"/>
  <c r="H6" i="23"/>
  <c r="C21" i="22"/>
  <c r="E21" i="22" s="1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C7" i="22"/>
  <c r="B7" i="22"/>
  <c r="C6" i="22"/>
  <c r="B6" i="22"/>
  <c r="C5" i="22"/>
  <c r="B5" i="22"/>
  <c r="C4" i="22"/>
  <c r="B4" i="22"/>
  <c r="C3" i="22"/>
  <c r="B3" i="22"/>
  <c r="C2" i="22"/>
  <c r="B2" i="22"/>
  <c r="H7" i="22"/>
  <c r="H6" i="22"/>
  <c r="H5" i="22"/>
  <c r="H2" i="22"/>
  <c r="H3" i="22"/>
  <c r="H4" i="22"/>
  <c r="E20" i="22" l="1"/>
  <c r="E19" i="22"/>
  <c r="E17" i="22"/>
  <c r="E13" i="22"/>
  <c r="E11" i="22"/>
  <c r="E9" i="22"/>
  <c r="E8" i="22"/>
  <c r="A3" i="22" l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D13" i="21" l="1"/>
  <c r="C13" i="21"/>
  <c r="B13" i="21"/>
  <c r="D15" i="21" l="1"/>
  <c r="C15" i="21"/>
  <c r="E15" i="21" s="1"/>
  <c r="B15" i="21"/>
  <c r="D16" i="21"/>
  <c r="C16" i="21"/>
  <c r="E16" i="21" s="1"/>
  <c r="B16" i="21"/>
  <c r="D14" i="21"/>
  <c r="C14" i="21"/>
  <c r="B14" i="21"/>
  <c r="D11" i="21"/>
  <c r="C11" i="21"/>
  <c r="E11" i="21" s="1"/>
  <c r="B11" i="21"/>
  <c r="D10" i="21"/>
  <c r="C10" i="21"/>
  <c r="B10" i="21"/>
  <c r="D2" i="21"/>
  <c r="C2" i="21"/>
  <c r="B2" i="21"/>
  <c r="D8" i="21"/>
  <c r="C8" i="21"/>
  <c r="B8" i="21"/>
  <c r="D7" i="21"/>
  <c r="C7" i="21"/>
  <c r="B7" i="21"/>
  <c r="D6" i="21"/>
  <c r="C6" i="21"/>
  <c r="E6" i="21" s="1"/>
  <c r="B6" i="21"/>
  <c r="B2" i="5"/>
  <c r="C2" i="5"/>
  <c r="D2" i="5"/>
  <c r="A3" i="5"/>
  <c r="B3" i="5"/>
  <c r="C3" i="5"/>
  <c r="D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D12" i="21"/>
  <c r="C12" i="21"/>
  <c r="E12" i="21" s="1"/>
  <c r="B12" i="21"/>
  <c r="D9" i="21"/>
  <c r="C9" i="21"/>
  <c r="B9" i="21"/>
  <c r="D5" i="21"/>
  <c r="C5" i="21"/>
  <c r="B5" i="21"/>
  <c r="B17" i="21"/>
  <c r="C17" i="21"/>
  <c r="E17" i="21" s="1"/>
  <c r="D17" i="21"/>
  <c r="B18" i="21"/>
  <c r="C18" i="21"/>
  <c r="D18" i="21"/>
  <c r="D4" i="21"/>
  <c r="C4" i="21"/>
  <c r="B4" i="21"/>
  <c r="D3" i="21"/>
  <c r="C3" i="21"/>
  <c r="B3" i="21"/>
  <c r="D20" i="21"/>
  <c r="C20" i="21"/>
  <c r="B20" i="21"/>
  <c r="D19" i="21"/>
  <c r="C19" i="21"/>
  <c r="E19" i="21" s="1"/>
  <c r="B19" i="21"/>
  <c r="A4" i="21" l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3" i="21"/>
  <c r="B2" i="7"/>
  <c r="C2" i="7"/>
  <c r="D2" i="7"/>
  <c r="A3" i="7"/>
  <c r="B3" i="7"/>
  <c r="C3" i="7"/>
  <c r="D3" i="7"/>
  <c r="A4" i="7"/>
  <c r="B4" i="7"/>
  <c r="C4" i="7"/>
  <c r="D4" i="7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B32" i="7"/>
  <c r="C32" i="7"/>
  <c r="D32" i="7"/>
  <c r="B33" i="7"/>
  <c r="C33" i="7"/>
  <c r="D33" i="7"/>
  <c r="B34" i="7"/>
  <c r="C34" i="7"/>
  <c r="D34" i="7"/>
  <c r="B35" i="7"/>
  <c r="C35" i="7"/>
  <c r="D35" i="7"/>
  <c r="B36" i="7"/>
  <c r="C36" i="7"/>
  <c r="D36" i="7"/>
  <c r="B38" i="7"/>
  <c r="C38" i="7"/>
  <c r="D38" i="7"/>
  <c r="B39" i="7"/>
  <c r="C39" i="7"/>
  <c r="D39" i="7"/>
  <c r="B40" i="7"/>
  <c r="C40" i="7"/>
  <c r="D40" i="7"/>
  <c r="B41" i="7"/>
  <c r="C41" i="7"/>
  <c r="D41" i="7"/>
  <c r="B42" i="7"/>
  <c r="C42" i="7"/>
  <c r="D42" i="7"/>
  <c r="B43" i="7"/>
  <c r="C43" i="7"/>
  <c r="D43" i="7"/>
  <c r="B44" i="7"/>
  <c r="C44" i="7"/>
  <c r="D44" i="7"/>
  <c r="B45" i="7"/>
  <c r="C45" i="7"/>
  <c r="D45" i="7"/>
  <c r="B46" i="7"/>
  <c r="C46" i="7"/>
  <c r="D46" i="7"/>
  <c r="B2" i="6"/>
  <c r="C2" i="6"/>
  <c r="D2" i="6"/>
  <c r="A3" i="6"/>
  <c r="B3" i="6"/>
  <c r="C3" i="6"/>
  <c r="D3" i="6"/>
  <c r="A4" i="6"/>
  <c r="B4" i="6"/>
  <c r="C4" i="6"/>
  <c r="D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B78" i="5"/>
  <c r="C78" i="5"/>
  <c r="D78" i="5"/>
  <c r="B79" i="5"/>
  <c r="C79" i="5"/>
  <c r="D79" i="5"/>
  <c r="B80" i="5"/>
  <c r="C80" i="5"/>
  <c r="D80" i="5"/>
  <c r="B81" i="5"/>
  <c r="C81" i="5"/>
  <c r="D81" i="5"/>
  <c r="B82" i="5"/>
  <c r="C82" i="5"/>
  <c r="D82" i="5"/>
  <c r="B83" i="5"/>
  <c r="C83" i="5"/>
  <c r="D83" i="5"/>
  <c r="B84" i="5"/>
  <c r="C84" i="5"/>
  <c r="D84" i="5"/>
  <c r="B85" i="5"/>
  <c r="C85" i="5"/>
  <c r="D85" i="5"/>
  <c r="B86" i="5"/>
  <c r="C86" i="5"/>
  <c r="D86" i="5"/>
  <c r="B87" i="5"/>
  <c r="C87" i="5"/>
  <c r="D87" i="5"/>
  <c r="B88" i="5"/>
  <c r="C88" i="5"/>
  <c r="D88" i="5"/>
  <c r="B89" i="5"/>
  <c r="C89" i="5"/>
  <c r="D89" i="5"/>
  <c r="B90" i="5"/>
  <c r="C90" i="5"/>
  <c r="D90" i="5"/>
  <c r="B91" i="5"/>
  <c r="C91" i="5"/>
  <c r="D91" i="5"/>
  <c r="B92" i="5"/>
  <c r="C92" i="5"/>
  <c r="D92" i="5"/>
  <c r="B93" i="5"/>
  <c r="C93" i="5"/>
  <c r="D93" i="5"/>
  <c r="B94" i="5"/>
  <c r="C94" i="5"/>
  <c r="D94" i="5"/>
  <c r="B95" i="5"/>
  <c r="C95" i="5"/>
  <c r="D95" i="5"/>
  <c r="B96" i="5"/>
  <c r="C96" i="5"/>
  <c r="D96" i="5"/>
  <c r="B97" i="5"/>
  <c r="C97" i="5"/>
  <c r="D97" i="5"/>
  <c r="B98" i="5"/>
  <c r="C98" i="5"/>
  <c r="D98" i="5"/>
  <c r="B99" i="5"/>
  <c r="C99" i="5"/>
  <c r="D99" i="5"/>
  <c r="B100" i="5"/>
  <c r="C100" i="5"/>
  <c r="D100" i="5"/>
  <c r="B101" i="5"/>
  <c r="C101" i="5"/>
  <c r="D101" i="5"/>
  <c r="B102" i="5"/>
  <c r="C102" i="5"/>
  <c r="D102" i="5"/>
  <c r="B103" i="5"/>
  <c r="C103" i="5"/>
  <c r="D103" i="5"/>
  <c r="B104" i="5"/>
  <c r="C104" i="5"/>
  <c r="D104" i="5"/>
  <c r="B105" i="5"/>
  <c r="C105" i="5"/>
  <c r="D105" i="5"/>
  <c r="B106" i="5"/>
  <c r="C106" i="5"/>
  <c r="D106" i="5"/>
  <c r="B107" i="5"/>
  <c r="C107" i="5"/>
  <c r="D107" i="5"/>
  <c r="B108" i="5"/>
  <c r="C108" i="5"/>
  <c r="D108" i="5"/>
  <c r="B109" i="5"/>
  <c r="C109" i="5"/>
  <c r="D109" i="5"/>
  <c r="B110" i="5"/>
  <c r="C110" i="5"/>
  <c r="D110" i="5"/>
  <c r="B111" i="5"/>
  <c r="C111" i="5"/>
  <c r="D111" i="5"/>
  <c r="B112" i="5"/>
  <c r="C112" i="5"/>
  <c r="D112" i="5"/>
  <c r="B113" i="5"/>
  <c r="C113" i="5"/>
  <c r="D113" i="5"/>
  <c r="B114" i="5"/>
  <c r="C114" i="5"/>
  <c r="D114" i="5"/>
  <c r="B115" i="5"/>
  <c r="C115" i="5"/>
  <c r="D115" i="5"/>
  <c r="B116" i="5"/>
  <c r="C116" i="5"/>
  <c r="D116" i="5"/>
  <c r="B117" i="5"/>
  <c r="C117" i="5"/>
  <c r="D117" i="5"/>
  <c r="B118" i="5"/>
  <c r="C118" i="5"/>
  <c r="D118" i="5"/>
  <c r="B119" i="5"/>
  <c r="C119" i="5"/>
  <c r="D119" i="5"/>
  <c r="B120" i="5"/>
  <c r="C120" i="5"/>
  <c r="D120" i="5"/>
  <c r="B121" i="5"/>
  <c r="C121" i="5"/>
  <c r="D121" i="5"/>
  <c r="B122" i="5"/>
  <c r="C122" i="5"/>
  <c r="D122" i="5"/>
  <c r="B123" i="5"/>
  <c r="C123" i="5"/>
  <c r="D123" i="5"/>
  <c r="B124" i="5"/>
  <c r="C124" i="5"/>
  <c r="D124" i="5"/>
  <c r="B125" i="5"/>
  <c r="C125" i="5"/>
  <c r="D125" i="5"/>
  <c r="B126" i="5"/>
  <c r="C126" i="5"/>
  <c r="D126" i="5"/>
  <c r="B127" i="5"/>
  <c r="C127" i="5"/>
  <c r="D127" i="5"/>
  <c r="B128" i="5"/>
  <c r="C128" i="5"/>
  <c r="D128" i="5"/>
  <c r="B129" i="5"/>
  <c r="C129" i="5"/>
  <c r="D129" i="5"/>
  <c r="B130" i="5"/>
  <c r="C130" i="5"/>
  <c r="D130" i="5"/>
  <c r="B131" i="5"/>
  <c r="C131" i="5"/>
  <c r="D131" i="5"/>
  <c r="B132" i="5"/>
  <c r="C132" i="5"/>
  <c r="D132" i="5"/>
  <c r="B133" i="5"/>
  <c r="C133" i="5"/>
  <c r="D133" i="5"/>
  <c r="B134" i="5"/>
  <c r="C134" i="5"/>
  <c r="D134" i="5"/>
  <c r="B135" i="5"/>
  <c r="C135" i="5"/>
  <c r="D135" i="5"/>
  <c r="B136" i="5"/>
  <c r="C136" i="5"/>
  <c r="D136" i="5"/>
  <c r="B137" i="5"/>
  <c r="C137" i="5"/>
  <c r="D137" i="5"/>
  <c r="B138" i="5"/>
  <c r="C138" i="5"/>
  <c r="D138" i="5"/>
  <c r="B139" i="5"/>
  <c r="C139" i="5"/>
  <c r="D139" i="5"/>
  <c r="B140" i="5"/>
  <c r="C140" i="5"/>
  <c r="D140" i="5"/>
  <c r="B141" i="5"/>
  <c r="C141" i="5"/>
  <c r="D141" i="5"/>
  <c r="B142" i="5"/>
  <c r="C142" i="5"/>
  <c r="D142" i="5"/>
  <c r="B143" i="5"/>
  <c r="C143" i="5"/>
  <c r="D143" i="5"/>
  <c r="B144" i="5"/>
  <c r="C144" i="5"/>
  <c r="D144" i="5"/>
  <c r="B145" i="5"/>
  <c r="C145" i="5"/>
  <c r="D145" i="5"/>
  <c r="B146" i="5"/>
  <c r="C146" i="5"/>
  <c r="D146" i="5"/>
  <c r="B147" i="5"/>
  <c r="C147" i="5"/>
  <c r="D147" i="5"/>
  <c r="B148" i="5"/>
  <c r="C148" i="5"/>
  <c r="D148" i="5"/>
  <c r="B149" i="5"/>
  <c r="C149" i="5"/>
  <c r="D149" i="5"/>
  <c r="B150" i="5"/>
  <c r="C150" i="5"/>
  <c r="D150" i="5"/>
  <c r="B151" i="5"/>
  <c r="C151" i="5"/>
  <c r="D151" i="5"/>
  <c r="B152" i="5"/>
  <c r="C152" i="5"/>
  <c r="D152" i="5"/>
  <c r="B153" i="5"/>
  <c r="C153" i="5"/>
  <c r="D153" i="5"/>
  <c r="B154" i="5"/>
  <c r="C154" i="5"/>
  <c r="D154" i="5"/>
  <c r="B155" i="5"/>
  <c r="C155" i="5"/>
  <c r="D155" i="5"/>
  <c r="B156" i="5"/>
  <c r="C156" i="5"/>
  <c r="D156" i="5"/>
  <c r="B157" i="5"/>
  <c r="C157" i="5"/>
  <c r="D157" i="5"/>
  <c r="B158" i="5"/>
  <c r="C158" i="5"/>
  <c r="D158" i="5"/>
  <c r="B159" i="5"/>
  <c r="C159" i="5"/>
  <c r="D159" i="5"/>
  <c r="B160" i="5"/>
  <c r="C160" i="5"/>
  <c r="D160" i="5"/>
  <c r="B161" i="5"/>
  <c r="C161" i="5"/>
  <c r="D161" i="5"/>
  <c r="B2" i="4"/>
  <c r="C2" i="4"/>
  <c r="D2" i="4"/>
  <c r="A3" i="4"/>
  <c r="B3" i="4"/>
  <c r="C3" i="4"/>
  <c r="D3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D76" i="4"/>
  <c r="B77" i="4"/>
  <c r="C77" i="4"/>
  <c r="D77" i="4"/>
  <c r="B78" i="4"/>
  <c r="C78" i="4"/>
  <c r="D78" i="4"/>
  <c r="B79" i="4"/>
  <c r="C79" i="4"/>
  <c r="D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B90" i="4"/>
  <c r="C90" i="4"/>
  <c r="D90" i="4"/>
  <c r="B91" i="4"/>
  <c r="C91" i="4"/>
  <c r="D91" i="4"/>
  <c r="B92" i="4"/>
  <c r="C92" i="4"/>
  <c r="D92" i="4"/>
  <c r="B93" i="4"/>
  <c r="C93" i="4"/>
  <c r="D93" i="4"/>
  <c r="B95" i="4"/>
  <c r="C95" i="4"/>
  <c r="D95" i="4"/>
  <c r="B96" i="4"/>
  <c r="C96" i="4"/>
  <c r="D96" i="4"/>
  <c r="B98" i="4"/>
  <c r="C98" i="4"/>
  <c r="D98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2" i="4"/>
  <c r="C112" i="4"/>
  <c r="D112" i="4"/>
  <c r="B113" i="4"/>
  <c r="C113" i="4"/>
  <c r="D113" i="4"/>
  <c r="B114" i="4"/>
  <c r="C114" i="4"/>
  <c r="D114" i="4"/>
  <c r="B115" i="4"/>
  <c r="C115" i="4"/>
  <c r="D115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B126" i="4"/>
  <c r="C126" i="4"/>
  <c r="D126" i="4"/>
  <c r="B127" i="4"/>
  <c r="C127" i="4"/>
  <c r="D127" i="4"/>
  <c r="B128" i="4"/>
  <c r="C128" i="4"/>
  <c r="D128" i="4"/>
  <c r="B129" i="4"/>
  <c r="C129" i="4"/>
  <c r="D129" i="4"/>
  <c r="B130" i="4"/>
  <c r="C130" i="4"/>
  <c r="D130" i="4"/>
  <c r="B131" i="4"/>
  <c r="C131" i="4"/>
  <c r="D131" i="4"/>
  <c r="B132" i="4"/>
  <c r="C132" i="4"/>
  <c r="D132" i="4"/>
  <c r="B133" i="4"/>
  <c r="C133" i="4"/>
  <c r="D133" i="4"/>
  <c r="B134" i="4"/>
  <c r="C134" i="4"/>
  <c r="D134" i="4"/>
  <c r="B135" i="4"/>
  <c r="C135" i="4"/>
  <c r="D135" i="4"/>
  <c r="B136" i="4"/>
  <c r="C136" i="4"/>
  <c r="D136" i="4"/>
  <c r="B137" i="4"/>
  <c r="C137" i="4"/>
  <c r="D137" i="4"/>
  <c r="B138" i="4"/>
  <c r="C138" i="4"/>
  <c r="D138" i="4"/>
  <c r="B139" i="4"/>
  <c r="C139" i="4"/>
  <c r="D139" i="4"/>
  <c r="B140" i="4"/>
  <c r="C140" i="4"/>
  <c r="D140" i="4"/>
  <c r="B141" i="4"/>
  <c r="C141" i="4"/>
  <c r="D141" i="4"/>
  <c r="B142" i="4"/>
  <c r="C142" i="4"/>
  <c r="D142" i="4"/>
  <c r="B143" i="4"/>
  <c r="C143" i="4"/>
  <c r="D143" i="4"/>
  <c r="B144" i="4"/>
  <c r="C144" i="4"/>
  <c r="D144" i="4"/>
  <c r="B145" i="4"/>
  <c r="C145" i="4"/>
  <c r="D145" i="4"/>
  <c r="B146" i="4"/>
  <c r="C146" i="4"/>
  <c r="D146" i="4"/>
  <c r="B147" i="4"/>
  <c r="C147" i="4"/>
  <c r="D147" i="4"/>
  <c r="B148" i="4"/>
  <c r="C148" i="4"/>
  <c r="D148" i="4"/>
  <c r="B149" i="4"/>
  <c r="C149" i="4"/>
  <c r="D149" i="4"/>
  <c r="B150" i="4"/>
  <c r="C150" i="4"/>
  <c r="D150" i="4"/>
  <c r="B151" i="4"/>
  <c r="C151" i="4"/>
  <c r="D151" i="4"/>
  <c r="B152" i="4"/>
  <c r="C152" i="4"/>
  <c r="D152" i="4"/>
  <c r="B153" i="4"/>
  <c r="C153" i="4"/>
  <c r="D153" i="4"/>
  <c r="B154" i="4"/>
  <c r="C154" i="4"/>
  <c r="D154" i="4"/>
  <c r="B155" i="4"/>
  <c r="C155" i="4"/>
  <c r="D155" i="4"/>
  <c r="B156" i="4"/>
  <c r="C156" i="4"/>
  <c r="D156" i="4"/>
  <c r="B157" i="4"/>
  <c r="C157" i="4"/>
  <c r="D157" i="4"/>
  <c r="B158" i="4"/>
  <c r="C158" i="4"/>
  <c r="D158" i="4"/>
  <c r="B159" i="4"/>
  <c r="C159" i="4"/>
  <c r="D159" i="4"/>
  <c r="B160" i="4"/>
  <c r="C160" i="4"/>
  <c r="D160" i="4"/>
  <c r="B161" i="4"/>
  <c r="C161" i="4"/>
  <c r="D161" i="4"/>
  <c r="B162" i="4"/>
  <c r="C162" i="4"/>
  <c r="D162" i="4"/>
  <c r="B163" i="4"/>
  <c r="C163" i="4"/>
  <c r="D163" i="4"/>
  <c r="B164" i="4"/>
  <c r="C164" i="4"/>
  <c r="D164" i="4"/>
  <c r="B165" i="4"/>
  <c r="C165" i="4"/>
  <c r="D165" i="4"/>
  <c r="B166" i="4"/>
  <c r="C166" i="4"/>
  <c r="D166" i="4"/>
  <c r="B167" i="4"/>
  <c r="C167" i="4"/>
  <c r="D167" i="4"/>
  <c r="B168" i="4"/>
  <c r="C168" i="4"/>
  <c r="D168" i="4"/>
  <c r="B169" i="4"/>
  <c r="C169" i="4"/>
  <c r="D169" i="4"/>
  <c r="B170" i="4"/>
  <c r="C170" i="4"/>
  <c r="D170" i="4"/>
  <c r="B171" i="4"/>
  <c r="C171" i="4"/>
  <c r="D171" i="4"/>
  <c r="B172" i="4"/>
  <c r="C172" i="4"/>
  <c r="D172" i="4"/>
  <c r="B173" i="4"/>
  <c r="C173" i="4"/>
  <c r="D173" i="4"/>
  <c r="B174" i="4"/>
  <c r="C174" i="4"/>
  <c r="D174" i="4"/>
  <c r="B175" i="4"/>
  <c r="C175" i="4"/>
  <c r="D175" i="4"/>
  <c r="B176" i="4"/>
  <c r="C176" i="4"/>
  <c r="D176" i="4"/>
  <c r="B177" i="4"/>
  <c r="C177" i="4"/>
  <c r="D177" i="4"/>
  <c r="B178" i="4"/>
  <c r="C178" i="4"/>
  <c r="D178" i="4"/>
  <c r="B179" i="4"/>
  <c r="C179" i="4"/>
  <c r="D179" i="4"/>
  <c r="B180" i="4"/>
  <c r="C180" i="4"/>
  <c r="D180" i="4"/>
  <c r="B181" i="4"/>
  <c r="C181" i="4"/>
  <c r="D181" i="4"/>
  <c r="B182" i="4"/>
  <c r="C182" i="4"/>
  <c r="D182" i="4"/>
  <c r="B183" i="4"/>
  <c r="C183" i="4"/>
  <c r="D183" i="4"/>
  <c r="B184" i="4"/>
  <c r="C184" i="4"/>
  <c r="D184" i="4"/>
  <c r="B185" i="4"/>
  <c r="C185" i="4"/>
  <c r="D185" i="4"/>
  <c r="B186" i="4"/>
  <c r="C186" i="4"/>
  <c r="D186" i="4"/>
  <c r="B187" i="4"/>
  <c r="C187" i="4"/>
  <c r="D187" i="4"/>
  <c r="B188" i="4"/>
  <c r="C188" i="4"/>
  <c r="D188" i="4"/>
  <c r="B189" i="4"/>
  <c r="C189" i="4"/>
  <c r="D189" i="4"/>
  <c r="B190" i="4"/>
  <c r="C190" i="4"/>
  <c r="D190" i="4"/>
  <c r="B191" i="4"/>
  <c r="C191" i="4"/>
  <c r="D191" i="4"/>
  <c r="B192" i="4"/>
  <c r="C192" i="4"/>
  <c r="D192" i="4"/>
  <c r="B193" i="4"/>
  <c r="C193" i="4"/>
  <c r="D193" i="4"/>
  <c r="B194" i="4"/>
  <c r="C194" i="4"/>
  <c r="D194" i="4"/>
  <c r="B195" i="4"/>
  <c r="C195" i="4"/>
  <c r="D195" i="4"/>
  <c r="B196" i="4"/>
  <c r="C196" i="4"/>
  <c r="D196" i="4"/>
  <c r="B197" i="4"/>
  <c r="C197" i="4"/>
  <c r="D197" i="4"/>
  <c r="B198" i="4"/>
  <c r="C198" i="4"/>
  <c r="D198" i="4"/>
  <c r="B199" i="4"/>
  <c r="C199" i="4"/>
  <c r="D199" i="4"/>
  <c r="B200" i="4"/>
  <c r="C200" i="4"/>
  <c r="D200" i="4"/>
  <c r="B201" i="4"/>
  <c r="C201" i="4"/>
  <c r="D201" i="4"/>
  <c r="B202" i="4"/>
  <c r="C202" i="4"/>
  <c r="D202" i="4"/>
  <c r="B203" i="4"/>
  <c r="C203" i="4"/>
  <c r="D203" i="4"/>
  <c r="B204" i="4"/>
  <c r="C204" i="4"/>
  <c r="D204" i="4"/>
  <c r="B205" i="4"/>
  <c r="C205" i="4"/>
  <c r="D205" i="4"/>
  <c r="B206" i="4"/>
  <c r="C206" i="4"/>
  <c r="D206" i="4"/>
  <c r="B207" i="4"/>
  <c r="C207" i="4"/>
  <c r="D207" i="4"/>
  <c r="B208" i="4"/>
  <c r="C208" i="4"/>
  <c r="D208" i="4"/>
  <c r="B209" i="4"/>
  <c r="C209" i="4"/>
  <c r="D209" i="4"/>
  <c r="B210" i="4"/>
  <c r="C210" i="4"/>
  <c r="D210" i="4"/>
  <c r="B211" i="4"/>
  <c r="C211" i="4"/>
  <c r="D211" i="4"/>
  <c r="B212" i="4"/>
  <c r="C212" i="4"/>
  <c r="D212" i="4"/>
  <c r="B213" i="4"/>
  <c r="C213" i="4"/>
  <c r="D213" i="4"/>
  <c r="B214" i="4"/>
  <c r="C214" i="4"/>
  <c r="D214" i="4"/>
  <c r="B215" i="4"/>
  <c r="C215" i="4"/>
  <c r="D215" i="4"/>
  <c r="B216" i="4"/>
  <c r="C216" i="4"/>
  <c r="D216" i="4"/>
  <c r="B217" i="4"/>
  <c r="C217" i="4"/>
  <c r="D217" i="4"/>
  <c r="B218" i="4"/>
  <c r="C218" i="4"/>
  <c r="D218" i="4"/>
  <c r="B219" i="4"/>
  <c r="C219" i="4"/>
  <c r="D219" i="4"/>
  <c r="B220" i="4"/>
  <c r="C220" i="4"/>
  <c r="D220" i="4"/>
  <c r="B221" i="4"/>
  <c r="C221" i="4"/>
  <c r="D221" i="4"/>
  <c r="B222" i="4"/>
  <c r="C222" i="4"/>
  <c r="D222" i="4"/>
  <c r="B223" i="4"/>
  <c r="C223" i="4"/>
  <c r="D223" i="4"/>
  <c r="B224" i="4"/>
  <c r="C224" i="4"/>
  <c r="D224" i="4"/>
  <c r="B225" i="4"/>
  <c r="C225" i="4"/>
  <c r="D225" i="4"/>
  <c r="B226" i="4"/>
  <c r="C226" i="4"/>
  <c r="D226" i="4"/>
  <c r="B227" i="4"/>
  <c r="C227" i="4"/>
  <c r="D227" i="4"/>
  <c r="B228" i="4"/>
  <c r="C228" i="4"/>
  <c r="D228" i="4"/>
  <c r="B229" i="4"/>
  <c r="C229" i="4"/>
  <c r="D229" i="4"/>
  <c r="B230" i="4"/>
  <c r="C230" i="4"/>
  <c r="D230" i="4"/>
  <c r="B231" i="4"/>
  <c r="C231" i="4"/>
  <c r="D231" i="4"/>
  <c r="B232" i="4"/>
  <c r="C232" i="4"/>
  <c r="D232" i="4"/>
  <c r="B233" i="4"/>
  <c r="C233" i="4"/>
  <c r="D233" i="4"/>
  <c r="B234" i="4"/>
  <c r="C234" i="4"/>
  <c r="D234" i="4"/>
  <c r="B235" i="4"/>
  <c r="C235" i="4"/>
  <c r="D235" i="4"/>
  <c r="B236" i="4"/>
  <c r="C236" i="4"/>
  <c r="D236" i="4"/>
  <c r="B237" i="4"/>
  <c r="C237" i="4"/>
  <c r="D237" i="4"/>
  <c r="B238" i="4"/>
  <c r="C238" i="4"/>
  <c r="D238" i="4"/>
  <c r="B239" i="4"/>
  <c r="C239" i="4"/>
  <c r="D239" i="4"/>
  <c r="B240" i="4"/>
  <c r="C240" i="4"/>
  <c r="D240" i="4"/>
  <c r="B241" i="4"/>
  <c r="C241" i="4"/>
  <c r="D241" i="4"/>
  <c r="B242" i="4"/>
  <c r="C242" i="4"/>
  <c r="D242" i="4"/>
  <c r="B243" i="4"/>
  <c r="C243" i="4"/>
  <c r="D243" i="4"/>
  <c r="B244" i="4"/>
  <c r="C244" i="4"/>
  <c r="D244" i="4"/>
  <c r="B245" i="4"/>
  <c r="C245" i="4"/>
  <c r="D245" i="4"/>
  <c r="B246" i="4"/>
  <c r="C246" i="4"/>
  <c r="D246" i="4"/>
  <c r="B247" i="4"/>
  <c r="C247" i="4"/>
  <c r="D247" i="4"/>
  <c r="B248" i="4"/>
  <c r="C248" i="4"/>
  <c r="D248" i="4"/>
  <c r="B249" i="4"/>
  <c r="C249" i="4"/>
  <c r="D249" i="4"/>
  <c r="B250" i="4"/>
  <c r="C250" i="4"/>
  <c r="D250" i="4"/>
  <c r="B251" i="4"/>
  <c r="C251" i="4"/>
  <c r="D251" i="4"/>
  <c r="B252" i="4"/>
  <c r="C252" i="4"/>
  <c r="D252" i="4"/>
  <c r="B253" i="4"/>
  <c r="C253" i="4"/>
  <c r="D253" i="4"/>
  <c r="B254" i="4"/>
  <c r="C254" i="4"/>
  <c r="D254" i="4"/>
  <c r="B255" i="4"/>
  <c r="C255" i="4"/>
  <c r="D255" i="4"/>
  <c r="B256" i="4"/>
  <c r="C256" i="4"/>
  <c r="D256" i="4"/>
  <c r="B257" i="4"/>
  <c r="C257" i="4"/>
  <c r="D257" i="4"/>
  <c r="B258" i="4"/>
  <c r="C258" i="4"/>
  <c r="D258" i="4"/>
  <c r="B259" i="4"/>
  <c r="C259" i="4"/>
  <c r="D259" i="4"/>
  <c r="B260" i="4"/>
  <c r="C260" i="4"/>
  <c r="D260" i="4"/>
  <c r="B261" i="4"/>
  <c r="C261" i="4"/>
  <c r="D261" i="4"/>
  <c r="B262" i="4"/>
  <c r="C262" i="4"/>
  <c r="D262" i="4"/>
  <c r="B263" i="4"/>
  <c r="C263" i="4"/>
  <c r="D263" i="4"/>
  <c r="B264" i="4"/>
  <c r="C264" i="4"/>
  <c r="D264" i="4"/>
  <c r="B265" i="4"/>
  <c r="C265" i="4"/>
  <c r="D265" i="4"/>
  <c r="B266" i="4"/>
  <c r="C266" i="4"/>
  <c r="D266" i="4"/>
  <c r="B267" i="4"/>
  <c r="C267" i="4"/>
  <c r="D267" i="4"/>
  <c r="B268" i="4"/>
  <c r="C268" i="4"/>
  <c r="D268" i="4"/>
  <c r="B269" i="4"/>
  <c r="C269" i="4"/>
  <c r="D269" i="4"/>
  <c r="B270" i="4"/>
  <c r="C270" i="4"/>
  <c r="D270" i="4"/>
  <c r="B271" i="4"/>
  <c r="C271" i="4"/>
  <c r="D271" i="4"/>
  <c r="B272" i="4"/>
  <c r="C272" i="4"/>
  <c r="D272" i="4"/>
  <c r="B274" i="4"/>
  <c r="C274" i="4"/>
  <c r="D274" i="4"/>
  <c r="B275" i="4"/>
  <c r="C275" i="4"/>
  <c r="D275" i="4"/>
  <c r="B276" i="4"/>
  <c r="C276" i="4"/>
  <c r="D276" i="4"/>
  <c r="B277" i="4"/>
  <c r="C277" i="4"/>
  <c r="D277" i="4"/>
  <c r="B278" i="4"/>
  <c r="C278" i="4"/>
  <c r="D278" i="4"/>
  <c r="B279" i="4"/>
  <c r="C279" i="4"/>
  <c r="D279" i="4"/>
  <c r="B280" i="4"/>
  <c r="C280" i="4"/>
  <c r="D280" i="4"/>
  <c r="B281" i="4"/>
  <c r="C281" i="4"/>
  <c r="D281" i="4"/>
  <c r="B282" i="4"/>
  <c r="C282" i="4"/>
  <c r="D282" i="4"/>
  <c r="B283" i="4"/>
  <c r="C283" i="4"/>
  <c r="D283" i="4"/>
  <c r="B284" i="4"/>
  <c r="C284" i="4"/>
  <c r="D284" i="4"/>
  <c r="B285" i="4"/>
  <c r="C285" i="4"/>
  <c r="D285" i="4"/>
  <c r="B286" i="4"/>
  <c r="C286" i="4"/>
  <c r="D286" i="4"/>
  <c r="B287" i="4"/>
  <c r="C287" i="4"/>
  <c r="D287" i="4"/>
  <c r="B288" i="4"/>
  <c r="C288" i="4"/>
  <c r="D288" i="4"/>
  <c r="B289" i="4"/>
  <c r="C289" i="4"/>
  <c r="D289" i="4"/>
  <c r="B290" i="4"/>
  <c r="C290" i="4"/>
  <c r="D290" i="4"/>
  <c r="B291" i="4"/>
  <c r="C291" i="4"/>
  <c r="D291" i="4"/>
  <c r="B292" i="4"/>
  <c r="C292" i="4"/>
  <c r="D292" i="4"/>
  <c r="B293" i="4"/>
  <c r="C293" i="4"/>
  <c r="D293" i="4"/>
  <c r="B294" i="4"/>
  <c r="C294" i="4"/>
  <c r="D294" i="4"/>
  <c r="B295" i="4"/>
  <c r="C295" i="4"/>
  <c r="D295" i="4"/>
  <c r="B296" i="4"/>
  <c r="C296" i="4"/>
  <c r="D296" i="4"/>
  <c r="B297" i="4"/>
  <c r="C297" i="4"/>
  <c r="D297" i="4"/>
  <c r="B298" i="4"/>
  <c r="C298" i="4"/>
  <c r="D298" i="4"/>
  <c r="B299" i="4"/>
  <c r="C299" i="4"/>
  <c r="D299" i="4"/>
  <c r="B300" i="4"/>
  <c r="C300" i="4"/>
  <c r="D300" i="4"/>
  <c r="B301" i="4"/>
  <c r="C301" i="4"/>
  <c r="D301" i="4"/>
  <c r="B302" i="4"/>
  <c r="C302" i="4"/>
  <c r="D302" i="4"/>
  <c r="B303" i="4"/>
  <c r="C303" i="4"/>
  <c r="D303" i="4"/>
  <c r="B304" i="4"/>
  <c r="C304" i="4"/>
  <c r="D304" i="4"/>
  <c r="B305" i="4"/>
  <c r="C305" i="4"/>
  <c r="D305" i="4"/>
  <c r="B306" i="4"/>
  <c r="C306" i="4"/>
  <c r="D306" i="4"/>
  <c r="B307" i="4"/>
  <c r="C307" i="4"/>
  <c r="D307" i="4"/>
  <c r="B2" i="3"/>
  <c r="C2" i="3"/>
  <c r="D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" i="2"/>
  <c r="C2" i="2"/>
  <c r="D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2" i="16"/>
  <c r="C2" i="16"/>
  <c r="D2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B3" i="16"/>
  <c r="C3" i="16"/>
  <c r="D3" i="16"/>
  <c r="B4" i="16"/>
  <c r="C4" i="16"/>
  <c r="D4" i="16"/>
  <c r="B5" i="16"/>
  <c r="C5" i="16"/>
  <c r="D5" i="16"/>
  <c r="B6" i="16"/>
  <c r="C6" i="16"/>
  <c r="D6" i="16"/>
  <c r="B7" i="16"/>
  <c r="C7" i="16"/>
  <c r="D7" i="16"/>
  <c r="B8" i="16"/>
  <c r="C8" i="16"/>
  <c r="D8" i="16"/>
  <c r="B9" i="16"/>
  <c r="C9" i="16"/>
  <c r="D9" i="16"/>
  <c r="B10" i="16"/>
  <c r="C10" i="16"/>
  <c r="D10" i="16"/>
  <c r="B12" i="16"/>
  <c r="C12" i="16"/>
  <c r="D12" i="16"/>
  <c r="B13" i="16"/>
  <c r="C13" i="16"/>
  <c r="D13" i="16"/>
  <c r="B14" i="16"/>
  <c r="C14" i="16"/>
  <c r="D14" i="16"/>
  <c r="B15" i="16"/>
  <c r="C15" i="16"/>
  <c r="D15" i="16"/>
  <c r="B16" i="16"/>
  <c r="C16" i="16"/>
  <c r="D16" i="16"/>
  <c r="B17" i="16"/>
  <c r="C17" i="16"/>
  <c r="D17" i="16"/>
  <c r="B18" i="16"/>
  <c r="C18" i="16"/>
  <c r="D18" i="16"/>
  <c r="B19" i="16"/>
  <c r="C19" i="16"/>
  <c r="D19" i="16"/>
  <c r="B20" i="16"/>
  <c r="C20" i="16"/>
  <c r="D20" i="16"/>
  <c r="B21" i="16"/>
  <c r="C21" i="16"/>
  <c r="D21" i="16"/>
  <c r="B2" i="17"/>
  <c r="C2" i="17"/>
  <c r="D2" i="17"/>
  <c r="A3" i="17"/>
  <c r="B3" i="17"/>
  <c r="C3" i="17"/>
  <c r="D3" i="17"/>
  <c r="A4" i="17"/>
  <c r="A5" i="17" s="1"/>
  <c r="A6" i="17" s="1"/>
  <c r="A7" i="17" s="1"/>
  <c r="A8" i="17" s="1"/>
  <c r="B4" i="17"/>
  <c r="C4" i="17"/>
  <c r="D4" i="17"/>
  <c r="B5" i="17"/>
  <c r="C5" i="17"/>
  <c r="D5" i="17"/>
  <c r="B6" i="17"/>
  <c r="C6" i="17"/>
  <c r="D6" i="17"/>
  <c r="B7" i="17"/>
  <c r="C7" i="17"/>
  <c r="D7" i="17"/>
  <c r="B8" i="17"/>
  <c r="C8" i="17"/>
  <c r="D8" i="17"/>
  <c r="A9" i="17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B9" i="17"/>
  <c r="C9" i="17"/>
  <c r="D9" i="17"/>
  <c r="B10" i="17"/>
  <c r="C10" i="17"/>
  <c r="D10" i="17"/>
  <c r="B11" i="17"/>
  <c r="C11" i="17"/>
  <c r="D11" i="17"/>
  <c r="B12" i="17"/>
  <c r="C12" i="17"/>
  <c r="D12" i="17"/>
  <c r="B13" i="17"/>
  <c r="C13" i="17"/>
  <c r="D13" i="17"/>
  <c r="B14" i="17"/>
  <c r="C14" i="17"/>
  <c r="D14" i="17"/>
  <c r="B15" i="17"/>
  <c r="C15" i="17"/>
  <c r="D15" i="17"/>
  <c r="B16" i="17"/>
  <c r="C16" i="17"/>
  <c r="D16" i="17"/>
  <c r="B18" i="17"/>
  <c r="C18" i="17"/>
  <c r="D18" i="17"/>
  <c r="B19" i="17"/>
  <c r="C19" i="17"/>
  <c r="D19" i="17"/>
  <c r="B20" i="17"/>
  <c r="C20" i="17"/>
  <c r="D20" i="17"/>
  <c r="B21" i="17"/>
  <c r="C21" i="17"/>
  <c r="D21" i="17"/>
  <c r="B2" i="18"/>
  <c r="C2" i="18"/>
  <c r="D2" i="18"/>
  <c r="A3" i="18"/>
  <c r="A4" i="18" s="1"/>
  <c r="A5" i="18" s="1"/>
  <c r="A6" i="18" s="1"/>
  <c r="A7" i="18" s="1"/>
  <c r="A8" i="18" s="1"/>
  <c r="A9" i="18" s="1"/>
  <c r="B3" i="18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A10" i="18"/>
  <c r="B10" i="18"/>
  <c r="C10" i="18"/>
  <c r="D10" i="18"/>
  <c r="A11" i="18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B11" i="18"/>
  <c r="C11" i="18"/>
  <c r="D11" i="18"/>
  <c r="B12" i="18"/>
  <c r="C12" i="18"/>
  <c r="D12" i="18"/>
  <c r="B13" i="18"/>
  <c r="C13" i="18"/>
  <c r="D13" i="18"/>
  <c r="B14" i="18"/>
  <c r="C14" i="18"/>
  <c r="D14" i="18"/>
  <c r="B15" i="18"/>
  <c r="C15" i="18"/>
  <c r="D15" i="18"/>
  <c r="B16" i="18"/>
  <c r="C16" i="18"/>
  <c r="D16" i="18"/>
  <c r="B17" i="18"/>
  <c r="C17" i="18"/>
  <c r="D17" i="18"/>
  <c r="B18" i="18"/>
  <c r="C18" i="18"/>
  <c r="D18" i="18"/>
  <c r="B19" i="18"/>
  <c r="C19" i="18"/>
  <c r="D19" i="18"/>
  <c r="B20" i="18"/>
  <c r="C20" i="18"/>
  <c r="D20" i="18"/>
  <c r="B21" i="18"/>
  <c r="C21" i="18"/>
  <c r="D21" i="18"/>
  <c r="B2" i="19"/>
  <c r="C2" i="19"/>
  <c r="D2" i="19"/>
  <c r="A3" i="19"/>
  <c r="A4" i="19" s="1"/>
  <c r="A5" i="19" s="1"/>
  <c r="A6" i="19" s="1"/>
  <c r="A7" i="19" s="1"/>
  <c r="A8" i="19" s="1"/>
  <c r="B3" i="19"/>
  <c r="C3" i="19"/>
  <c r="D3" i="19"/>
  <c r="B5" i="19"/>
  <c r="C5" i="19"/>
  <c r="D5" i="19"/>
  <c r="B6" i="19"/>
  <c r="C6" i="19"/>
  <c r="D6" i="19"/>
  <c r="B7" i="19"/>
  <c r="C7" i="19"/>
  <c r="D7" i="19"/>
  <c r="B8" i="19"/>
  <c r="C8" i="19"/>
  <c r="D8" i="19"/>
  <c r="A9" i="19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B9" i="19"/>
  <c r="C9" i="19"/>
  <c r="D9" i="19"/>
  <c r="B10" i="19"/>
  <c r="C10" i="19"/>
  <c r="D10" i="19"/>
  <c r="B11" i="19"/>
  <c r="C11" i="19"/>
  <c r="D11" i="19"/>
  <c r="B15" i="19"/>
  <c r="C15" i="19"/>
  <c r="D15" i="19"/>
  <c r="B16" i="19"/>
  <c r="C16" i="19"/>
  <c r="D16" i="19"/>
  <c r="B18" i="19"/>
  <c r="C18" i="19"/>
  <c r="D18" i="19"/>
  <c r="B19" i="19"/>
  <c r="C19" i="19"/>
  <c r="D19" i="19"/>
  <c r="B20" i="19"/>
  <c r="C20" i="19"/>
  <c r="D20" i="19"/>
  <c r="B2" i="20"/>
  <c r="C2" i="20"/>
  <c r="D2" i="20"/>
  <c r="A3" i="20"/>
  <c r="A4" i="20" s="1"/>
  <c r="B3" i="20"/>
  <c r="C3" i="20"/>
  <c r="D3" i="20"/>
  <c r="B4" i="20"/>
  <c r="C4" i="20"/>
  <c r="D4" i="20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B5" i="20"/>
  <c r="C5" i="20"/>
  <c r="D5" i="20"/>
  <c r="B6" i="20"/>
  <c r="C6" i="20"/>
  <c r="D6" i="20"/>
  <c r="B7" i="20"/>
  <c r="C7" i="20"/>
  <c r="D7" i="20"/>
  <c r="B8" i="20"/>
  <c r="C8" i="20"/>
  <c r="D8" i="20"/>
  <c r="B9" i="20"/>
  <c r="C9" i="20"/>
  <c r="D9" i="20"/>
  <c r="B10" i="20"/>
  <c r="C10" i="20"/>
  <c r="D10" i="20"/>
  <c r="B11" i="20"/>
  <c r="C11" i="20"/>
  <c r="D11" i="20"/>
  <c r="B12" i="20"/>
  <c r="C12" i="20"/>
  <c r="D12" i="20"/>
  <c r="B13" i="20"/>
  <c r="C13" i="20"/>
  <c r="D13" i="20"/>
  <c r="B14" i="20"/>
  <c r="C14" i="20"/>
  <c r="D14" i="20"/>
  <c r="B15" i="20"/>
  <c r="C15" i="20"/>
  <c r="D15" i="20"/>
  <c r="B16" i="20"/>
  <c r="C16" i="20"/>
  <c r="D16" i="20"/>
  <c r="B17" i="20"/>
  <c r="C17" i="20"/>
  <c r="D17" i="20"/>
  <c r="B18" i="20"/>
  <c r="C18" i="20"/>
  <c r="D18" i="20"/>
  <c r="B2" i="15"/>
  <c r="C2" i="15"/>
  <c r="D2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B3" i="15"/>
  <c r="C3" i="15"/>
  <c r="D3" i="15"/>
  <c r="B4" i="15"/>
  <c r="C4" i="15"/>
  <c r="D4" i="15"/>
  <c r="B5" i="15"/>
  <c r="C5" i="15"/>
  <c r="D5" i="15"/>
  <c r="B6" i="15"/>
  <c r="C6" i="15"/>
  <c r="D6" i="15"/>
  <c r="B7" i="15"/>
  <c r="C7" i="15"/>
  <c r="D7" i="15"/>
  <c r="E7" i="15"/>
  <c r="B8" i="15"/>
  <c r="C8" i="15"/>
  <c r="D8" i="15"/>
  <c r="E8" i="15"/>
  <c r="B9" i="15"/>
  <c r="C9" i="15"/>
  <c r="D9" i="15"/>
  <c r="B10" i="15"/>
  <c r="C10" i="15"/>
  <c r="E10" i="15" s="1"/>
  <c r="D10" i="15"/>
  <c r="B11" i="15"/>
  <c r="C11" i="15"/>
  <c r="E11" i="15" s="1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E16" i="15" s="1"/>
  <c r="D16" i="15"/>
  <c r="B17" i="15"/>
  <c r="C17" i="15"/>
  <c r="D17" i="15"/>
  <c r="B18" i="15"/>
  <c r="C18" i="15"/>
  <c r="D18" i="15"/>
  <c r="B19" i="15"/>
  <c r="C19" i="15"/>
  <c r="D19" i="15"/>
  <c r="E19" i="15"/>
  <c r="B20" i="15"/>
  <c r="C20" i="15"/>
  <c r="D20" i="15"/>
  <c r="B21" i="15"/>
  <c r="C21" i="15"/>
  <c r="D21" i="15"/>
  <c r="B2" i="11"/>
  <c r="C2" i="11"/>
  <c r="D2" i="11"/>
  <c r="A3" i="11"/>
  <c r="B3" i="11"/>
  <c r="C3" i="11"/>
  <c r="D3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B4" i="11"/>
  <c r="C4" i="11"/>
  <c r="D4" i="11"/>
  <c r="B5" i="11"/>
  <c r="C5" i="11"/>
  <c r="D5" i="11"/>
  <c r="B6" i="11"/>
  <c r="C6" i="11"/>
  <c r="D6" i="11"/>
  <c r="B7" i="11"/>
  <c r="C7" i="11"/>
  <c r="E7" i="11" s="1"/>
  <c r="D7" i="11"/>
  <c r="B8" i="11"/>
  <c r="C8" i="11"/>
  <c r="D8" i="11"/>
  <c r="B9" i="11"/>
  <c r="C9" i="11"/>
  <c r="D9" i="11"/>
  <c r="B10" i="11"/>
  <c r="C10" i="11"/>
  <c r="E10" i="11" s="1"/>
  <c r="D10" i="11"/>
  <c r="B11" i="11"/>
  <c r="C11" i="11"/>
  <c r="D11" i="11"/>
  <c r="B12" i="11"/>
  <c r="C12" i="11"/>
  <c r="D12" i="11"/>
  <c r="B13" i="11"/>
  <c r="C13" i="11"/>
  <c r="E13" i="11" s="1"/>
  <c r="D13" i="11"/>
  <c r="B14" i="11"/>
  <c r="C14" i="11"/>
  <c r="E14" i="11" s="1"/>
  <c r="D14" i="11"/>
  <c r="B16" i="11"/>
  <c r="C16" i="11"/>
  <c r="E16" i="11" s="1"/>
  <c r="D16" i="11"/>
  <c r="B17" i="11"/>
  <c r="C17" i="11"/>
  <c r="D17" i="11"/>
  <c r="B18" i="11"/>
  <c r="C18" i="11"/>
  <c r="D18" i="11"/>
  <c r="B19" i="11"/>
  <c r="C19" i="11"/>
  <c r="D19" i="11"/>
  <c r="B20" i="11"/>
  <c r="C20" i="11"/>
  <c r="E20" i="11" s="1"/>
  <c r="D20" i="11"/>
  <c r="B21" i="11"/>
  <c r="C21" i="11"/>
  <c r="D21" i="11"/>
  <c r="B2" i="10"/>
  <c r="C2" i="10"/>
  <c r="D2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B3" i="10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" i="9"/>
  <c r="C2" i="9"/>
  <c r="D2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B3" i="9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E10" i="21" s="1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E17" i="23" l="1"/>
  <c r="E18" i="23"/>
  <c r="E15" i="23"/>
  <c r="E19" i="23"/>
  <c r="E20" i="23"/>
  <c r="E21" i="23"/>
  <c r="E16" i="23"/>
  <c r="E14" i="23"/>
  <c r="E7" i="23"/>
  <c r="E12" i="23"/>
  <c r="E3" i="23"/>
  <c r="E8" i="23"/>
  <c r="E4" i="23"/>
  <c r="E9" i="23"/>
  <c r="E5" i="22"/>
  <c r="E10" i="22"/>
  <c r="E2" i="22"/>
  <c r="E3" i="22"/>
  <c r="E6" i="22"/>
  <c r="E7" i="22"/>
  <c r="E18" i="22"/>
  <c r="E12" i="22"/>
  <c r="E4" i="22"/>
  <c r="E16" i="22"/>
  <c r="E15" i="22"/>
  <c r="E14" i="22"/>
  <c r="E13" i="21"/>
  <c r="E21" i="21"/>
  <c r="E18" i="21"/>
  <c r="E9" i="21"/>
  <c r="E20" i="21"/>
  <c r="E2" i="21"/>
  <c r="E4" i="21"/>
  <c r="E3" i="21"/>
  <c r="E14" i="21"/>
  <c r="E8" i="21"/>
  <c r="E5" i="21"/>
  <c r="E7" i="21"/>
  <c r="H7" i="21"/>
  <c r="H3" i="21"/>
  <c r="H2" i="21"/>
  <c r="H4" i="21"/>
  <c r="H6" i="21"/>
  <c r="H5" i="21"/>
  <c r="H3" i="9"/>
  <c r="H2" i="11"/>
  <c r="E15" i="18"/>
  <c r="E4" i="19"/>
  <c r="E9" i="15"/>
  <c r="E6" i="15"/>
  <c r="E14" i="15"/>
  <c r="E17" i="15"/>
  <c r="E12" i="15"/>
  <c r="E21" i="15"/>
  <c r="E6" i="11"/>
  <c r="E2" i="11"/>
  <c r="E5" i="11"/>
  <c r="E17" i="11"/>
  <c r="E4" i="11"/>
  <c r="E3" i="20"/>
  <c r="E8" i="11"/>
  <c r="E3" i="11"/>
  <c r="E9" i="17"/>
  <c r="H6" i="10"/>
  <c r="H4" i="9"/>
  <c r="H4" i="17"/>
  <c r="H2" i="15"/>
  <c r="H3" i="15"/>
  <c r="H6" i="20"/>
  <c r="H7" i="9"/>
  <c r="H5" i="19"/>
  <c r="H6" i="9"/>
  <c r="H4" i="20"/>
  <c r="H3" i="18"/>
  <c r="H3" i="11"/>
  <c r="H7" i="15"/>
  <c r="H6" i="19"/>
  <c r="H6" i="17"/>
  <c r="H4" i="15"/>
  <c r="H2" i="19"/>
  <c r="E8" i="18"/>
  <c r="H3" i="10"/>
  <c r="E18" i="11"/>
  <c r="E16" i="20"/>
  <c r="E13" i="20"/>
  <c r="E10" i="20"/>
  <c r="H7" i="20"/>
  <c r="E12" i="19"/>
  <c r="H3" i="19"/>
  <c r="E9" i="18"/>
  <c r="H5" i="18"/>
  <c r="H2" i="18"/>
  <c r="H4" i="18"/>
  <c r="H6" i="18"/>
  <c r="E14" i="17"/>
  <c r="E7" i="17"/>
  <c r="H5" i="9"/>
  <c r="H5" i="15"/>
  <c r="E20" i="20"/>
  <c r="E7" i="20"/>
  <c r="E8" i="19"/>
  <c r="E2" i="19"/>
  <c r="E12" i="18"/>
  <c r="E2" i="18"/>
  <c r="E10" i="17"/>
  <c r="E20" i="16"/>
  <c r="E8" i="16"/>
  <c r="E4" i="16"/>
  <c r="E18" i="18"/>
  <c r="E11" i="18"/>
  <c r="E3" i="18"/>
  <c r="E5" i="18"/>
  <c r="E7" i="18"/>
  <c r="E10" i="18"/>
  <c r="H5" i="10"/>
  <c r="E5" i="15"/>
  <c r="E3" i="15"/>
  <c r="E15" i="20"/>
  <c r="H2" i="20"/>
  <c r="E18" i="19"/>
  <c r="E5" i="19"/>
  <c r="E18" i="17"/>
  <c r="E13" i="17"/>
  <c r="H3" i="17"/>
  <c r="H5" i="17"/>
  <c r="H7" i="17"/>
  <c r="H2" i="17"/>
  <c r="E16" i="16"/>
  <c r="E3" i="17"/>
  <c r="E12" i="16"/>
  <c r="H2" i="9"/>
  <c r="H7" i="10"/>
  <c r="H7" i="11"/>
  <c r="H5" i="11"/>
  <c r="E17" i="19"/>
  <c r="H4" i="19"/>
  <c r="E21" i="18"/>
  <c r="E21" i="17"/>
  <c r="E19" i="16"/>
  <c r="E11" i="19"/>
  <c r="H2" i="10"/>
  <c r="E12" i="20"/>
  <c r="E14" i="18"/>
  <c r="H7" i="18"/>
  <c r="E4" i="18"/>
  <c r="E15" i="16"/>
  <c r="E15" i="11"/>
  <c r="E13" i="19"/>
  <c r="E21" i="16"/>
  <c r="E14" i="16"/>
  <c r="E3" i="16"/>
  <c r="E5" i="16"/>
  <c r="E7" i="16"/>
  <c r="E17" i="16"/>
  <c r="E21" i="19"/>
  <c r="E10" i="16"/>
  <c r="E13" i="16"/>
  <c r="E11" i="16"/>
  <c r="E9" i="11"/>
  <c r="E18" i="15"/>
  <c r="E9" i="20"/>
  <c r="E4" i="20"/>
  <c r="E20" i="19"/>
  <c r="E16" i="19"/>
  <c r="E10" i="19"/>
  <c r="E7" i="19"/>
  <c r="E3" i="19"/>
  <c r="E18" i="16"/>
  <c r="E12" i="11"/>
  <c r="H4" i="10"/>
  <c r="E19" i="11"/>
  <c r="E13" i="15"/>
  <c r="H6" i="15"/>
  <c r="E14" i="20"/>
  <c r="E11" i="20"/>
  <c r="E20" i="18"/>
  <c r="E17" i="18"/>
  <c r="E5" i="17"/>
  <c r="E6" i="16"/>
  <c r="H2" i="16"/>
  <c r="H4" i="16"/>
  <c r="H6" i="16"/>
  <c r="H3" i="16"/>
  <c r="H5" i="16"/>
  <c r="H7" i="16"/>
  <c r="E2" i="20"/>
  <c r="E11" i="11"/>
  <c r="E20" i="15"/>
  <c r="E4" i="15"/>
  <c r="E6" i="20"/>
  <c r="H3" i="20"/>
  <c r="E9" i="19"/>
  <c r="E2" i="16"/>
  <c r="E18" i="20"/>
  <c r="E21" i="11"/>
  <c r="E15" i="15"/>
  <c r="E2" i="15"/>
  <c r="E17" i="20"/>
  <c r="E15" i="19"/>
  <c r="E6" i="19"/>
  <c r="E19" i="18"/>
  <c r="E15" i="17"/>
  <c r="E12" i="17"/>
  <c r="E20" i="17"/>
  <c r="E19" i="20"/>
  <c r="E2" i="17"/>
  <c r="E4" i="17"/>
  <c r="E6" i="17"/>
  <c r="E8" i="17"/>
  <c r="E16" i="17"/>
  <c r="E19" i="17"/>
  <c r="E17" i="17"/>
  <c r="H6" i="11"/>
  <c r="H4" i="11"/>
  <c r="E8" i="20"/>
  <c r="H5" i="20"/>
  <c r="E16" i="18"/>
  <c r="E13" i="18"/>
  <c r="E6" i="18"/>
  <c r="E11" i="17"/>
  <c r="E9" i="16"/>
  <c r="A48" i="5"/>
  <c r="A153" i="5" s="1"/>
  <c r="A154" i="5" s="1"/>
  <c r="A155" i="5" s="1"/>
  <c r="A156" i="5" s="1"/>
  <c r="A157" i="5" s="1"/>
  <c r="A158" i="5" s="1"/>
  <c r="A159" i="5" s="1"/>
  <c r="A160" i="5" s="1"/>
  <c r="A161" i="5" s="1"/>
  <c r="A42" i="5"/>
  <c r="A43" i="5" s="1"/>
  <c r="A44" i="5" s="1"/>
  <c r="A45" i="5" s="1"/>
  <c r="A46" i="5" s="1"/>
  <c r="E21" i="20"/>
  <c r="E5" i="20"/>
  <c r="E19" i="19"/>
  <c r="E14" i="19"/>
  <c r="H7" i="19"/>
</calcChain>
</file>

<file path=xl/sharedStrings.xml><?xml version="1.0" encoding="utf-8"?>
<sst xmlns="http://schemas.openxmlformats.org/spreadsheetml/2006/main" count="4338" uniqueCount="937">
  <si>
    <t>ID #</t>
  </si>
  <si>
    <t>Name</t>
  </si>
  <si>
    <t>Position</t>
  </si>
  <si>
    <t>A.J. Derby</t>
  </si>
  <si>
    <t>TE</t>
  </si>
  <si>
    <t>Adam Humphries</t>
  </si>
  <si>
    <t>WR</t>
  </si>
  <si>
    <t>Alfred Blue</t>
  </si>
  <si>
    <t>RB</t>
  </si>
  <si>
    <t>Alfred Morris</t>
  </si>
  <si>
    <t>Andre Ellington</t>
  </si>
  <si>
    <t>Antonio Gates</t>
  </si>
  <si>
    <t>Austin Ekeler</t>
  </si>
  <si>
    <t>Austin Hooper</t>
  </si>
  <si>
    <t>Austin Seferian-Jenkins</t>
  </si>
  <si>
    <t>Ben Watson</t>
  </si>
  <si>
    <t>Bennie Fowler</t>
  </si>
  <si>
    <t>Brandon Coleman</t>
  </si>
  <si>
    <t>Brandon LaFell</t>
  </si>
  <si>
    <t>Brice Butler</t>
  </si>
  <si>
    <t>Bruce Ellington</t>
  </si>
  <si>
    <t>Charcandrick West</t>
  </si>
  <si>
    <t>Chester Rogers</t>
  </si>
  <si>
    <t>Chris Conley</t>
  </si>
  <si>
    <t>Chris Godwin</t>
  </si>
  <si>
    <t>Chris Ivory</t>
  </si>
  <si>
    <t>Chris Johnson</t>
  </si>
  <si>
    <t>Chris Moore</t>
  </si>
  <si>
    <t>Coby Fleener</t>
  </si>
  <si>
    <t>Cody Latimer</t>
  </si>
  <si>
    <t>Cole Beasley</t>
  </si>
  <si>
    <t>Cordarrelle Patterson</t>
  </si>
  <si>
    <t>Corey Coleman</t>
  </si>
  <si>
    <t>Corey Davis</t>
  </si>
  <si>
    <t>Damien Williams</t>
  </si>
  <si>
    <t>Danny Woodhead</t>
  </si>
  <si>
    <t>Darren Sproles</t>
  </si>
  <si>
    <t>David Njoku</t>
  </si>
  <si>
    <t>DeAndre Washington</t>
  </si>
  <si>
    <t>Deonte Thompson</t>
  </si>
  <si>
    <t>Devontae Booker</t>
  </si>
  <si>
    <t>Donte Moncrief</t>
  </si>
  <si>
    <t>Dontrelle Inman</t>
  </si>
  <si>
    <t>Ed Dickson</t>
  </si>
  <si>
    <t>Elijah McGuire</t>
  </si>
  <si>
    <t>Eric Decker</t>
  </si>
  <si>
    <t>Eric Ebron</t>
  </si>
  <si>
    <t>Garrett Celek</t>
  </si>
  <si>
    <t>Geno Smith</t>
  </si>
  <si>
    <t>QB</t>
  </si>
  <si>
    <t>George Kittle</t>
  </si>
  <si>
    <t>Greg Olsen</t>
  </si>
  <si>
    <t>Hunter Sharp</t>
  </si>
  <si>
    <t>J.D. McKissic</t>
  </si>
  <si>
    <t>Jaelen Strong</t>
  </si>
  <si>
    <t>Jalen Richard</t>
  </si>
  <si>
    <t>Jamaal Charles</t>
  </si>
  <si>
    <t>Jared Cook</t>
  </si>
  <si>
    <t>Jaron Brown</t>
  </si>
  <si>
    <t>Jermaine Gresham</t>
  </si>
  <si>
    <t>Jesse James</t>
  </si>
  <si>
    <t>JJ Nelson</t>
  </si>
  <si>
    <t>Jordan Matthews</t>
  </si>
  <si>
    <t>Julius Thomas</t>
  </si>
  <si>
    <t>Kendall Wright</t>
  </si>
  <si>
    <t>Kenny Britt</t>
  </si>
  <si>
    <t>Kerwynn Williams</t>
  </si>
  <si>
    <t>Malcolm Brown</t>
  </si>
  <si>
    <t>Marcedes Lewis</t>
  </si>
  <si>
    <t>Martellus Bennett</t>
  </si>
  <si>
    <t>Mike Tolbert</t>
  </si>
  <si>
    <t>Peyton Barber</t>
  </si>
  <si>
    <t>Ricky Seals-Jones</t>
  </si>
  <si>
    <t>Seth Devalve</t>
  </si>
  <si>
    <t>Zay Jones</t>
  </si>
  <si>
    <t>Josh Bellamy</t>
  </si>
  <si>
    <t>Rod Smith</t>
  </si>
  <si>
    <t>Roger Lewis</t>
  </si>
  <si>
    <t>Rashard Higgins</t>
  </si>
  <si>
    <t>Nick O'Leary</t>
  </si>
  <si>
    <t>Shane Vereen</t>
  </si>
  <si>
    <t>Charles Sims</t>
  </si>
  <si>
    <t>Ryan Griffin</t>
  </si>
  <si>
    <t>Stephen Anderson</t>
  </si>
  <si>
    <t>Justin Hardy</t>
  </si>
  <si>
    <t>Luke Willson</t>
  </si>
  <si>
    <t>Corey Grant</t>
  </si>
  <si>
    <t>A.J. Green</t>
  </si>
  <si>
    <t>Aaron Jones</t>
  </si>
  <si>
    <t>Aaron Rodgers</t>
  </si>
  <si>
    <t>Adam Thielen</t>
  </si>
  <si>
    <t>Aldrick Robinson</t>
  </si>
  <si>
    <t>Adrian Peterson</t>
  </si>
  <si>
    <t>Jacquizz Rodgers</t>
  </si>
  <si>
    <t>Albert Wilson</t>
  </si>
  <si>
    <t>Alex Collins</t>
  </si>
  <si>
    <t>Alex Smith</t>
  </si>
  <si>
    <t>Allen Hurns</t>
  </si>
  <si>
    <t>Alshon Jeffery</t>
  </si>
  <si>
    <t>Alvin Kamara</t>
  </si>
  <si>
    <t>Kyle Juszczyk</t>
  </si>
  <si>
    <t>Benny Cunningham</t>
  </si>
  <si>
    <t>Seth Roberts</t>
  </si>
  <si>
    <t>Amari Cooper</t>
  </si>
  <si>
    <t>Ameer Abdullah</t>
  </si>
  <si>
    <t>Andy Dalton</t>
  </si>
  <si>
    <t>Antonio Brown</t>
  </si>
  <si>
    <t>Ben Roethlisberger</t>
  </si>
  <si>
    <t>Bilal Powell</t>
  </si>
  <si>
    <t>Ricardo Louis</t>
  </si>
  <si>
    <t>Tyler Higbee</t>
  </si>
  <si>
    <t>Rhett Ellison</t>
  </si>
  <si>
    <t>Blaine Gabbert</t>
  </si>
  <si>
    <t>Gerald Everett</t>
  </si>
  <si>
    <t>Darren Fells</t>
  </si>
  <si>
    <t>Johnny Holton</t>
  </si>
  <si>
    <t>Blake Bortles</t>
  </si>
  <si>
    <t>Brandin Cooks</t>
  </si>
  <si>
    <t>Brett Hundley</t>
  </si>
  <si>
    <t>Brian Hoyer</t>
  </si>
  <si>
    <t>Brock Osweiler</t>
  </si>
  <si>
    <t>Bryce Petty</t>
  </si>
  <si>
    <t>C.J. Anderson</t>
  </si>
  <si>
    <t>C.J. Beathard</t>
  </si>
  <si>
    <t>Cam Newton</t>
  </si>
  <si>
    <t>Cameron Brate</t>
  </si>
  <si>
    <t>Carlos Hyde</t>
  </si>
  <si>
    <t>Carson Palmer</t>
  </si>
  <si>
    <t>Carson Wentz</t>
  </si>
  <si>
    <t>Case Keenum</t>
  </si>
  <si>
    <t>Charles Clay</t>
  </si>
  <si>
    <t>Chris Carson</t>
  </si>
  <si>
    <t>Chris Hogan</t>
  </si>
  <si>
    <t>Chris Thompson</t>
  </si>
  <si>
    <t>Christian McCaffrey</t>
  </si>
  <si>
    <t>Cooper Kupp</t>
  </si>
  <si>
    <t>Corey Clement</t>
  </si>
  <si>
    <t>T.J. Jones</t>
  </si>
  <si>
    <t>Dak Prescott</t>
  </si>
  <si>
    <t>Dalvin Cook</t>
  </si>
  <si>
    <t>Danny Amendola</t>
  </si>
  <si>
    <t>Davante Adams</t>
  </si>
  <si>
    <t>David Fales</t>
  </si>
  <si>
    <t>David Johnson</t>
  </si>
  <si>
    <t>DeAndre Hopkins</t>
  </si>
  <si>
    <t>Taywan Taylor</t>
  </si>
  <si>
    <t>Dede Westbrook</t>
  </si>
  <si>
    <t>Delanie Walker</t>
  </si>
  <si>
    <t>DeMarco Murray</t>
  </si>
  <si>
    <t>Demaryius Thomas</t>
  </si>
  <si>
    <t>Derek Carr</t>
  </si>
  <si>
    <t>Derrick Henry</t>
  </si>
  <si>
    <t>Jarius Wright</t>
  </si>
  <si>
    <t>Jakeem Grant</t>
  </si>
  <si>
    <t>DeSean Jackson</t>
  </si>
  <si>
    <t>Deshaun Watson</t>
  </si>
  <si>
    <t>DeShone Kizer</t>
  </si>
  <si>
    <t>Adam Shaheen</t>
  </si>
  <si>
    <t>DeVante Parker</t>
  </si>
  <si>
    <t>Devin Funchess</t>
  </si>
  <si>
    <t>Devonta Freeman</t>
  </si>
  <si>
    <t>Dez Bryant</t>
  </si>
  <si>
    <t>Taylor Gabriel</t>
  </si>
  <si>
    <t>Tavon Austin</t>
  </si>
  <si>
    <t>Demetrius Harris</t>
  </si>
  <si>
    <t>Andre Holmes</t>
  </si>
  <si>
    <t>Dion Lewis</t>
  </si>
  <si>
    <t>D'Onta Foreman</t>
  </si>
  <si>
    <t>Doug Baldwin</t>
  </si>
  <si>
    <t>Doug Martin</t>
  </si>
  <si>
    <t>Drew Brees</t>
  </si>
  <si>
    <t>Drew Stanton</t>
  </si>
  <si>
    <t>Duke Johnson</t>
  </si>
  <si>
    <t>Mack Hollins</t>
  </si>
  <si>
    <t>EJ Manuel</t>
  </si>
  <si>
    <t>Eli Manning</t>
  </si>
  <si>
    <t>Emmanuel Sanders</t>
  </si>
  <si>
    <t>Evan Engram</t>
  </si>
  <si>
    <t>Michael Campanaro</t>
  </si>
  <si>
    <t>Jonnu Smith</t>
  </si>
  <si>
    <t>Russell Shepard</t>
  </si>
  <si>
    <t>Elijhaa Penny</t>
  </si>
  <si>
    <t>Ezekiel Elliott</t>
  </si>
  <si>
    <t>Frank Gore</t>
  </si>
  <si>
    <t>Giovani Bernard</t>
  </si>
  <si>
    <t>Terrance Williams</t>
  </si>
  <si>
    <t>Golden Tate</t>
  </si>
  <si>
    <t>Hunter Henry</t>
  </si>
  <si>
    <t>Terrelle Pryor</t>
  </si>
  <si>
    <t>Isaiah Crowell</t>
  </si>
  <si>
    <t>Jack Doyle</t>
  </si>
  <si>
    <t>De'Anthony Thomas</t>
  </si>
  <si>
    <t>Jacoby Brissett</t>
  </si>
  <si>
    <t>Jamaal Williams</t>
  </si>
  <si>
    <t>Jameis Winston</t>
  </si>
  <si>
    <t>James White</t>
  </si>
  <si>
    <t>Jamison Crowder</t>
  </si>
  <si>
    <t>Jared Goff</t>
  </si>
  <si>
    <t>Jarvis Landry</t>
  </si>
  <si>
    <t>Jason Witten</t>
  </si>
  <si>
    <t>Javorius Allen</t>
  </si>
  <si>
    <t>Jay Ajayi</t>
  </si>
  <si>
    <t>Jay Cutler</t>
  </si>
  <si>
    <t>Lance Kendricks</t>
  </si>
  <si>
    <t>Kendrick Bourne</t>
  </si>
  <si>
    <t>Jeff Heuerman</t>
  </si>
  <si>
    <t>Jeremy Maclin</t>
  </si>
  <si>
    <t>Jerick McKinnon</t>
  </si>
  <si>
    <t>Jermaine Kearse</t>
  </si>
  <si>
    <t>Jimmy Garoppolo</t>
  </si>
  <si>
    <t>Jimmy Graham</t>
  </si>
  <si>
    <t>Joe Flacco</t>
  </si>
  <si>
    <t>Virgil Green</t>
  </si>
  <si>
    <t>Vance McDonald</t>
  </si>
  <si>
    <t>Joe Mixon</t>
  </si>
  <si>
    <t>John Brown</t>
  </si>
  <si>
    <t>Jonathan Stewart</t>
  </si>
  <si>
    <t>Jordan Howard</t>
  </si>
  <si>
    <t>Jeremy Kerley</t>
  </si>
  <si>
    <t>Damiere Byrd</t>
  </si>
  <si>
    <t>Dion Sims</t>
  </si>
  <si>
    <t>Jordan Reed</t>
  </si>
  <si>
    <t>Alex Erickson</t>
  </si>
  <si>
    <t>Jordy Nelson</t>
  </si>
  <si>
    <t>Geronimo Allison</t>
  </si>
  <si>
    <t>Thomas Rawls</t>
  </si>
  <si>
    <t>Eddie Lacy</t>
  </si>
  <si>
    <t>Tommy Bohanon</t>
  </si>
  <si>
    <t>Josh Doctson</t>
  </si>
  <si>
    <t>Josh Gordon</t>
  </si>
  <si>
    <t>Josh McCown</t>
  </si>
  <si>
    <t>JuJu Smith-Schuster</t>
  </si>
  <si>
    <t>Julio Jones</t>
  </si>
  <si>
    <t>Kapri Bibbs</t>
  </si>
  <si>
    <t>Kareem Hunt</t>
  </si>
  <si>
    <t>Keelan Cole</t>
  </si>
  <si>
    <t>Nick Boyle</t>
  </si>
  <si>
    <t>Braxton Miller</t>
  </si>
  <si>
    <t>Travaris Cadet</t>
  </si>
  <si>
    <t>Richard Rodgers</t>
  </si>
  <si>
    <t>Keenan Allen</t>
  </si>
  <si>
    <t>Kelvin Benjamin</t>
  </si>
  <si>
    <t>Kenny Golladay</t>
  </si>
  <si>
    <t>Kenny Stills</t>
  </si>
  <si>
    <t>Demarcus Robinson</t>
  </si>
  <si>
    <t>James O'Shaughnessy</t>
  </si>
  <si>
    <t>Kenyan Drake</t>
  </si>
  <si>
    <t>Kevin Hogan</t>
  </si>
  <si>
    <t>Kirk Cousins</t>
  </si>
  <si>
    <t>Kyle Rudolph</t>
  </si>
  <si>
    <t>Laquon Treadwell</t>
  </si>
  <si>
    <t>Phillip Dorsett</t>
  </si>
  <si>
    <t>Lamar Miller</t>
  </si>
  <si>
    <t>Torrey Smith</t>
  </si>
  <si>
    <t>Larry Fitzgerald</t>
  </si>
  <si>
    <t>Eli Rogers</t>
  </si>
  <si>
    <t>Brent Celek</t>
  </si>
  <si>
    <t>Troy Niklas</t>
  </si>
  <si>
    <t>Latavius Murray</t>
  </si>
  <si>
    <t>LeGarrette Blount</t>
  </si>
  <si>
    <t>Levine Toilolo</t>
  </si>
  <si>
    <t>Curtis Samuel</t>
  </si>
  <si>
    <t>Nick Vannett</t>
  </si>
  <si>
    <t>Eric Tomlinson</t>
  </si>
  <si>
    <t>Louis Murphy</t>
  </si>
  <si>
    <t>Leonard Fournette</t>
  </si>
  <si>
    <t>LeSean McCoy</t>
  </si>
  <si>
    <t>Le'Veon Bell</t>
  </si>
  <si>
    <t>Anthony Fasano</t>
  </si>
  <si>
    <t>Tommylee Lewis</t>
  </si>
  <si>
    <t>Robert Turbin</t>
  </si>
  <si>
    <t>Kenjon Barner</t>
  </si>
  <si>
    <t>Marcus Mariota</t>
  </si>
  <si>
    <t>Marcus Murphy</t>
  </si>
  <si>
    <t>Mark Ingram</t>
  </si>
  <si>
    <t>Marlon Mack</t>
  </si>
  <si>
    <t>Marqise Lee</t>
  </si>
  <si>
    <t>Marquise Goodwin</t>
  </si>
  <si>
    <t>Marshawn Lynch</t>
  </si>
  <si>
    <t>Josh Reynolds</t>
  </si>
  <si>
    <t>Jaydon Mickens</t>
  </si>
  <si>
    <t>David Morgan</t>
  </si>
  <si>
    <t>Martavis Bryant</t>
  </si>
  <si>
    <t>Cameron Artis-Payne</t>
  </si>
  <si>
    <t>Marvin Jones</t>
  </si>
  <si>
    <t>Trent Taylor</t>
  </si>
  <si>
    <t>Matt Breida</t>
  </si>
  <si>
    <t>Matt Forte</t>
  </si>
  <si>
    <t>Matt Moore</t>
  </si>
  <si>
    <t>Brandon Marshall</t>
  </si>
  <si>
    <t>D.J. Foster</t>
  </si>
  <si>
    <t>C.J. Uzomah</t>
  </si>
  <si>
    <t>Dwayne Allen</t>
  </si>
  <si>
    <t>Anthony Sherman</t>
  </si>
  <si>
    <t>Matt Ryan</t>
  </si>
  <si>
    <t>James Hanna</t>
  </si>
  <si>
    <t>Trey Burton</t>
  </si>
  <si>
    <t>Matthew Stafford</t>
  </si>
  <si>
    <t>Melvin Gordon</t>
  </si>
  <si>
    <t>Michael Crabtree</t>
  </si>
  <si>
    <t>Michael Thomas</t>
  </si>
  <si>
    <t>Mike Davis</t>
  </si>
  <si>
    <t>Mike Evans</t>
  </si>
  <si>
    <t>Josh Hill</t>
  </si>
  <si>
    <t>Jordan Taylor</t>
  </si>
  <si>
    <t>Tre McBride</t>
  </si>
  <si>
    <t>Paul Perkins</t>
  </si>
  <si>
    <t>C.J. Ham</t>
  </si>
  <si>
    <t>Brandon Tate</t>
  </si>
  <si>
    <t>Jamize Olawale</t>
  </si>
  <si>
    <t>James Conner</t>
  </si>
  <si>
    <t>Darrius Heyward-Bey</t>
  </si>
  <si>
    <t>Mike Gillislee</t>
  </si>
  <si>
    <t>Mike Glennon</t>
  </si>
  <si>
    <t>Mike Wallace</t>
  </si>
  <si>
    <t>Mitch Trubisky</t>
  </si>
  <si>
    <t>Mohamed Sanu</t>
  </si>
  <si>
    <t>Nate Sudfeld</t>
  </si>
  <si>
    <t>Kamar Aiken</t>
  </si>
  <si>
    <t>C.J. Fiedorowicz</t>
  </si>
  <si>
    <t>Maxx Williams</t>
  </si>
  <si>
    <t>Daniel Brown</t>
  </si>
  <si>
    <t>Brenton Bersin</t>
  </si>
  <si>
    <t>Jeremy Hill</t>
  </si>
  <si>
    <t>Logan Thomas</t>
  </si>
  <si>
    <t>Josh Malone</t>
  </si>
  <si>
    <t>Fozzy Whittaker</t>
  </si>
  <si>
    <t>Roosevelt Nix</t>
  </si>
  <si>
    <t>Tyler Boyd</t>
  </si>
  <si>
    <t>Nelson Agholor</t>
  </si>
  <si>
    <t>Nick Foles</t>
  </si>
  <si>
    <t>O.J. Howard</t>
  </si>
  <si>
    <t>Odell Beckham</t>
  </si>
  <si>
    <t>Orleans Darkwa</t>
  </si>
  <si>
    <t>Patrick Mahomes</t>
  </si>
  <si>
    <t>Brandon Williams</t>
  </si>
  <si>
    <t>Travis Rudolph</t>
  </si>
  <si>
    <t>Terron Ward</t>
  </si>
  <si>
    <t>Maurice Harris</t>
  </si>
  <si>
    <t>Marvin Hall</t>
  </si>
  <si>
    <t>Paul Richardson</t>
  </si>
  <si>
    <t>Tyler Lockett</t>
  </si>
  <si>
    <t>Paxton Lynch</t>
  </si>
  <si>
    <t>Philip Rivers</t>
  </si>
  <si>
    <t>Pierre Garcon</t>
  </si>
  <si>
    <t>Randall Cobb</t>
  </si>
  <si>
    <t>Rex Burkhead</t>
  </si>
  <si>
    <t>Rishard Matthews</t>
  </si>
  <si>
    <t>Rob Gronkowski</t>
  </si>
  <si>
    <t>Robby Anderson</t>
  </si>
  <si>
    <t>Michael Hoomanawanui</t>
  </si>
  <si>
    <t>C.J. Prosise</t>
  </si>
  <si>
    <t>Branden Oliver</t>
  </si>
  <si>
    <t>ArDarius Stewart</t>
  </si>
  <si>
    <t>Robert Kelley</t>
  </si>
  <si>
    <t>Andy Janovich</t>
  </si>
  <si>
    <t>De'Angelo Henderson</t>
  </si>
  <si>
    <t>Lance Dunbar</t>
  </si>
  <si>
    <t>Trey Edmunds</t>
  </si>
  <si>
    <t>Robert Woods</t>
  </si>
  <si>
    <t>Russell Wilson</t>
  </si>
  <si>
    <t>Ryan Fitzpatrick</t>
  </si>
  <si>
    <t>Ryan Grant</t>
  </si>
  <si>
    <t>Ryan Mallett</t>
  </si>
  <si>
    <t>Sam Bradford</t>
  </si>
  <si>
    <t>Niles Paul</t>
  </si>
  <si>
    <t>Austin Traylor</t>
  </si>
  <si>
    <t>Mike Williams</t>
  </si>
  <si>
    <t>Nathan Peterman</t>
  </si>
  <si>
    <t>Freddie Martino</t>
  </si>
  <si>
    <t>Phillip Supernaw</t>
  </si>
  <si>
    <t>Samaje Perine</t>
  </si>
  <si>
    <t>Sammy Watkins</t>
  </si>
  <si>
    <t>Zach Line</t>
  </si>
  <si>
    <t>Stefon Diggs</t>
  </si>
  <si>
    <t>Vernon Davis</t>
  </si>
  <si>
    <t>Sterling Shepard</t>
  </si>
  <si>
    <t>Stevan Ridley</t>
  </si>
  <si>
    <t>T.J. Yates</t>
  </si>
  <si>
    <t>T.J. Yeldon</t>
  </si>
  <si>
    <t>Kaelin Clay</t>
  </si>
  <si>
    <t>Chad Hansen</t>
  </si>
  <si>
    <t>Jerell Adams</t>
  </si>
  <si>
    <t>Mike Thomas</t>
  </si>
  <si>
    <t>Xavier Grimble</t>
  </si>
  <si>
    <t>Luke Stocker</t>
  </si>
  <si>
    <t>Landry Jones</t>
  </si>
  <si>
    <t>Jesus Wilson</t>
  </si>
  <si>
    <t>Zach Zenner</t>
  </si>
  <si>
    <t>T.Y. Hilton</t>
  </si>
  <si>
    <t>Wendell Smallwood</t>
  </si>
  <si>
    <t>Tarik Cohen</t>
  </si>
  <si>
    <t>Tavarres King</t>
  </si>
  <si>
    <t>Ted Ginn</t>
  </si>
  <si>
    <t>Michael Floyd</t>
  </si>
  <si>
    <t>Breshad Perriman</t>
  </si>
  <si>
    <t>Kasen Williams</t>
  </si>
  <si>
    <t>Clive Walford</t>
  </si>
  <si>
    <t>Lee Smith</t>
  </si>
  <si>
    <t>Ross Travis</t>
  </si>
  <si>
    <t>Neal Sterling</t>
  </si>
  <si>
    <t>Brian Quick</t>
  </si>
  <si>
    <t>Trevor Davis</t>
  </si>
  <si>
    <t>Justin Hunter</t>
  </si>
  <si>
    <t>Terrance West</t>
  </si>
  <si>
    <t>Tevin Coleman</t>
  </si>
  <si>
    <t>Theo Riddick</t>
  </si>
  <si>
    <t>Tion Green</t>
  </si>
  <si>
    <t>Todd Gurley</t>
  </si>
  <si>
    <t>Tom Brady</t>
  </si>
  <si>
    <t>Tom Savage</t>
  </si>
  <si>
    <t>Pharoh Cooper</t>
  </si>
  <si>
    <t>Tanner McEvoy</t>
  </si>
  <si>
    <t>Willie Snead</t>
  </si>
  <si>
    <t>Derek Carrier</t>
  </si>
  <si>
    <t>Amara Darboh</t>
  </si>
  <si>
    <t>Travis Benjamin</t>
  </si>
  <si>
    <t>Leonte Carroo</t>
  </si>
  <si>
    <t>Sammie Coates</t>
  </si>
  <si>
    <t>Byron Marshall</t>
  </si>
  <si>
    <t>Bryce Treggs</t>
  </si>
  <si>
    <t>Brittan Golden</t>
  </si>
  <si>
    <t>Brian Hill</t>
  </si>
  <si>
    <t>Jeremy Sprinkle</t>
  </si>
  <si>
    <t>Tre Madden</t>
  </si>
  <si>
    <t>Brandon Bolden</t>
  </si>
  <si>
    <t>Travis Kelce</t>
  </si>
  <si>
    <t>Trevor Siemian</t>
  </si>
  <si>
    <t>Ty Montgomery</t>
  </si>
  <si>
    <t>Tyler Kroft</t>
  </si>
  <si>
    <t>Tyreek Hill</t>
  </si>
  <si>
    <t>Alan Cross</t>
  </si>
  <si>
    <t>Ben Koyack</t>
  </si>
  <si>
    <t>Chad Williams</t>
  </si>
  <si>
    <t>Derek Watt</t>
  </si>
  <si>
    <t>Dwayne Washington</t>
  </si>
  <si>
    <t>Jalston Fowler</t>
  </si>
  <si>
    <t>Vince Mayle</t>
  </si>
  <si>
    <t>Tyrell Williams</t>
  </si>
  <si>
    <t>Tyrod Taylor</t>
  </si>
  <si>
    <t>Wayne Gallman</t>
  </si>
  <si>
    <t>Will Fuller</t>
  </si>
  <si>
    <t>Tyler Ervin</t>
  </si>
  <si>
    <t>Aaron Ripkowski</t>
  </si>
  <si>
    <t>Akeem Hunt</t>
  </si>
  <si>
    <t>Jacob Hollister</t>
  </si>
  <si>
    <t>Tyler Eifert</t>
  </si>
  <si>
    <t>Sean McGrath</t>
  </si>
  <si>
    <t>Michael Roberts</t>
  </si>
  <si>
    <t>Markus Wheaton</t>
  </si>
  <si>
    <t>Orson Charles</t>
  </si>
  <si>
    <t>Sean Mannion</t>
  </si>
  <si>
    <t>Joe Webb</t>
  </si>
  <si>
    <t>Ifeanyi Momah</t>
  </si>
  <si>
    <t>Zach Miller</t>
  </si>
  <si>
    <t>Lawrence Thomas</t>
  </si>
  <si>
    <t>James Develin</t>
  </si>
  <si>
    <t>Matthew Dayes</t>
  </si>
  <si>
    <t>Michael Clark</t>
  </si>
  <si>
    <t>Will Tye</t>
  </si>
  <si>
    <t>Jared Abbrederis</t>
  </si>
  <si>
    <t>Blake Bell</t>
  </si>
  <si>
    <t>Quan Bray</t>
  </si>
  <si>
    <t>Randall Telfer</t>
  </si>
  <si>
    <t>Tanner Gentry</t>
  </si>
  <si>
    <t>Bernard Reedy</t>
  </si>
  <si>
    <t>Mack Brown</t>
  </si>
  <si>
    <t>Zach Ertz</t>
  </si>
  <si>
    <t>Ryan Switzer</t>
  </si>
  <si>
    <t>Patrick DiMarco</t>
  </si>
  <si>
    <t>Marcus Johnson</t>
  </si>
  <si>
    <t>Keith Smith</t>
  </si>
  <si>
    <t>Noah Brown</t>
  </si>
  <si>
    <t>Jay Prosch</t>
  </si>
  <si>
    <t>Nick Williams</t>
  </si>
  <si>
    <t>De'Veon Smith</t>
  </si>
  <si>
    <t>Darrell Daniels</t>
  </si>
  <si>
    <t>Chris Matthews</t>
  </si>
  <si>
    <t>Fitzgerald Toussaint</t>
  </si>
  <si>
    <t>Jojo Natson</t>
  </si>
  <si>
    <t>Emanuel Byrd</t>
  </si>
  <si>
    <t>Derrick Coleman</t>
  </si>
  <si>
    <t>Geoff Swaim</t>
  </si>
  <si>
    <t>Antony Auclair</t>
  </si>
  <si>
    <t>Senorise Perry</t>
  </si>
  <si>
    <t>Cody Kessler</t>
  </si>
  <si>
    <t>Jordan Leslie</t>
  </si>
  <si>
    <t>A.J. McCarron</t>
  </si>
  <si>
    <t>Andre Williams</t>
  </si>
  <si>
    <t>Bobby Rainey</t>
  </si>
  <si>
    <t>Matt Cassel</t>
  </si>
  <si>
    <t>Griff Whalen</t>
  </si>
  <si>
    <t>Josh Ferguson</t>
  </si>
  <si>
    <t>Dan Vitale</t>
  </si>
  <si>
    <t>Ryan Hewitt</t>
  </si>
  <si>
    <t>Jehu Chesson</t>
  </si>
  <si>
    <t>Michael Burton</t>
  </si>
  <si>
    <t>Chris Manhertz</t>
  </si>
  <si>
    <t>Cole Hikutini</t>
  </si>
  <si>
    <t>MarQueis Gray</t>
  </si>
  <si>
    <t>DeAndrew White</t>
  </si>
  <si>
    <t>Allen Robinson</t>
  </si>
  <si>
    <t>David Fluellen</t>
  </si>
  <si>
    <t>Scott Tolzien</t>
  </si>
  <si>
    <t>Darius Powe</t>
  </si>
  <si>
    <t>Jeff Janis</t>
  </si>
  <si>
    <t>Shelton Gibson</t>
  </si>
  <si>
    <t>Kevin White</t>
  </si>
  <si>
    <t>Arrelious Benn</t>
  </si>
  <si>
    <t>Taiwan Jones</t>
  </si>
  <si>
    <t>Raheem Mostert</t>
  </si>
  <si>
    <t>Harry Douglas</t>
  </si>
  <si>
    <t>Cobi Hamilton</t>
  </si>
  <si>
    <t>Larry Pinkard</t>
  </si>
  <si>
    <t>Eric Weems</t>
  </si>
  <si>
    <t>Cooper Rush</t>
  </si>
  <si>
    <t>LeShun Daniels</t>
  </si>
  <si>
    <t>Matt Jones</t>
  </si>
  <si>
    <t>Terrell Watson</t>
  </si>
  <si>
    <t>Taylor Heinicke</t>
  </si>
  <si>
    <t>Jake Rudock</t>
  </si>
  <si>
    <t>Kellen Clemens</t>
  </si>
  <si>
    <t>Chad Henne</t>
  </si>
  <si>
    <t>Tyler Bray</t>
  </si>
  <si>
    <t>Matt Haack</t>
  </si>
  <si>
    <t>Teddy Bridgewater</t>
  </si>
  <si>
    <t>Derek Anderson</t>
  </si>
  <si>
    <t>Joe Callahan</t>
  </si>
  <si>
    <t>Andrew Luck</t>
  </si>
  <si>
    <t>Saquon Barkley</t>
  </si>
  <si>
    <t>Baker Mayfield</t>
  </si>
  <si>
    <t>Josh Allen</t>
  </si>
  <si>
    <t>Phillip Lindsay</t>
  </si>
  <si>
    <t>Nick Chubb</t>
  </si>
  <si>
    <t>Sam Darnold</t>
  </si>
  <si>
    <t>Lamar Jackson</t>
  </si>
  <si>
    <t>Calvin Ridley</t>
  </si>
  <si>
    <t>Ryan Tannehill</t>
  </si>
  <si>
    <t>Julian Edelman</t>
  </si>
  <si>
    <t>Sony Michel</t>
  </si>
  <si>
    <t>Nick Mullens</t>
  </si>
  <si>
    <t>Josh Rosen</t>
  </si>
  <si>
    <t>Kerryon Johnson</t>
  </si>
  <si>
    <t>D.J. Moore</t>
  </si>
  <si>
    <t>Nyheim Hines</t>
  </si>
  <si>
    <t>Courtland Sutton</t>
  </si>
  <si>
    <t>Antonio Callaway</t>
  </si>
  <si>
    <t>Gus Edwards</t>
  </si>
  <si>
    <t>Royce Freeman</t>
  </si>
  <si>
    <t>Anthony Miller</t>
  </si>
  <si>
    <t>Jeff Driskel</t>
  </si>
  <si>
    <t>Christian Kirk</t>
  </si>
  <si>
    <t>Dante Pettis</t>
  </si>
  <si>
    <t>Josh Adams</t>
  </si>
  <si>
    <t>David Moore</t>
  </si>
  <si>
    <t>Chris Herndon</t>
  </si>
  <si>
    <t>Mark Andrews</t>
  </si>
  <si>
    <t>Tre'Quan Smith</t>
  </si>
  <si>
    <t>Marquez Valdes-Scantling</t>
  </si>
  <si>
    <t>Robert Foster</t>
  </si>
  <si>
    <t>Ito Smith</t>
  </si>
  <si>
    <t>Michael Gallup</t>
  </si>
  <si>
    <t>John Ross</t>
  </si>
  <si>
    <t>Jaylen Samuels</t>
  </si>
  <si>
    <t>Rashaad Penny</t>
  </si>
  <si>
    <t>Spencer Ware</t>
  </si>
  <si>
    <t>Dallas Goedert</t>
  </si>
  <si>
    <t>Josh Johnson</t>
  </si>
  <si>
    <t>Quincy Enunwa</t>
  </si>
  <si>
    <t>Blake Jarwin</t>
  </si>
  <si>
    <t>Kenneth Dixon</t>
  </si>
  <si>
    <t>Justin Jackson</t>
  </si>
  <si>
    <t>Jordan Thomas</t>
  </si>
  <si>
    <t>Tajae Sharpe</t>
  </si>
  <si>
    <t>Ian Thomas</t>
  </si>
  <si>
    <t>Jordan Wilkins</t>
  </si>
  <si>
    <t>Chase Edmonds</t>
  </si>
  <si>
    <t>Zach Pascal</t>
  </si>
  <si>
    <t>Tim Patrick</t>
  </si>
  <si>
    <t>DaeSean Hamilton</t>
  </si>
  <si>
    <t>Keke Coutee</t>
  </si>
  <si>
    <t>Isaiah McKenzie</t>
  </si>
  <si>
    <t>Keith Kirkwood</t>
  </si>
  <si>
    <t>Equanimeous St. Brown</t>
  </si>
  <si>
    <t>Trenton Cannon</t>
  </si>
  <si>
    <t>Jeff Wilson</t>
  </si>
  <si>
    <t>Taysom Hill</t>
  </si>
  <si>
    <t>Matt LaCosse</t>
  </si>
  <si>
    <t>Chase Daniel</t>
  </si>
  <si>
    <t>Kalen Ballage</t>
  </si>
  <si>
    <t>Anthony Firkser</t>
  </si>
  <si>
    <t>Jason Croom</t>
  </si>
  <si>
    <t>Will Dissly</t>
  </si>
  <si>
    <t>James Washington</t>
  </si>
  <si>
    <t>Kyle Allen</t>
  </si>
  <si>
    <t>Colt McCoy</t>
  </si>
  <si>
    <t>Trent Sherfield</t>
  </si>
  <si>
    <t>Erik Swoope</t>
  </si>
  <si>
    <t>Andre Roberts</t>
  </si>
  <si>
    <t>Mo Alie-Cox</t>
  </si>
  <si>
    <t>Cody Core</t>
  </si>
  <si>
    <t>Jordan Akins</t>
  </si>
  <si>
    <t>Richie James</t>
  </si>
  <si>
    <t>Austin Carr</t>
  </si>
  <si>
    <t>Hayden Hurst</t>
  </si>
  <si>
    <t>Dan Arnold</t>
  </si>
  <si>
    <t>Marcell Ateman</t>
  </si>
  <si>
    <t>DeAndre Carter</t>
  </si>
  <si>
    <t>Mike Gesicki</t>
  </si>
  <si>
    <t>Matt Barkley</t>
  </si>
  <si>
    <t>Darius Jennings</t>
  </si>
  <si>
    <t>Jordan Leggett</t>
  </si>
  <si>
    <t>Jake Kumerow</t>
  </si>
  <si>
    <t>MyCole Pruitt</t>
  </si>
  <si>
    <t>DJ Chark</t>
  </si>
  <si>
    <t>Cameron Meredith</t>
  </si>
  <si>
    <t>Taquan Mizzell</t>
  </si>
  <si>
    <t>Logan Paulsen</t>
  </si>
  <si>
    <t>Scott Simonson</t>
  </si>
  <si>
    <t>Vyncint Smith</t>
  </si>
  <si>
    <t>Alex Armah</t>
  </si>
  <si>
    <t>Deontay Burnett</t>
  </si>
  <si>
    <t>Andy Jones</t>
  </si>
  <si>
    <t>Ronald Jones</t>
  </si>
  <si>
    <t>Trey Quinn</t>
  </si>
  <si>
    <t>Damion Ratley</t>
  </si>
  <si>
    <t>Robert Tonyan</t>
  </si>
  <si>
    <t>Brandon Powell</t>
  </si>
  <si>
    <t>Darrel Williams</t>
  </si>
  <si>
    <t>Dalton Schultz</t>
  </si>
  <si>
    <t>Dwayne Harris</t>
  </si>
  <si>
    <t>Keith Ford</t>
  </si>
  <si>
    <t>John Kelly</t>
  </si>
  <si>
    <t>Darren Waller</t>
  </si>
  <si>
    <t>Jake Butt</t>
  </si>
  <si>
    <t>Dontrell Hilliard</t>
  </si>
  <si>
    <t>Cameron Batson</t>
  </si>
  <si>
    <t>Tyler Conklin</t>
  </si>
  <si>
    <t>Matt Lengel</t>
  </si>
  <si>
    <t>Mark Walton</t>
  </si>
  <si>
    <t>Detrez Newsome</t>
  </si>
  <si>
    <t>Joshua Perkins</t>
  </si>
  <si>
    <t>Russell Gage</t>
  </si>
  <si>
    <t>David Grinnage</t>
  </si>
  <si>
    <t>Bradley Sowell</t>
  </si>
  <si>
    <t>Derrick Willies</t>
  </si>
  <si>
    <t>Mike Boone</t>
  </si>
  <si>
    <t>Rico Gathers</t>
  </si>
  <si>
    <t>Eric Saubert</t>
  </si>
  <si>
    <t>Durham Smythe</t>
  </si>
  <si>
    <t>Roc Thomas</t>
  </si>
  <si>
    <t>Chad Beebe</t>
  </si>
  <si>
    <t>Ben Braunecker</t>
  </si>
  <si>
    <t>Jawill Davis</t>
  </si>
  <si>
    <t>Jordan Franks</t>
  </si>
  <si>
    <t>Rashad Greene</t>
  </si>
  <si>
    <t>T.J. Logan</t>
  </si>
  <si>
    <t>John Phillips</t>
  </si>
  <si>
    <t>Auden Tate</t>
  </si>
  <si>
    <t>Jalen Tolliver</t>
  </si>
  <si>
    <t>David Williams</t>
  </si>
  <si>
    <t>Jeremy Langford</t>
  </si>
  <si>
    <t>Brian Parker</t>
  </si>
  <si>
    <t>Charone Peake</t>
  </si>
  <si>
    <t>Shaun Wilson</t>
  </si>
  <si>
    <t>Javon Wims</t>
  </si>
  <si>
    <t>Nick Bellore</t>
  </si>
  <si>
    <t>River Cracraft</t>
  </si>
  <si>
    <t>Sean Culkin</t>
  </si>
  <si>
    <t>Justin Davis</t>
  </si>
  <si>
    <t>Gehrig Dieter</t>
  </si>
  <si>
    <t>Garrett Gilbert</t>
  </si>
  <si>
    <t>KhaDarel Hodge</t>
  </si>
  <si>
    <t>Darius Jackson</t>
  </si>
  <si>
    <t>Ray-Ray McCloud</t>
  </si>
  <si>
    <t>Tyrone Swoopes</t>
  </si>
  <si>
    <t>De'Lance Turner</t>
  </si>
  <si>
    <t>Malik Turner</t>
  </si>
  <si>
    <t>Brandon Wilds</t>
  </si>
  <si>
    <t>Brandon Zylstra</t>
  </si>
  <si>
    <t>Victor Bolden</t>
  </si>
  <si>
    <t>Joshua Dobbs</t>
  </si>
  <si>
    <t>Ross Dwelley</t>
  </si>
  <si>
    <t>Matt Flanagan</t>
  </si>
  <si>
    <t>Robert Griffin</t>
  </si>
  <si>
    <t>Justin Hardee</t>
  </si>
  <si>
    <t>Keon Hatcher</t>
  </si>
  <si>
    <t>Marcus Kemp</t>
  </si>
  <si>
    <t>Darvin Kidsy</t>
  </si>
  <si>
    <t>Allen Lazard</t>
  </si>
  <si>
    <t>Khari Lee</t>
  </si>
  <si>
    <t>Jeremy McNichols</t>
  </si>
  <si>
    <t>Christine Michael</t>
  </si>
  <si>
    <t>Johnny Mundt</t>
  </si>
  <si>
    <t>Ricky Ortiz</t>
  </si>
  <si>
    <t>Cam Phillips</t>
  </si>
  <si>
    <t>Hakeem Valles</t>
  </si>
  <si>
    <t>Justin Watson</t>
  </si>
  <si>
    <t>Tim White</t>
  </si>
  <si>
    <t>Kyle Lauletta</t>
  </si>
  <si>
    <t>Mark Sanchez</t>
  </si>
  <si>
    <t>Matt Schaub</t>
  </si>
  <si>
    <t>Josh Jacobs</t>
  </si>
  <si>
    <t>N'Keal Harry</t>
  </si>
  <si>
    <t>David Montgomery</t>
  </si>
  <si>
    <t>Miles Sanders</t>
  </si>
  <si>
    <t>Brown</t>
  </si>
  <si>
    <t>JJ Arcega-Whiteside</t>
  </si>
  <si>
    <t>DK Metcalf</t>
  </si>
  <si>
    <t>Kyler Murray</t>
  </si>
  <si>
    <t>T.J. Hockenson</t>
  </si>
  <si>
    <t>Andy Isabella</t>
  </si>
  <si>
    <t>Marquise Brown</t>
  </si>
  <si>
    <t>Deebo Samuel</t>
  </si>
  <si>
    <t>Mecole Hardman</t>
  </si>
  <si>
    <t>Noah Fant</t>
  </si>
  <si>
    <t>Parris Campbell</t>
  </si>
  <si>
    <t>Devin Singletary</t>
  </si>
  <si>
    <t>Darrell Henderson</t>
  </si>
  <si>
    <t>Damien Harris</t>
  </si>
  <si>
    <t>Hakeem Butler</t>
  </si>
  <si>
    <t>Diontae Johnson</t>
  </si>
  <si>
    <t>Terry McLaurin</t>
  </si>
  <si>
    <t>Justice Hill</t>
  </si>
  <si>
    <t>Irv Smith Jr.</t>
  </si>
  <si>
    <t>Miles Boykin</t>
  </si>
  <si>
    <t>Jalen Hurd</t>
  </si>
  <si>
    <t>Gary Jennings Jr.</t>
  </si>
  <si>
    <t>Riley Ridley</t>
  </si>
  <si>
    <t>Bryce Love</t>
  </si>
  <si>
    <t>Jace Sternberger</t>
  </si>
  <si>
    <t>Alexander Mattison</t>
  </si>
  <si>
    <t>Dwayne Haskins</t>
  </si>
  <si>
    <t>Daniel Jones</t>
  </si>
  <si>
    <t>Dawson Knox</t>
  </si>
  <si>
    <t>Josh Oliver</t>
  </si>
  <si>
    <t>Kahale Warring</t>
  </si>
  <si>
    <t>Jordan Scarlett</t>
  </si>
  <si>
    <t>Qadree Ollison</t>
  </si>
  <si>
    <t>Benny Snell Jr.</t>
  </si>
  <si>
    <t>Ryquell Armstead</t>
  </si>
  <si>
    <t>Tony Pollard</t>
  </si>
  <si>
    <t>Darwin Thompson</t>
  </si>
  <si>
    <t>Jakobi Meyers</t>
  </si>
  <si>
    <t>Drew Lock</t>
  </si>
  <si>
    <t>Preston Williams</t>
  </si>
  <si>
    <t>Hunter Renfrow</t>
  </si>
  <si>
    <t>Trayveon Williams</t>
  </si>
  <si>
    <t>Dexter Williams</t>
  </si>
  <si>
    <t>Kelvin Harmon</t>
  </si>
  <si>
    <t>Darius Slayton</t>
  </si>
  <si>
    <t>Drew Sample</t>
  </si>
  <si>
    <t>Trevon Wesco</t>
  </si>
  <si>
    <t>Travis Homer</t>
  </si>
  <si>
    <t>Mike Weber</t>
  </si>
  <si>
    <t>Will Grier</t>
  </si>
  <si>
    <t>Jarrett Stidham</t>
  </si>
  <si>
    <t>Ty Johnson</t>
  </si>
  <si>
    <t>Myles Gaskin</t>
  </si>
  <si>
    <t>Rodney Anderson</t>
  </si>
  <si>
    <t>KeeSean Johnson</t>
  </si>
  <si>
    <t>Travis Fulgham</t>
  </si>
  <si>
    <t>Emanuel Hall</t>
  </si>
  <si>
    <t>Ryan Finley</t>
  </si>
  <si>
    <t>Elijah Holyfield</t>
  </si>
  <si>
    <t>Damarea Crockett</t>
  </si>
  <si>
    <t>Gardner Minshew</t>
  </si>
  <si>
    <t>Foster Moreau</t>
  </si>
  <si>
    <t>Zach Gentry</t>
  </si>
  <si>
    <t>Easton Stick</t>
  </si>
  <si>
    <t>Antoine Wesley</t>
  </si>
  <si>
    <t>Terry Godwin</t>
  </si>
  <si>
    <t>Dillon Mitchell</t>
  </si>
  <si>
    <t>Olabisi Johnson</t>
  </si>
  <si>
    <t>Caleb Wilson</t>
  </si>
  <si>
    <t>Isaac Nauta</t>
  </si>
  <si>
    <t>Kaden Smith</t>
  </si>
  <si>
    <t>Clayton Thorson</t>
  </si>
  <si>
    <t>Trace McSorley</t>
  </si>
  <si>
    <t>Karan Higdon</t>
  </si>
  <si>
    <t>Devine Ozigbo</t>
  </si>
  <si>
    <t>Arizona Cardinals</t>
  </si>
  <si>
    <t>D/ST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</si>
  <si>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</si>
  <si>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</si>
  <si>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</si>
  <si>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</si>
  <si>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</si>
  <si>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</si>
  <si>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</si>
  <si>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</si>
  <si>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</si>
  <si>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</si>
  <si>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</si>
  <si>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</si>
  <si>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</si>
  <si>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</si>
  <si>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</si>
  <si>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</si>
  <si>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</si>
  <si>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</si>
  <si>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</si>
  <si>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</si>
  <si>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</si>
  <si>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</si>
  <si>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</si>
  <si>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</si>
  <si>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</si>
  <si>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</si>
  <si>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</si>
  <si>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</si>
  <si>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</si>
  <si>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</si>
  <si>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</si>
  <si>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Mike Badgley</t>
  </si>
  <si>
    <t>K</t>
  </si>
  <si>
    <t>Dan Bailey</t>
  </si>
  <si>
    <t>Taylor Bertolet</t>
  </si>
  <si>
    <t>Chris Blewitt</t>
  </si>
  <si>
    <t>Chris Boswell</t>
  </si>
  <si>
    <t>Jon Brown</t>
  </si>
  <si>
    <t>Matt Bryant</t>
  </si>
  <si>
    <t>Randy Bullock</t>
  </si>
  <si>
    <t>Harrison Butker</t>
  </si>
  <si>
    <t>Daniel Carlson</t>
  </si>
  <si>
    <t>Chandler Catanzaro</t>
  </si>
  <si>
    <t>Mason Crosby</t>
  </si>
  <si>
    <t>Jake Elliott</t>
  </si>
  <si>
    <t>Ka'imi Fairbairn</t>
  </si>
  <si>
    <t>Sam Ficken</t>
  </si>
  <si>
    <t>Elliott Fry</t>
  </si>
  <si>
    <t>Matt Gay</t>
  </si>
  <si>
    <t>Zane Gonzalez</t>
  </si>
  <si>
    <t>Stephen Gostkowski</t>
  </si>
  <si>
    <t>Robbie Gould</t>
  </si>
  <si>
    <t>Steven Hauschka</t>
  </si>
  <si>
    <t>Cole Hedlund</t>
  </si>
  <si>
    <t>Dustin Hopkins</t>
  </si>
  <si>
    <t>Redford Jones</t>
  </si>
  <si>
    <t>Greg Joseph</t>
  </si>
  <si>
    <t>Josh Lambo</t>
  </si>
  <si>
    <t>Wil Lutz</t>
  </si>
  <si>
    <t>Brett Maher</t>
  </si>
  <si>
    <t>Matt McCrane</t>
  </si>
  <si>
    <t>Chase McLaughlin</t>
  </si>
  <si>
    <t>Brandon McManus</t>
  </si>
  <si>
    <t>Cole Murphy</t>
  </si>
  <si>
    <t>Jason Myers</t>
  </si>
  <si>
    <t>Eddy Pineiro</t>
  </si>
  <si>
    <t>Matt Prater</t>
  </si>
  <si>
    <t>Aldrick Rosas</t>
  </si>
  <si>
    <t>Jason Sanders</t>
  </si>
  <si>
    <t>Cairo Santos</t>
  </si>
  <si>
    <t>Austin Seibert</t>
  </si>
  <si>
    <t>Joey Slye</t>
  </si>
  <si>
    <t>Ryan Succop</t>
  </si>
  <si>
    <t>Justin Tucker</t>
  </si>
  <si>
    <t>Adam Vinatieri</t>
  </si>
  <si>
    <t>Matthew Wright</t>
  </si>
  <si>
    <t>Greg Zuerlein</t>
  </si>
  <si>
    <t>Rank</t>
  </si>
  <si>
    <t xml:space="preserve">If Used = 1 </t>
  </si>
  <si>
    <t>Ben Player Usage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</si>
  <si>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</si>
  <si>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</si>
  <si>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</si>
  <si>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</si>
  <si>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</si>
  <si>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</si>
  <si>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</si>
  <si>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</si>
  <si>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</si>
  <si>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</si>
  <si>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</si>
  <si>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</si>
  <si>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</si>
  <si>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</si>
  <si>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</si>
  <si>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</si>
  <si>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</si>
  <si>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QB1</t>
  </si>
  <si>
    <t>QB2</t>
  </si>
  <si>
    <t>RB1</t>
  </si>
  <si>
    <t>RB2</t>
  </si>
  <si>
    <t>RB3</t>
  </si>
  <si>
    <t>WR1</t>
  </si>
  <si>
    <t>WR2</t>
  </si>
  <si>
    <t>WR3</t>
  </si>
  <si>
    <t>TE1</t>
  </si>
  <si>
    <t>TE2</t>
  </si>
  <si>
    <t>DEF1</t>
  </si>
  <si>
    <t>DEF2</t>
  </si>
  <si>
    <t>K1</t>
  </si>
  <si>
    <t>K2</t>
  </si>
  <si>
    <t>Position Tracker</t>
  </si>
  <si>
    <t>Ideal Lineup</t>
  </si>
  <si>
    <t>Desean Jackson</t>
  </si>
  <si>
    <t>Cowboys</t>
  </si>
  <si>
    <t>Geoff Player Usage</t>
  </si>
  <si>
    <t>Will Player Usage</t>
  </si>
  <si>
    <t>Keyur Player Usage</t>
  </si>
  <si>
    <t>Miachel Gallup</t>
  </si>
  <si>
    <t>Devin Smith</t>
  </si>
  <si>
    <t>Seahawks</t>
  </si>
  <si>
    <t xml:space="preserve">Demetrius Harris </t>
  </si>
  <si>
    <t>Total Usage</t>
  </si>
  <si>
    <t>Opp. Used?</t>
  </si>
  <si>
    <t>Opponent:</t>
  </si>
  <si>
    <t>Will</t>
  </si>
  <si>
    <t>Geoff</t>
  </si>
  <si>
    <t>Keyur</t>
  </si>
  <si>
    <t>Terry Mclaurin</t>
  </si>
  <si>
    <t xml:space="preserve">Mike Williams </t>
  </si>
  <si>
    <t>Phillip Rivers</t>
  </si>
  <si>
    <t>Mike Nugent</t>
  </si>
  <si>
    <t>Geoff Swain</t>
  </si>
  <si>
    <t>Jonathan Hilliman</t>
  </si>
  <si>
    <t>Playoffs</t>
  </si>
  <si>
    <t>Cincinatti Bengals</t>
  </si>
  <si>
    <t>Mason Rudolph</t>
  </si>
  <si>
    <t>Kenny Golloday</t>
  </si>
  <si>
    <t>Nick Folk</t>
  </si>
  <si>
    <t>Jacoby Brissett / Brian Hoyer</t>
  </si>
  <si>
    <t>Derrius Guice</t>
  </si>
  <si>
    <t>Younghoe Koo</t>
  </si>
  <si>
    <t>Bo Scarbrough</t>
  </si>
  <si>
    <t>Jonathan Williams</t>
  </si>
  <si>
    <t>Luke Falk</t>
  </si>
  <si>
    <t>Devlin Hodges</t>
  </si>
  <si>
    <t>Nkeal Harry</t>
  </si>
  <si>
    <t>OJ Howard</t>
  </si>
  <si>
    <t>Alshon Jeffrey</t>
  </si>
  <si>
    <t>Ben</t>
  </si>
  <si>
    <t>Deandre Hopkins</t>
  </si>
  <si>
    <t>Devante Parker</t>
  </si>
  <si>
    <t>AJ Brown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</si>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</sst>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i/>
      <u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Fill="1"/>
    <xf numFmtId="0" fontId="2" fillId="0" borderId="1" xfId="0" applyFont="1" applyBorder="1" applyAlignment="1"/>
    <xf numFmtId="0" fontId="0" fillId="2" borderId="0" xfId="0" applyFont="1" applyFill="1" applyBorder="1" applyAlignment="1"/>
    <xf numFmtId="0" fontId="2" fillId="0" borderId="0" xfId="0" applyFont="1" applyBorder="1" applyAlignment="1"/>
    <xf numFmtId="0" fontId="5" fillId="2" borderId="0" xfId="0" applyFont="1" applyFill="1" applyBorder="1" applyAlignment="1"/>
    <xf numFmtId="0" fontId="3" fillId="0" borderId="2" xfId="0" applyFont="1" applyBorder="1"/>
    <xf numFmtId="0" fontId="0" fillId="0" borderId="0" xfId="0" applyFont="1" applyFill="1" applyBorder="1" applyAlignment="1"/>
    <xf numFmtId="0" fontId="6" fillId="0" borderId="0" xfId="0" applyFont="1" applyAlignment="1"/>
    <xf numFmtId="0" fontId="8" fillId="0" borderId="0" xfId="0" applyFont="1" applyFill="1" applyBorder="1" applyAlignment="1">
      <alignment horizontal="right"/>
    </xf>
    <xf numFmtId="0" fontId="9" fillId="2" borderId="0" xfId="0" applyFont="1" applyFill="1" applyBorder="1" applyAlignment="1"/>
    <xf numFmtId="0" fontId="7" fillId="0" borderId="0" xfId="0" applyFont="1" applyBorder="1" applyAlignment="1"/>
    <xf numFmtId="0" fontId="9" fillId="2" borderId="2" xfId="0" applyFont="1" applyFill="1" applyBorder="1" applyAlignment="1"/>
    <xf numFmtId="0" fontId="7" fillId="2" borderId="0" xfId="0" applyFont="1" applyFill="1" applyAlignment="1"/>
    <xf numFmtId="0" fontId="7" fillId="2" borderId="1" xfId="0" applyFont="1" applyFill="1" applyBorder="1" applyAlignment="1"/>
    <xf numFmtId="0" fontId="4" fillId="0" borderId="0" xfId="0" applyFont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2" fillId="0" borderId="1" xfId="0" applyFont="1" applyFill="1" applyBorder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4" fillId="0" borderId="0" xfId="0" applyFont="1" applyBorder="1" applyAlignment="1"/>
    <xf numFmtId="0" fontId="0" fillId="0" borderId="1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9" fillId="0" borderId="0" xfId="0" applyFont="1" applyFill="1" applyBorder="1" applyAlignment="1"/>
    <xf numFmtId="0" fontId="4" fillId="0" borderId="1" xfId="0" applyFont="1" applyFill="1" applyBorder="1" applyAlignment="1"/>
    <xf numFmtId="0" fontId="11" fillId="0" borderId="0" xfId="1" applyFont="1"/>
    <xf numFmtId="0" fontId="12" fillId="0" borderId="0" xfId="1" applyFont="1"/>
    <xf numFmtId="0" fontId="13" fillId="0" borderId="3" xfId="1" applyFont="1" applyBorder="1"/>
    <xf numFmtId="0" fontId="11" fillId="0" borderId="6" xfId="1" applyFont="1" applyBorder="1" applyAlignment="1">
      <alignment horizontal="left"/>
    </xf>
    <xf numFmtId="0" fontId="11" fillId="0" borderId="7" xfId="1" applyFont="1" applyBorder="1"/>
    <xf numFmtId="0" fontId="11" fillId="0" borderId="0" xfId="1" applyFont="1" applyAlignment="1">
      <alignment horizontal="left"/>
    </xf>
    <xf numFmtId="0" fontId="13" fillId="0" borderId="4" xfId="1" applyFont="1" applyBorder="1"/>
    <xf numFmtId="0" fontId="11" fillId="0" borderId="8" xfId="1" applyFont="1" applyBorder="1" applyAlignment="1">
      <alignment horizontal="left"/>
    </xf>
    <xf numFmtId="0" fontId="11" fillId="0" borderId="9" xfId="1" applyFont="1" applyBorder="1"/>
    <xf numFmtId="0" fontId="13" fillId="0" borderId="5" xfId="1" applyFont="1" applyBorder="1"/>
    <xf numFmtId="0" fontId="11" fillId="0" borderId="10" xfId="1" applyFont="1" applyBorder="1"/>
    <xf numFmtId="0" fontId="11" fillId="0" borderId="11" xfId="1" applyFont="1" applyBorder="1"/>
    <xf numFmtId="0" fontId="13" fillId="0" borderId="0" xfId="1" applyFont="1"/>
    <xf numFmtId="0" fontId="7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4" fillId="0" borderId="0" xfId="0" applyFont="1" applyAlignment="1">
      <alignment horizontal="left"/>
    </xf>
    <xf numFmtId="0" fontId="11" fillId="0" borderId="2" xfId="1" applyFont="1" applyBorder="1"/>
    <xf numFmtId="0" fontId="5" fillId="0" borderId="0" xfId="0" applyFont="1"/>
    <xf numFmtId="0" fontId="4" fillId="0" borderId="0" xfId="0" quotePrefix="1" applyFont="1" applyAlignment="1"/>
    <xf numFmtId="0" fontId="2" fillId="0" borderId="0" xfId="0" applyFont="1" applyFill="1" applyBorder="1" applyAlignment="1">
      <alignment horizontal="right"/>
    </xf>
    <xf numFmtId="0" fontId="9" fillId="2" borderId="1" xfId="0" applyFont="1" applyFill="1" applyBorder="1" applyAlignment="1"/>
    <xf numFmtId="0" fontId="3" fillId="0" borderId="1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0" xfId="0" quotePrefix="1" applyFont="1" applyBorder="1" applyAlignment="1"/>
    <xf numFmtId="0" fontId="6" fillId="0" borderId="0" xfId="0" applyFont="1" applyBorder="1" applyAlignment="1"/>
    <xf numFmtId="0" fontId="14" fillId="0" borderId="0" xfId="0" applyFont="1" applyBorder="1" applyAlignment="1"/>
    <xf numFmtId="0" fontId="7" fillId="0" borderId="0" xfId="0" applyFont="1" applyBorder="1" applyAlignment="1">
      <alignment horizontal="left"/>
    </xf>
    <xf numFmtId="0" fontId="10" fillId="0" borderId="0" xfId="0" quotePrefix="1" applyFont="1" applyFill="1" applyBorder="1" applyAlignment="1"/>
    <xf numFmtId="0" fontId="6" fillId="0" borderId="0" xfId="0" applyFont="1" applyFill="1" applyBorder="1" applyAlignment="1"/>
    <xf numFmtId="0" fontId="6" fillId="0" borderId="0" xfId="0" quotePrefix="1" applyFont="1" applyFill="1" applyBorder="1" applyAlignment="1"/>
    <xf numFmtId="0" fontId="7" fillId="0" borderId="0" xfId="0" quotePrefix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16" fillId="0" borderId="0" xfId="0" quotePrefix="1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/>
    <xf numFmtId="0" fontId="3" fillId="0" borderId="0" xfId="0" applyFont="1" applyBorder="1"/>
    <xf numFmtId="0" fontId="4" fillId="0" borderId="0" xfId="0" quotePrefix="1" applyFont="1" applyBorder="1" applyAlignment="1"/>
    <xf numFmtId="0" fontId="14" fillId="0" borderId="0" xfId="0" applyFont="1" applyBorder="1" applyAlignment="1">
      <alignment horizontal="right"/>
    </xf>
    <xf numFmtId="0" fontId="7" fillId="0" borderId="0" xfId="0" applyFont="1" applyFill="1" applyAlignment="1"/>
    <xf numFmtId="0" fontId="7" fillId="0" borderId="0" xfId="0" quotePrefix="1" applyFont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 applyFill="1" applyAlignment="1">
      <alignment horizontal="center"/>
    </xf>
    <xf numFmtId="0" fontId="4" fillId="0" borderId="0" xfId="0" quotePrefix="1" applyFont="1" applyFill="1" applyAlignment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0" fontId="18" fillId="0" borderId="6" xfId="0" applyFont="1" applyBorder="1" applyAlignment="1"/>
    <xf numFmtId="0" fontId="18" fillId="0" borderId="8" xfId="0" applyFont="1" applyBorder="1" applyAlignment="1"/>
    <xf numFmtId="0" fontId="11" fillId="0" borderId="10" xfId="0" applyFont="1" applyBorder="1" applyAlignment="1"/>
  </cellXfs>
  <cellStyles count="2">
    <cellStyle name="Normal" xfId="0" builtinId="0"/>
    <cellStyle name="Normal 2" xfId="1" xr:uid="{6FDDE0BF-8383-41AC-89B2-B8EC82C8E97B}"/>
  </cellStyles>
  <dxfs count="3336"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  <dxf>
      <font>
        <strike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79A6-0F3B-0940-BFA1-26B63B8B6282}">
  <dimension ref="B2:T261"/>
  <sheetViews>
    <sheetView showGridLines="0" topLeftCell="A6" zoomScaleNormal="100" workbookViewId="0">
      <selection activeCell="E38" sqref="E38:E51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8" width="8.83203125" style="34"/>
    <col min="19" max="19" width="20.83203125" style="34" customWidth="1"/>
    <col min="20" max="16384" width="8.83203125" style="34"/>
  </cols>
  <sheetData>
    <row r="2" spans="2:19" x14ac:dyDescent="0.2">
      <c r="C2" s="35" t="s">
        <v>899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534</v>
      </c>
      <c r="D5" s="38"/>
      <c r="E5" s="37" t="s">
        <v>150</v>
      </c>
      <c r="F5" s="38"/>
      <c r="G5" s="37" t="s">
        <v>138</v>
      </c>
      <c r="H5" s="38"/>
      <c r="I5" s="37" t="s">
        <v>733</v>
      </c>
      <c r="J5" s="38"/>
      <c r="K5" s="37" t="s">
        <v>709</v>
      </c>
      <c r="L5" s="38"/>
      <c r="M5" s="37" t="s">
        <v>541</v>
      </c>
      <c r="N5" s="38"/>
      <c r="O5" s="37" t="s">
        <v>531</v>
      </c>
      <c r="P5" s="38"/>
      <c r="Q5" s="37" t="s">
        <v>525</v>
      </c>
      <c r="R5" s="38"/>
      <c r="S5" s="39"/>
    </row>
    <row r="6" spans="2:19" x14ac:dyDescent="0.2">
      <c r="B6" s="40" t="s">
        <v>881</v>
      </c>
      <c r="C6" s="41" t="s">
        <v>330</v>
      </c>
      <c r="D6" s="42"/>
      <c r="E6" s="41" t="s">
        <v>530</v>
      </c>
      <c r="F6" s="42"/>
      <c r="G6" s="41" t="s">
        <v>766</v>
      </c>
      <c r="H6" s="42"/>
      <c r="I6" s="41" t="s">
        <v>192</v>
      </c>
      <c r="J6" s="42"/>
      <c r="K6" s="41" t="s">
        <v>248</v>
      </c>
      <c r="L6" s="42"/>
      <c r="M6" s="41" t="s">
        <v>594</v>
      </c>
      <c r="N6" s="42"/>
      <c r="O6" s="41" t="s">
        <v>209</v>
      </c>
      <c r="P6" s="42"/>
      <c r="Q6" s="41" t="s">
        <v>197</v>
      </c>
      <c r="R6" s="42"/>
      <c r="S6" s="39"/>
    </row>
    <row r="7" spans="2:19" x14ac:dyDescent="0.2">
      <c r="B7" s="40" t="s">
        <v>882</v>
      </c>
      <c r="C7" s="41" t="s">
        <v>274</v>
      </c>
      <c r="D7" s="42"/>
      <c r="E7" s="41" t="s">
        <v>265</v>
      </c>
      <c r="F7" s="42"/>
      <c r="G7" s="41" t="s">
        <v>704</v>
      </c>
      <c r="H7" s="42"/>
      <c r="I7" s="41" t="s">
        <v>440</v>
      </c>
      <c r="J7" s="42"/>
      <c r="K7" s="41" t="s">
        <v>705</v>
      </c>
      <c r="L7" s="42"/>
      <c r="M7" s="41" t="s">
        <v>916</v>
      </c>
      <c r="N7" s="42"/>
      <c r="O7" s="41" t="s">
        <v>151</v>
      </c>
      <c r="P7" s="42"/>
      <c r="Q7" s="41" t="s">
        <v>757</v>
      </c>
      <c r="R7" s="42"/>
      <c r="S7" s="39"/>
    </row>
    <row r="8" spans="2:19" x14ac:dyDescent="0.2">
      <c r="B8" s="40" t="s">
        <v>883</v>
      </c>
      <c r="C8" s="41" t="s">
        <v>131</v>
      </c>
      <c r="D8" s="42"/>
      <c r="E8" s="41" t="s">
        <v>139</v>
      </c>
      <c r="F8" s="42"/>
      <c r="G8" s="41" t="s">
        <v>126</v>
      </c>
      <c r="H8" s="42"/>
      <c r="I8" s="41" t="s">
        <v>266</v>
      </c>
      <c r="J8" s="42"/>
      <c r="K8" s="41" t="s">
        <v>346</v>
      </c>
      <c r="L8" s="42"/>
      <c r="M8" s="41" t="s">
        <v>741</v>
      </c>
      <c r="N8" s="42"/>
      <c r="O8" s="41" t="s">
        <v>717</v>
      </c>
      <c r="P8" s="42"/>
      <c r="Q8" s="41" t="s">
        <v>310</v>
      </c>
      <c r="R8" s="42"/>
      <c r="S8" s="39"/>
    </row>
    <row r="9" spans="2:19" x14ac:dyDescent="0.2">
      <c r="B9" s="40" t="s">
        <v>884</v>
      </c>
      <c r="C9" s="41" t="s">
        <v>183</v>
      </c>
      <c r="D9" s="42"/>
      <c r="E9" s="41" t="s">
        <v>92</v>
      </c>
      <c r="F9" s="42"/>
      <c r="G9" s="41" t="s">
        <v>71</v>
      </c>
      <c r="H9" s="42"/>
      <c r="I9" s="41" t="s">
        <v>571</v>
      </c>
      <c r="J9" s="42"/>
      <c r="K9" s="41" t="s">
        <v>12</v>
      </c>
      <c r="L9" s="42"/>
      <c r="M9" s="41" t="s">
        <v>67</v>
      </c>
      <c r="N9" s="42"/>
      <c r="O9" s="41" t="s">
        <v>548</v>
      </c>
      <c r="P9" s="42"/>
      <c r="Q9" s="41" t="s">
        <v>408</v>
      </c>
      <c r="R9" s="42"/>
      <c r="S9" s="39"/>
    </row>
    <row r="10" spans="2:19" x14ac:dyDescent="0.2">
      <c r="B10" s="40" t="s">
        <v>885</v>
      </c>
      <c r="C10" s="41" t="s">
        <v>376</v>
      </c>
      <c r="D10" s="42"/>
      <c r="E10" s="41" t="s">
        <v>135</v>
      </c>
      <c r="F10" s="42"/>
      <c r="G10" s="41" t="s">
        <v>244</v>
      </c>
      <c r="H10" s="42"/>
      <c r="I10" s="41" t="s">
        <v>558</v>
      </c>
      <c r="J10" s="42"/>
      <c r="K10" s="41" t="s">
        <v>251</v>
      </c>
      <c r="L10" s="42"/>
      <c r="M10" s="41" t="s">
        <v>561</v>
      </c>
      <c r="N10" s="42"/>
      <c r="O10" s="41" t="s">
        <v>689</v>
      </c>
      <c r="P10" s="42"/>
      <c r="Q10" s="41" t="s">
        <v>341</v>
      </c>
      <c r="R10" s="42"/>
      <c r="S10" s="39"/>
    </row>
    <row r="11" spans="2:19" x14ac:dyDescent="0.2">
      <c r="B11" s="40" t="s">
        <v>886</v>
      </c>
      <c r="C11" s="41" t="s">
        <v>372</v>
      </c>
      <c r="D11" s="42"/>
      <c r="E11" s="41" t="s">
        <v>501</v>
      </c>
      <c r="F11" s="42"/>
      <c r="G11" s="41" t="s">
        <v>242</v>
      </c>
      <c r="H11" s="42"/>
      <c r="I11" s="41" t="s">
        <v>240</v>
      </c>
      <c r="J11" s="42"/>
      <c r="K11" s="41" t="s">
        <v>329</v>
      </c>
      <c r="L11" s="42"/>
      <c r="M11" s="41" t="s">
        <v>316</v>
      </c>
      <c r="N11" s="42"/>
      <c r="O11" s="41" t="s">
        <v>117</v>
      </c>
      <c r="P11" s="42"/>
      <c r="Q11" s="41" t="s">
        <v>215</v>
      </c>
      <c r="R11" s="42"/>
      <c r="S11" s="39"/>
    </row>
    <row r="12" spans="2:19" x14ac:dyDescent="0.2">
      <c r="B12" s="40" t="s">
        <v>887</v>
      </c>
      <c r="C12" s="41" t="s">
        <v>196</v>
      </c>
      <c r="D12" s="42"/>
      <c r="E12" s="41" t="s">
        <v>536</v>
      </c>
      <c r="F12" s="42"/>
      <c r="G12" s="41" t="s">
        <v>345</v>
      </c>
      <c r="H12" s="42"/>
      <c r="I12" s="41" t="s">
        <v>340</v>
      </c>
      <c r="J12" s="42"/>
      <c r="K12" s="41" t="s">
        <v>186</v>
      </c>
      <c r="L12" s="42"/>
      <c r="M12" s="41" t="s">
        <v>545</v>
      </c>
      <c r="N12" s="42"/>
      <c r="O12" s="41" t="s">
        <v>552</v>
      </c>
      <c r="P12" s="42"/>
      <c r="Q12" s="41" t="s">
        <v>614</v>
      </c>
      <c r="R12" s="42"/>
      <c r="S12" s="39"/>
    </row>
    <row r="13" spans="2:19" x14ac:dyDescent="0.2">
      <c r="B13" s="40" t="s">
        <v>888</v>
      </c>
      <c r="C13" s="41" t="s">
        <v>291</v>
      </c>
      <c r="D13" s="42"/>
      <c r="E13" s="41" t="s">
        <v>633</v>
      </c>
      <c r="F13" s="42"/>
      <c r="G13" s="41" t="s">
        <v>249</v>
      </c>
      <c r="H13" s="42"/>
      <c r="I13" s="41" t="s">
        <v>147</v>
      </c>
      <c r="J13" s="42"/>
      <c r="K13" s="41" t="s">
        <v>190</v>
      </c>
      <c r="L13" s="42"/>
      <c r="M13" s="41" t="s">
        <v>715</v>
      </c>
      <c r="N13" s="42"/>
      <c r="O13" s="41" t="s">
        <v>177</v>
      </c>
      <c r="P13" s="42"/>
      <c r="Q13" s="41" t="s">
        <v>187</v>
      </c>
      <c r="R13" s="42"/>
      <c r="S13" s="39"/>
    </row>
    <row r="14" spans="2:19" x14ac:dyDescent="0.2">
      <c r="B14" s="40" t="s">
        <v>889</v>
      </c>
      <c r="C14" s="41" t="s">
        <v>262</v>
      </c>
      <c r="D14" s="42"/>
      <c r="E14" s="41" t="s">
        <v>296</v>
      </c>
      <c r="F14" s="42"/>
      <c r="G14" s="41" t="s">
        <v>569</v>
      </c>
      <c r="H14" s="42"/>
      <c r="I14" s="41" t="s">
        <v>113</v>
      </c>
      <c r="J14" s="42"/>
      <c r="K14" s="41" t="s">
        <v>601</v>
      </c>
      <c r="L14" s="42"/>
      <c r="M14" s="41" t="s">
        <v>213</v>
      </c>
      <c r="N14" s="42"/>
      <c r="O14" s="41" t="s">
        <v>199</v>
      </c>
      <c r="P14" s="42"/>
      <c r="Q14" s="41" t="s">
        <v>46</v>
      </c>
      <c r="R14" s="42"/>
      <c r="S14" s="39"/>
    </row>
    <row r="15" spans="2:19" x14ac:dyDescent="0.2">
      <c r="B15" s="40" t="s">
        <v>890</v>
      </c>
      <c r="C15" s="41" t="s">
        <v>792</v>
      </c>
      <c r="D15" s="42"/>
      <c r="E15" s="41" t="s">
        <v>802</v>
      </c>
      <c r="F15" s="42"/>
      <c r="G15" s="41" t="s">
        <v>811</v>
      </c>
      <c r="H15" s="42"/>
      <c r="I15" s="41" t="s">
        <v>794</v>
      </c>
      <c r="J15" s="42"/>
      <c r="K15" s="41" t="s">
        <v>806</v>
      </c>
      <c r="L15" s="42"/>
      <c r="M15" s="41" t="s">
        <v>786</v>
      </c>
      <c r="N15" s="42"/>
      <c r="O15" s="41" t="s">
        <v>809</v>
      </c>
      <c r="P15" s="42"/>
      <c r="Q15" s="41" t="s">
        <v>795</v>
      </c>
      <c r="R15" s="42"/>
      <c r="S15" s="39"/>
    </row>
    <row r="16" spans="2:19" x14ac:dyDescent="0.2">
      <c r="B16" s="40" t="s">
        <v>891</v>
      </c>
      <c r="C16" s="41" t="s">
        <v>797</v>
      </c>
      <c r="D16" s="42"/>
      <c r="E16" s="41" t="s">
        <v>810</v>
      </c>
      <c r="F16" s="42"/>
      <c r="G16" s="41" t="s">
        <v>783</v>
      </c>
      <c r="H16" s="42"/>
      <c r="I16" s="41" t="s">
        <v>788</v>
      </c>
      <c r="J16" s="42"/>
      <c r="K16" s="41" t="s">
        <v>801</v>
      </c>
      <c r="L16" s="42"/>
      <c r="M16" s="41" t="s">
        <v>790</v>
      </c>
      <c r="N16" s="42"/>
      <c r="O16" s="41" t="s">
        <v>787</v>
      </c>
      <c r="P16" s="42"/>
      <c r="Q16" s="41" t="s">
        <v>808</v>
      </c>
      <c r="R16" s="42"/>
      <c r="S16" s="39"/>
    </row>
    <row r="17" spans="2:20" x14ac:dyDescent="0.2">
      <c r="B17" s="40" t="s">
        <v>892</v>
      </c>
      <c r="C17" s="41" t="s">
        <v>837</v>
      </c>
      <c r="D17" s="42"/>
      <c r="E17" s="41" t="s">
        <v>835</v>
      </c>
      <c r="F17" s="42"/>
      <c r="G17" s="41" t="s">
        <v>829</v>
      </c>
      <c r="H17" s="42"/>
      <c r="I17" s="41" t="s">
        <v>853</v>
      </c>
      <c r="J17" s="42"/>
      <c r="K17" s="41" t="s">
        <v>841</v>
      </c>
      <c r="L17" s="42"/>
      <c r="M17" s="41" t="s">
        <v>914</v>
      </c>
      <c r="N17" s="42"/>
      <c r="O17" s="41" t="s">
        <v>857</v>
      </c>
      <c r="P17" s="42"/>
      <c r="Q17" s="41" t="s">
        <v>859</v>
      </c>
      <c r="R17" s="42"/>
      <c r="S17" s="39"/>
    </row>
    <row r="18" spans="2:20" x14ac:dyDescent="0.2">
      <c r="B18" s="43" t="s">
        <v>893</v>
      </c>
      <c r="C18" s="44" t="s">
        <v>816</v>
      </c>
      <c r="D18" s="45"/>
      <c r="E18" s="44" t="s">
        <v>828</v>
      </c>
      <c r="F18" s="45"/>
      <c r="G18" s="44" t="s">
        <v>840</v>
      </c>
      <c r="H18" s="45"/>
      <c r="I18" s="44" t="s">
        <v>850</v>
      </c>
      <c r="J18" s="45"/>
      <c r="K18" s="44" t="s">
        <v>819</v>
      </c>
      <c r="L18" s="45"/>
      <c r="M18" s="44" t="s">
        <v>854</v>
      </c>
      <c r="N18" s="45"/>
      <c r="O18" s="44" t="s">
        <v>842</v>
      </c>
      <c r="P18" s="45"/>
      <c r="Q18" s="44" t="s">
        <v>849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360</v>
      </c>
      <c r="D22" s="38"/>
      <c r="E22" s="37" t="s">
        <v>170</v>
      </c>
      <c r="F22" s="38"/>
      <c r="G22" s="37" t="s">
        <v>334</v>
      </c>
      <c r="H22" s="38"/>
      <c r="I22" s="37" t="s">
        <v>530</v>
      </c>
      <c r="J22" s="38"/>
      <c r="K22" s="37" t="s">
        <v>732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194</v>
      </c>
      <c r="D23" s="42"/>
      <c r="E23" s="41" t="s">
        <v>343</v>
      </c>
      <c r="F23" s="42"/>
      <c r="G23" s="41" t="s">
        <v>170</v>
      </c>
      <c r="H23" s="42"/>
      <c r="I23" s="41" t="s">
        <v>315</v>
      </c>
      <c r="J23" s="42"/>
      <c r="K23" s="41" t="s">
        <v>360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702</v>
      </c>
      <c r="D24" s="42"/>
      <c r="E24" s="41" t="s">
        <v>275</v>
      </c>
      <c r="F24" s="42"/>
      <c r="G24" s="41" t="s">
        <v>134</v>
      </c>
      <c r="H24" s="42"/>
      <c r="I24" s="41" t="s">
        <v>739</v>
      </c>
      <c r="J24" s="42"/>
      <c r="K24" s="41" t="s">
        <v>408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267</v>
      </c>
      <c r="D25" s="42"/>
      <c r="E25" s="41" t="s">
        <v>151</v>
      </c>
      <c r="F25" s="42"/>
      <c r="G25" s="41" t="s">
        <v>214</v>
      </c>
      <c r="H25" s="42"/>
      <c r="I25" s="41" t="s">
        <v>34</v>
      </c>
      <c r="J25" s="42"/>
      <c r="K25" s="41" t="s">
        <v>126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193</v>
      </c>
      <c r="D26" s="42"/>
      <c r="E26" s="41" t="s">
        <v>34</v>
      </c>
      <c r="F26" s="42"/>
      <c r="G26" s="41" t="s">
        <v>201</v>
      </c>
      <c r="H26" s="42"/>
      <c r="I26" s="41" t="s">
        <v>702</v>
      </c>
      <c r="J26" s="42"/>
      <c r="K26" s="41" t="s">
        <v>265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90</v>
      </c>
      <c r="D27" s="42"/>
      <c r="E27" s="41" t="s">
        <v>176</v>
      </c>
      <c r="F27" s="42"/>
      <c r="G27" s="41" t="s">
        <v>103</v>
      </c>
      <c r="H27" s="42"/>
      <c r="I27" s="41" t="s">
        <v>141</v>
      </c>
      <c r="J27" s="42"/>
      <c r="K27" s="41" t="s">
        <v>430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438</v>
      </c>
      <c r="D28" s="42"/>
      <c r="E28" s="41" t="s">
        <v>24</v>
      </c>
      <c r="F28" s="42"/>
      <c r="G28" s="41" t="s">
        <v>302</v>
      </c>
      <c r="H28" s="42"/>
      <c r="I28" s="41" t="s">
        <v>24</v>
      </c>
      <c r="J28" s="42"/>
      <c r="K28" s="41" t="s">
        <v>374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284</v>
      </c>
      <c r="D29" s="42"/>
      <c r="E29" s="41" t="s">
        <v>367</v>
      </c>
      <c r="F29" s="42"/>
      <c r="G29" s="41" t="s">
        <v>300</v>
      </c>
      <c r="H29" s="42"/>
      <c r="I29" s="41" t="s">
        <v>198</v>
      </c>
      <c r="J29" s="42"/>
      <c r="K29" s="41" t="s">
        <v>931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179</v>
      </c>
      <c r="D30" s="42"/>
      <c r="E30" s="41" t="s">
        <v>51</v>
      </c>
      <c r="F30" s="42"/>
      <c r="G30" s="41" t="s">
        <v>57</v>
      </c>
      <c r="H30" s="42"/>
      <c r="I30" s="41" t="s">
        <v>13</v>
      </c>
      <c r="J30" s="42"/>
      <c r="K30" s="41" t="s">
        <v>187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710</v>
      </c>
      <c r="D31" s="42"/>
      <c r="E31" s="41" t="s">
        <v>82</v>
      </c>
      <c r="F31" s="42"/>
      <c r="G31" s="41" t="s">
        <v>199</v>
      </c>
      <c r="H31" s="42"/>
      <c r="I31" s="41" t="s">
        <v>46</v>
      </c>
      <c r="J31" s="42"/>
      <c r="K31" s="41" t="s">
        <v>604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785</v>
      </c>
      <c r="D32" s="42"/>
      <c r="E32" s="41" t="s">
        <v>803</v>
      </c>
      <c r="F32" s="42"/>
      <c r="G32" s="41" t="s">
        <v>859</v>
      </c>
      <c r="H32" s="42"/>
      <c r="I32" s="41" t="s">
        <v>789</v>
      </c>
      <c r="J32" s="42"/>
      <c r="K32" s="41" t="s">
        <v>856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793</v>
      </c>
      <c r="D33" s="42"/>
      <c r="E33" s="41" t="s">
        <v>799</v>
      </c>
      <c r="F33" s="42"/>
      <c r="G33" s="41" t="s">
        <v>816</v>
      </c>
      <c r="H33" s="42"/>
      <c r="I33" s="41" t="s">
        <v>803</v>
      </c>
      <c r="J33" s="42"/>
      <c r="K33" s="41" t="s">
        <v>835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848</v>
      </c>
      <c r="D34" s="42"/>
      <c r="E34" s="41" t="s">
        <v>856</v>
      </c>
      <c r="F34" s="42"/>
      <c r="G34" s="41" t="s">
        <v>806</v>
      </c>
      <c r="H34" s="42"/>
      <c r="I34" s="41" t="s">
        <v>819</v>
      </c>
      <c r="J34" s="42"/>
      <c r="K34" s="41" t="s">
        <v>801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823</v>
      </c>
      <c r="D35" s="45"/>
      <c r="E35" s="44" t="s">
        <v>814</v>
      </c>
      <c r="F35" s="45"/>
      <c r="G35" s="44" t="s">
        <v>796</v>
      </c>
      <c r="H35" s="45"/>
      <c r="I35" s="44" t="s">
        <v>859</v>
      </c>
      <c r="J35" s="45"/>
      <c r="K35" s="44" t="s">
        <v>792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Sam Darnold</v>
      </c>
      <c r="E38" s="87"/>
    </row>
    <row r="39" spans="2:20" x14ac:dyDescent="0.2">
      <c r="C39" s="34" t="str">
        <f>+C$6</f>
        <v>Nick Foles</v>
      </c>
      <c r="E39" s="87"/>
    </row>
    <row r="40" spans="2:20" x14ac:dyDescent="0.2">
      <c r="C40" s="34" t="str">
        <f>+C$7</f>
        <v>Mark Ingram</v>
      </c>
      <c r="E40" s="87"/>
    </row>
    <row r="41" spans="2:20" x14ac:dyDescent="0.2">
      <c r="C41" s="34" t="str">
        <f>+C$8</f>
        <v>Chris Carson</v>
      </c>
      <c r="E41" s="87"/>
    </row>
    <row r="42" spans="2:20" x14ac:dyDescent="0.2">
      <c r="C42" s="34" t="str">
        <f>+C$9</f>
        <v>Frank Gore</v>
      </c>
      <c r="E42" s="87"/>
    </row>
    <row r="43" spans="2:20" x14ac:dyDescent="0.2">
      <c r="C43" s="34" t="str">
        <f>+C$10</f>
        <v>Sterling Shepard</v>
      </c>
      <c r="E43" s="87"/>
    </row>
    <row r="44" spans="2:20" x14ac:dyDescent="0.2">
      <c r="C44" s="34" t="str">
        <f>+C$11</f>
        <v>Sammy Watkins</v>
      </c>
      <c r="E44" s="87"/>
    </row>
    <row r="45" spans="2:20" x14ac:dyDescent="0.2">
      <c r="C45" s="34" t="str">
        <f>+C$12</f>
        <v>Jamison Crowder</v>
      </c>
      <c r="E45" s="87"/>
    </row>
    <row r="46" spans="2:20" x14ac:dyDescent="0.2">
      <c r="C46" s="34" t="str">
        <f>+C$13</f>
        <v>C.J. Uzomah</v>
      </c>
      <c r="E46" s="87"/>
    </row>
    <row r="47" spans="2:20" x14ac:dyDescent="0.2">
      <c r="C47" s="34" t="str">
        <f>+C$14</f>
        <v>Nick Vannett</v>
      </c>
      <c r="E47" s="87"/>
    </row>
    <row r="48" spans="2:20" x14ac:dyDescent="0.2">
      <c r="C48" s="34" t="str">
        <f>+C$15</f>
        <v>Detroit Lions</v>
      </c>
      <c r="E48" s="87"/>
    </row>
    <row r="49" spans="3:5" x14ac:dyDescent="0.2">
      <c r="C49" s="34" t="str">
        <f>+C$16</f>
        <v>Kansas City Chiefs</v>
      </c>
      <c r="E49" s="87"/>
    </row>
    <row r="50" spans="3:5" x14ac:dyDescent="0.2">
      <c r="C50" s="34" t="str">
        <f>+C$17</f>
        <v>Dustin Hopkins</v>
      </c>
      <c r="E50" s="87"/>
    </row>
    <row r="51" spans="3:5" x14ac:dyDescent="0.2">
      <c r="C51" s="34" t="str">
        <f>+C$18</f>
        <v>Dan Bailey</v>
      </c>
      <c r="E51" s="87"/>
    </row>
    <row r="52" spans="3:5" x14ac:dyDescent="0.2">
      <c r="C52" s="51" t="str">
        <f>+E$5</f>
        <v>Derek Carr</v>
      </c>
    </row>
    <row r="53" spans="3:5" x14ac:dyDescent="0.2">
      <c r="C53" s="34" t="str">
        <f>+E$6</f>
        <v>Baker Mayfield</v>
      </c>
    </row>
    <row r="54" spans="3:5" x14ac:dyDescent="0.2">
      <c r="C54" s="34" t="str">
        <f>+E$7</f>
        <v>Leonard Fournette</v>
      </c>
    </row>
    <row r="55" spans="3:5" x14ac:dyDescent="0.2">
      <c r="C55" s="34" t="str">
        <f>+E$8</f>
        <v>Dalvin Cook</v>
      </c>
    </row>
    <row r="56" spans="3:5" x14ac:dyDescent="0.2">
      <c r="C56" s="34" t="str">
        <f>+E$9</f>
        <v>Adrian Peterson</v>
      </c>
    </row>
    <row r="57" spans="3:5" x14ac:dyDescent="0.2">
      <c r="C57" s="34" t="str">
        <f>+E$10</f>
        <v>Cooper Kupp</v>
      </c>
    </row>
    <row r="58" spans="3:5" x14ac:dyDescent="0.2">
      <c r="C58" s="34" t="str">
        <f>+E$11</f>
        <v>Allen Robinson</v>
      </c>
    </row>
    <row r="59" spans="3:5" x14ac:dyDescent="0.2">
      <c r="C59" s="34" t="str">
        <f>+E$12</f>
        <v>Calvin Ridley</v>
      </c>
    </row>
    <row r="60" spans="3:5" x14ac:dyDescent="0.2">
      <c r="C60" s="34" t="str">
        <f>+E$13</f>
        <v>Darren Waller</v>
      </c>
    </row>
    <row r="61" spans="3:5" x14ac:dyDescent="0.2">
      <c r="C61" s="34" t="str">
        <f>+E$14</f>
        <v>Trey Burton</v>
      </c>
    </row>
    <row r="62" spans="3:5" x14ac:dyDescent="0.2">
      <c r="C62" s="34" t="str">
        <f>+E$15</f>
        <v>New England Patriots</v>
      </c>
    </row>
    <row r="63" spans="3:5" x14ac:dyDescent="0.2">
      <c r="C63" s="34" t="str">
        <f>+E$16</f>
        <v>Seattle Seahawks</v>
      </c>
    </row>
    <row r="64" spans="3:5" x14ac:dyDescent="0.2">
      <c r="C64" s="34" t="str">
        <f>+E$17</f>
        <v>Steven Hauschka</v>
      </c>
    </row>
    <row r="65" spans="3:3" x14ac:dyDescent="0.2">
      <c r="C65" s="34" t="str">
        <f>+E$18</f>
        <v>Ka'imi Fairbairn</v>
      </c>
    </row>
    <row r="66" spans="3:3" x14ac:dyDescent="0.2">
      <c r="C66" s="51" t="str">
        <f>+G$5</f>
        <v>Dak Prescott</v>
      </c>
    </row>
    <row r="67" spans="3:3" x14ac:dyDescent="0.2">
      <c r="C67" s="34" t="str">
        <f>+G$6</f>
        <v>Gardner Minshew</v>
      </c>
    </row>
    <row r="68" spans="3:3" x14ac:dyDescent="0.2">
      <c r="C68" s="34" t="str">
        <f>+G$7</f>
        <v>David Montgomery</v>
      </c>
    </row>
    <row r="69" spans="3:3" x14ac:dyDescent="0.2">
      <c r="C69" s="34" t="str">
        <f>+G$8</f>
        <v>Carlos Hyde</v>
      </c>
    </row>
    <row r="70" spans="3:3" x14ac:dyDescent="0.2">
      <c r="C70" s="34" t="str">
        <f>+G$9</f>
        <v>Peyton Barber</v>
      </c>
    </row>
    <row r="71" spans="3:3" x14ac:dyDescent="0.2">
      <c r="C71" s="34" t="str">
        <f>+G$10</f>
        <v>Demarcus Robinson</v>
      </c>
    </row>
    <row r="72" spans="3:3" x14ac:dyDescent="0.2">
      <c r="C72" s="34" t="str">
        <f>+G$11</f>
        <v>Kenny Golladay</v>
      </c>
    </row>
    <row r="73" spans="3:3" x14ac:dyDescent="0.2">
      <c r="C73" s="34" t="str">
        <f>+G$12</f>
        <v>Randall Cobb</v>
      </c>
    </row>
    <row r="74" spans="3:3" x14ac:dyDescent="0.2">
      <c r="C74" s="34" t="str">
        <f>+G$13</f>
        <v>Kyle Rudolph</v>
      </c>
    </row>
    <row r="75" spans="3:3" x14ac:dyDescent="0.2">
      <c r="C75" s="34" t="str">
        <f>+G$14</f>
        <v>Blake Jarwin</v>
      </c>
    </row>
    <row r="76" spans="3:3" x14ac:dyDescent="0.2">
      <c r="C76" s="34" t="str">
        <f>+G$15</f>
        <v>Tampa Bay Buccaneers</v>
      </c>
    </row>
    <row r="77" spans="3:3" x14ac:dyDescent="0.2">
      <c r="C77" s="34" t="str">
        <f>+G$16</f>
        <v>Atlanta Falcons</v>
      </c>
    </row>
    <row r="78" spans="3:3" x14ac:dyDescent="0.2">
      <c r="C78" s="34" t="str">
        <f>+G$17</f>
        <v>Sam Ficken</v>
      </c>
    </row>
    <row r="79" spans="3:3" x14ac:dyDescent="0.2">
      <c r="C79" s="34" t="str">
        <f>+G$18</f>
        <v>Josh Lambo</v>
      </c>
    </row>
    <row r="80" spans="3:3" x14ac:dyDescent="0.2">
      <c r="C80" s="51" t="str">
        <f>+I$5</f>
        <v>Daniel Jones</v>
      </c>
    </row>
    <row r="81" spans="3:3" x14ac:dyDescent="0.2">
      <c r="C81" s="34" t="str">
        <f>+I$6</f>
        <v>Jacoby Brissett</v>
      </c>
    </row>
    <row r="82" spans="3:3" x14ac:dyDescent="0.2">
      <c r="C82" s="34" t="str">
        <f>+I$7</f>
        <v>Wayne Gallman</v>
      </c>
    </row>
    <row r="83" spans="3:3" x14ac:dyDescent="0.2">
      <c r="C83" s="34" t="str">
        <f>+I$8</f>
        <v>LeSean McCoy</v>
      </c>
    </row>
    <row r="84" spans="3:3" x14ac:dyDescent="0.2">
      <c r="C84" s="34" t="str">
        <f>+I$9</f>
        <v>Justin Jackson</v>
      </c>
    </row>
    <row r="85" spans="3:3" x14ac:dyDescent="0.2">
      <c r="C85" s="34" t="str">
        <f>+I$10</f>
        <v>Marquez Valdes-Scantling</v>
      </c>
    </row>
    <row r="86" spans="3:3" x14ac:dyDescent="0.2">
      <c r="C86" s="34" t="str">
        <f>+I$11</f>
        <v>Keenan Allen</v>
      </c>
    </row>
    <row r="87" spans="3:3" x14ac:dyDescent="0.2">
      <c r="C87" s="34" t="str">
        <f>+I$12</f>
        <v>Paul Richardson</v>
      </c>
    </row>
    <row r="88" spans="3:3" x14ac:dyDescent="0.2">
      <c r="C88" s="34" t="str">
        <f>+I$13</f>
        <v>Delanie Walker</v>
      </c>
    </row>
    <row r="89" spans="3:3" x14ac:dyDescent="0.2">
      <c r="C89" s="34" t="str">
        <f>+I$14</f>
        <v>Gerald Everett</v>
      </c>
    </row>
    <row r="90" spans="3:3" x14ac:dyDescent="0.2">
      <c r="C90" s="34" t="str">
        <f>+I$15</f>
        <v>Houston Texans</v>
      </c>
    </row>
    <row r="91" spans="3:3" x14ac:dyDescent="0.2">
      <c r="C91" s="34" t="str">
        <f>+I$16</f>
        <v>Cincinnati Bengals</v>
      </c>
    </row>
    <row r="92" spans="3:3" x14ac:dyDescent="0.2">
      <c r="C92" s="34" t="str">
        <f>+I$17</f>
        <v>Austin Seibert</v>
      </c>
    </row>
    <row r="93" spans="3:3" x14ac:dyDescent="0.2">
      <c r="C93" s="34" t="str">
        <f>+I$18</f>
        <v>Aldrick Rosas</v>
      </c>
    </row>
    <row r="94" spans="3:3" x14ac:dyDescent="0.2">
      <c r="C94" s="51" t="str">
        <f>+K$5</f>
        <v>Kyler Murray</v>
      </c>
    </row>
    <row r="95" spans="3:3" x14ac:dyDescent="0.2">
      <c r="C95" s="34" t="str">
        <f>+K$6</f>
        <v>Kirk Cousins</v>
      </c>
    </row>
    <row r="96" spans="3:3" x14ac:dyDescent="0.2">
      <c r="C96" s="34" t="str">
        <f>+K$7</f>
        <v>Miles Sanders</v>
      </c>
    </row>
    <row r="97" spans="3:3" x14ac:dyDescent="0.2">
      <c r="C97" s="34" t="str">
        <f>+K$8</f>
        <v>Rex Burkhead</v>
      </c>
    </row>
    <row r="98" spans="3:3" x14ac:dyDescent="0.2">
      <c r="C98" s="34" t="str">
        <f>+K$9</f>
        <v>Austin Ekeler</v>
      </c>
    </row>
    <row r="99" spans="3:3" x14ac:dyDescent="0.2">
      <c r="C99" s="34" t="str">
        <f>+K$10</f>
        <v>Phillip Dorsett</v>
      </c>
    </row>
    <row r="100" spans="3:3" x14ac:dyDescent="0.2">
      <c r="C100" s="34" t="str">
        <f>+K$11</f>
        <v>Nelson Agholor</v>
      </c>
    </row>
    <row r="101" spans="3:3" x14ac:dyDescent="0.2">
      <c r="C101" s="34" t="str">
        <f>+K$12</f>
        <v>Golden Tate</v>
      </c>
    </row>
    <row r="102" spans="3:3" x14ac:dyDescent="0.2">
      <c r="C102" s="34" t="str">
        <f>+K$13</f>
        <v>Jack Doyle</v>
      </c>
    </row>
    <row r="103" spans="3:3" x14ac:dyDescent="0.2">
      <c r="C103" s="34" t="str">
        <f>+K$14</f>
        <v>Jordan Akins</v>
      </c>
    </row>
    <row r="104" spans="3:3" x14ac:dyDescent="0.2">
      <c r="C104" s="34" t="str">
        <f>+K$15</f>
        <v>Oakland Raiders</v>
      </c>
    </row>
    <row r="105" spans="3:3" x14ac:dyDescent="0.2">
      <c r="C105" s="34" t="str">
        <f>+K$16</f>
        <v>Minnesota Vikings</v>
      </c>
    </row>
    <row r="106" spans="3:3" x14ac:dyDescent="0.2">
      <c r="C106" s="34" t="str">
        <f>+K$17</f>
        <v>Wil Lutz</v>
      </c>
    </row>
    <row r="107" spans="3:3" x14ac:dyDescent="0.2">
      <c r="C107" s="34" t="str">
        <f>+K$18</f>
        <v>Chris Boswell</v>
      </c>
    </row>
    <row r="108" spans="3:3" x14ac:dyDescent="0.2">
      <c r="C108" s="51" t="str">
        <f>+M$5</f>
        <v>Josh Rosen</v>
      </c>
    </row>
    <row r="109" spans="3:3" x14ac:dyDescent="0.2">
      <c r="C109" s="34" t="str">
        <f>+M$6</f>
        <v>Kyle Allen</v>
      </c>
    </row>
    <row r="110" spans="3:3" x14ac:dyDescent="0.2">
      <c r="C110" s="34" t="str">
        <f>+M$7</f>
        <v>Jonathan Hilliman</v>
      </c>
    </row>
    <row r="111" spans="3:3" x14ac:dyDescent="0.2">
      <c r="C111" s="34" t="str">
        <f>+M$8</f>
        <v>Tony Pollard</v>
      </c>
    </row>
    <row r="112" spans="3:3" x14ac:dyDescent="0.2">
      <c r="C112" s="34" t="str">
        <f>+M$9</f>
        <v>Malcolm Brown</v>
      </c>
    </row>
    <row r="113" spans="3:3" x14ac:dyDescent="0.2">
      <c r="C113" s="34" t="str">
        <f>+M$10</f>
        <v>Michael Gallup</v>
      </c>
    </row>
    <row r="114" spans="3:3" x14ac:dyDescent="0.2">
      <c r="C114" s="34" t="str">
        <f>+M$11</f>
        <v>Mohamed Sanu</v>
      </c>
    </row>
    <row r="115" spans="3:3" x14ac:dyDescent="0.2">
      <c r="C115" s="34" t="str">
        <f>+M$12</f>
        <v>Courtland Sutton</v>
      </c>
    </row>
    <row r="116" spans="3:3" x14ac:dyDescent="0.2">
      <c r="C116" s="34" t="str">
        <f>+M$13</f>
        <v>Noah Fant</v>
      </c>
    </row>
    <row r="117" spans="3:3" x14ac:dyDescent="0.2">
      <c r="C117" s="34" t="str">
        <f>+M$14</f>
        <v>Vance McDonald</v>
      </c>
    </row>
    <row r="118" spans="3:3" x14ac:dyDescent="0.2">
      <c r="C118" s="34" t="str">
        <f>+M$15</f>
        <v>Carolina Panthers</v>
      </c>
    </row>
    <row r="119" spans="3:3" x14ac:dyDescent="0.2">
      <c r="C119" s="34" t="str">
        <f>+M$16</f>
        <v>Dallas Cowboys</v>
      </c>
    </row>
    <row r="120" spans="3:3" x14ac:dyDescent="0.2">
      <c r="C120" s="34" t="str">
        <f>+M$17</f>
        <v>Mike Nugent</v>
      </c>
    </row>
    <row r="121" spans="3:3" x14ac:dyDescent="0.2">
      <c r="C121" s="34" t="str">
        <f>+M$18</f>
        <v>Joey Slye</v>
      </c>
    </row>
    <row r="122" spans="3:3" x14ac:dyDescent="0.2">
      <c r="C122" s="51" t="str">
        <f>+O$5</f>
        <v>Josh Allen</v>
      </c>
    </row>
    <row r="123" spans="3:3" x14ac:dyDescent="0.2">
      <c r="C123" s="34" t="str">
        <f>+O$6</f>
        <v>Jimmy Garoppolo</v>
      </c>
    </row>
    <row r="124" spans="3:3" x14ac:dyDescent="0.2">
      <c r="C124" s="34" t="str">
        <f>+O$7</f>
        <v>Derrick Henry</v>
      </c>
    </row>
    <row r="125" spans="3:3" x14ac:dyDescent="0.2">
      <c r="C125" s="34" t="str">
        <f>+O$8</f>
        <v>Devin Singletary</v>
      </c>
    </row>
    <row r="126" spans="3:3" x14ac:dyDescent="0.2">
      <c r="C126" s="34" t="str">
        <f>+O$9</f>
        <v>Royce Freeman</v>
      </c>
    </row>
    <row r="127" spans="3:3" x14ac:dyDescent="0.2">
      <c r="C127" s="34" t="str">
        <f>+O$10</f>
        <v>Allen Lazard</v>
      </c>
    </row>
    <row r="128" spans="3:3" x14ac:dyDescent="0.2">
      <c r="C128" s="34" t="str">
        <f>+O$11</f>
        <v>Brandin Cooks</v>
      </c>
    </row>
    <row r="129" spans="3:3" x14ac:dyDescent="0.2">
      <c r="C129" s="34" t="str">
        <f>+O$12</f>
        <v>Dante Pettis</v>
      </c>
    </row>
    <row r="130" spans="3:3" x14ac:dyDescent="0.2">
      <c r="C130" s="34" t="str">
        <f>+O$13</f>
        <v>Evan Engram</v>
      </c>
    </row>
    <row r="131" spans="3:3" x14ac:dyDescent="0.2">
      <c r="C131" s="34" t="str">
        <f>+O$14</f>
        <v>Jason Witten</v>
      </c>
    </row>
    <row r="132" spans="3:3" x14ac:dyDescent="0.2">
      <c r="C132" s="34" t="str">
        <f>+O$15</f>
        <v>San Francisco 49ers</v>
      </c>
    </row>
    <row r="133" spans="3:3" x14ac:dyDescent="0.2">
      <c r="C133" s="34" t="str">
        <f>+O$16</f>
        <v>Chicago Bears</v>
      </c>
    </row>
    <row r="134" spans="3:3" x14ac:dyDescent="0.2">
      <c r="C134" s="34" t="str">
        <f>+O$17</f>
        <v>Adam Vinatieri</v>
      </c>
    </row>
    <row r="135" spans="3:3" x14ac:dyDescent="0.2">
      <c r="C135" s="34" t="str">
        <f>+O$18</f>
        <v>Brett Maher</v>
      </c>
    </row>
    <row r="136" spans="3:3" x14ac:dyDescent="0.2">
      <c r="C136" s="51" t="str">
        <f>+Q$5</f>
        <v>Teddy Bridgewater</v>
      </c>
    </row>
    <row r="137" spans="3:3" x14ac:dyDescent="0.2">
      <c r="C137" s="34" t="str">
        <f>+Q$6</f>
        <v>Jared Goff</v>
      </c>
    </row>
    <row r="138" spans="3:3" x14ac:dyDescent="0.2">
      <c r="C138" s="34" t="str">
        <f>+Q$7</f>
        <v>Ty Johnson</v>
      </c>
    </row>
    <row r="139" spans="3:3" x14ac:dyDescent="0.2">
      <c r="C139" s="34" t="str">
        <f>+Q$8</f>
        <v>James Conner</v>
      </c>
    </row>
    <row r="140" spans="3:3" x14ac:dyDescent="0.2">
      <c r="C140" s="34" t="str">
        <f>+Q$9</f>
        <v>Todd Gurley</v>
      </c>
    </row>
    <row r="141" spans="3:3" x14ac:dyDescent="0.2">
      <c r="C141" s="34" t="str">
        <f>+Q$10</f>
        <v>Tyler Lockett</v>
      </c>
    </row>
    <row r="142" spans="3:3" x14ac:dyDescent="0.2">
      <c r="C142" s="34" t="str">
        <f>+Q$11</f>
        <v>John Brown</v>
      </c>
    </row>
    <row r="143" spans="3:3" x14ac:dyDescent="0.2">
      <c r="C143" s="34" t="str">
        <f>+Q$12</f>
        <v>DJ Chark</v>
      </c>
    </row>
    <row r="144" spans="3:3" x14ac:dyDescent="0.2">
      <c r="C144" s="34" t="str">
        <f>+Q$13</f>
        <v>Hunter Henry</v>
      </c>
    </row>
    <row r="145" spans="3:3" x14ac:dyDescent="0.2">
      <c r="C145" s="34" t="str">
        <f>+Q$14</f>
        <v>Eric Ebron</v>
      </c>
    </row>
    <row r="146" spans="3:3" x14ac:dyDescent="0.2">
      <c r="C146" s="34" t="str">
        <f>+Q$15</f>
        <v>Indianapolis Colts</v>
      </c>
    </row>
    <row r="147" spans="3:3" x14ac:dyDescent="0.2">
      <c r="C147" s="34" t="str">
        <f>+Q$16</f>
        <v>Pittsburgh Steelers</v>
      </c>
    </row>
    <row r="148" spans="3:3" x14ac:dyDescent="0.2">
      <c r="C148" s="34" t="str">
        <f>+Q$17</f>
        <v>Greg Zuerlein</v>
      </c>
    </row>
    <row r="149" spans="3:3" x14ac:dyDescent="0.2">
      <c r="C149" s="34" t="str">
        <f>+Q$18</f>
        <v>Matt Prater</v>
      </c>
    </row>
    <row r="150" spans="3:3" x14ac:dyDescent="0.2">
      <c r="C150" s="51" t="str">
        <f>+C$22</f>
        <v>Russell Wilson</v>
      </c>
    </row>
    <row r="151" spans="3:3" x14ac:dyDescent="0.2">
      <c r="C151" s="34" t="str">
        <f>+C$23</f>
        <v>Jameis Winston</v>
      </c>
    </row>
    <row r="152" spans="3:3" x14ac:dyDescent="0.2">
      <c r="C152" s="34" t="str">
        <f>+C$24</f>
        <v>Josh Jacobs</v>
      </c>
    </row>
    <row r="153" spans="3:3" x14ac:dyDescent="0.2">
      <c r="C153" s="34" t="str">
        <f>+C$25</f>
        <v>Le'Veon Bell</v>
      </c>
    </row>
    <row r="154" spans="3:3" x14ac:dyDescent="0.2">
      <c r="C154" s="34" t="str">
        <f>+C$26</f>
        <v>Jamaal Williams</v>
      </c>
    </row>
    <row r="155" spans="3:3" x14ac:dyDescent="0.2">
      <c r="C155" s="34" t="str">
        <f>+C$27</f>
        <v>Adam Thielen</v>
      </c>
    </row>
    <row r="156" spans="3:3" x14ac:dyDescent="0.2">
      <c r="C156" s="34" t="str">
        <f>+C$28</f>
        <v>Tyrell Williams</v>
      </c>
    </row>
    <row r="157" spans="3:3" x14ac:dyDescent="0.2">
      <c r="C157" s="34" t="str">
        <f>+C$29</f>
        <v>Marvin Jones</v>
      </c>
    </row>
    <row r="158" spans="3:3" x14ac:dyDescent="0.2">
      <c r="C158" s="34" t="str">
        <f>+C$30</f>
        <v>Jonnu Smith</v>
      </c>
    </row>
    <row r="159" spans="3:3" x14ac:dyDescent="0.2">
      <c r="C159" s="34" t="str">
        <f>+C$31</f>
        <v>T.J. Hockenson</v>
      </c>
    </row>
    <row r="160" spans="3:3" x14ac:dyDescent="0.2">
      <c r="C160" s="34" t="str">
        <f>+C$32</f>
        <v>Buffalo Bills</v>
      </c>
    </row>
    <row r="161" spans="3:3" x14ac:dyDescent="0.2">
      <c r="C161" s="34" t="str">
        <f>+C$33</f>
        <v>Green Bay Packers</v>
      </c>
    </row>
    <row r="162" spans="3:3" x14ac:dyDescent="0.2">
      <c r="C162" s="34" t="str">
        <f>+C$34</f>
        <v>Eddy Pineiro</v>
      </c>
    </row>
    <row r="163" spans="3:3" x14ac:dyDescent="0.2">
      <c r="C163" s="34" t="str">
        <f>+C$35</f>
        <v>Harrison Butker</v>
      </c>
    </row>
    <row r="164" spans="3:3" x14ac:dyDescent="0.2">
      <c r="C164" s="51" t="str">
        <f>+E$22</f>
        <v>Drew Brees</v>
      </c>
    </row>
    <row r="165" spans="3:3" x14ac:dyDescent="0.2">
      <c r="C165" s="34" t="str">
        <f>+E$23</f>
        <v>Philip Rivers</v>
      </c>
    </row>
    <row r="166" spans="3:3" x14ac:dyDescent="0.2">
      <c r="C166" s="34" t="str">
        <f>+E$24</f>
        <v>Marlon Mack</v>
      </c>
    </row>
    <row r="167" spans="3:3" x14ac:dyDescent="0.2">
      <c r="C167" s="34" t="str">
        <f>+E$25</f>
        <v>Derrick Henry</v>
      </c>
    </row>
    <row r="168" spans="3:3" x14ac:dyDescent="0.2">
      <c r="C168" s="34" t="str">
        <f>+E$26</f>
        <v>Damien Williams</v>
      </c>
    </row>
    <row r="169" spans="3:3" x14ac:dyDescent="0.2">
      <c r="C169" s="34" t="str">
        <f>+E$27</f>
        <v>Emmanuel Sanders</v>
      </c>
    </row>
    <row r="170" spans="3:3" x14ac:dyDescent="0.2">
      <c r="C170" s="34" t="str">
        <f>+E$28</f>
        <v>Chris Godwin</v>
      </c>
    </row>
    <row r="171" spans="3:3" x14ac:dyDescent="0.2">
      <c r="C171" s="34" t="str">
        <f>+E$29</f>
        <v>Mike Williams</v>
      </c>
    </row>
    <row r="172" spans="3:3" x14ac:dyDescent="0.2">
      <c r="C172" s="34" t="str">
        <f>+E$30</f>
        <v>Greg Olsen</v>
      </c>
    </row>
    <row r="173" spans="3:3" x14ac:dyDescent="0.2">
      <c r="C173" s="34" t="str">
        <f>+E$31</f>
        <v>Ryan Griffin</v>
      </c>
    </row>
    <row r="174" spans="3:3" x14ac:dyDescent="0.2">
      <c r="C174" s="34" t="str">
        <f>+E$32</f>
        <v>New Orleans Saints</v>
      </c>
    </row>
    <row r="175" spans="3:3" x14ac:dyDescent="0.2">
      <c r="C175" s="34" t="str">
        <f>+E$33</f>
        <v>Los Angeles Rams</v>
      </c>
    </row>
    <row r="176" spans="3:3" x14ac:dyDescent="0.2">
      <c r="C176" s="34" t="str">
        <f>+E$34</f>
        <v>Justin Tucker</v>
      </c>
    </row>
    <row r="177" spans="3:3" x14ac:dyDescent="0.2">
      <c r="C177" s="34" t="str">
        <f>+E$35</f>
        <v>Mike Badgley</v>
      </c>
    </row>
    <row r="178" spans="3:3" x14ac:dyDescent="0.2">
      <c r="C178" s="51" t="str">
        <f>+G$22</f>
        <v>Patrick Mahomes</v>
      </c>
    </row>
    <row r="179" spans="3:3" x14ac:dyDescent="0.2">
      <c r="C179" s="34" t="str">
        <f>+G$23</f>
        <v>Drew Brees</v>
      </c>
    </row>
    <row r="180" spans="3:3" x14ac:dyDescent="0.2">
      <c r="C180" s="34" t="str">
        <f>+G$24</f>
        <v>Christian McCaffrey</v>
      </c>
    </row>
    <row r="181" spans="3:3" x14ac:dyDescent="0.2">
      <c r="C181" s="34" t="str">
        <f>+G$25</f>
        <v>Joe Mixon</v>
      </c>
    </row>
    <row r="182" spans="3:3" x14ac:dyDescent="0.2">
      <c r="C182" s="34" t="str">
        <f>+G$26</f>
        <v>Jay Ajayi</v>
      </c>
    </row>
    <row r="183" spans="3:3" x14ac:dyDescent="0.2">
      <c r="C183" s="34" t="str">
        <f>+G$27</f>
        <v>Amari Cooper</v>
      </c>
    </row>
    <row r="184" spans="3:3" x14ac:dyDescent="0.2">
      <c r="C184" s="34" t="str">
        <f>+G$28</f>
        <v>Mike Evans</v>
      </c>
    </row>
    <row r="185" spans="3:3" x14ac:dyDescent="0.2">
      <c r="C185" s="34" t="str">
        <f>+G$29</f>
        <v>Michael Thomas</v>
      </c>
    </row>
    <row r="186" spans="3:3" x14ac:dyDescent="0.2">
      <c r="C186" s="34" t="str">
        <f>+G$30</f>
        <v>Jared Cook</v>
      </c>
    </row>
    <row r="187" spans="3:3" x14ac:dyDescent="0.2">
      <c r="C187" s="34" t="str">
        <f>+G$31</f>
        <v>Jason Witten</v>
      </c>
    </row>
    <row r="188" spans="3:3" x14ac:dyDescent="0.2">
      <c r="C188" s="34" t="str">
        <f>+G$32</f>
        <v>Greg Zuerlein</v>
      </c>
    </row>
    <row r="189" spans="3:3" x14ac:dyDescent="0.2">
      <c r="C189" s="34" t="str">
        <f>+G$33</f>
        <v>Dan Bailey</v>
      </c>
    </row>
    <row r="190" spans="3:3" x14ac:dyDescent="0.2">
      <c r="C190" s="34" t="str">
        <f>+G$34</f>
        <v>Oakland Raiders</v>
      </c>
    </row>
    <row r="191" spans="3:3" x14ac:dyDescent="0.2">
      <c r="C191" s="34" t="str">
        <f>+G$35</f>
        <v>Jacksonville Jaguars</v>
      </c>
    </row>
    <row r="192" spans="3:3" x14ac:dyDescent="0.2">
      <c r="C192" s="51" t="str">
        <f>+I$22</f>
        <v>Baker Mayfield</v>
      </c>
    </row>
    <row r="193" spans="3:3" x14ac:dyDescent="0.2">
      <c r="C193" s="34" t="str">
        <f>+I$23</f>
        <v>Mitch Trubisky</v>
      </c>
    </row>
    <row r="194" spans="3:3" x14ac:dyDescent="0.2">
      <c r="C194" s="34" t="str">
        <f>+I$24</f>
        <v>Benny Snell Jr.</v>
      </c>
    </row>
    <row r="195" spans="3:3" x14ac:dyDescent="0.2">
      <c r="C195" s="34" t="str">
        <f>+I$25</f>
        <v>Damien Williams</v>
      </c>
    </row>
    <row r="196" spans="3:3" x14ac:dyDescent="0.2">
      <c r="C196" s="34" t="str">
        <f>+I$26</f>
        <v>Josh Jacobs</v>
      </c>
    </row>
    <row r="197" spans="3:3" x14ac:dyDescent="0.2">
      <c r="C197" s="34" t="str">
        <f>+I$27</f>
        <v>Davante Adams</v>
      </c>
    </row>
    <row r="198" spans="3:3" x14ac:dyDescent="0.2">
      <c r="C198" s="34" t="str">
        <f>+I$28</f>
        <v>Chris Godwin</v>
      </c>
    </row>
    <row r="199" spans="3:3" x14ac:dyDescent="0.2">
      <c r="C199" s="34" t="str">
        <f>+I$29</f>
        <v>Jarvis Landry</v>
      </c>
    </row>
    <row r="200" spans="3:3" x14ac:dyDescent="0.2">
      <c r="C200" s="34" t="str">
        <f>+I$30</f>
        <v>Austin Hooper</v>
      </c>
    </row>
    <row r="201" spans="3:3" x14ac:dyDescent="0.2">
      <c r="C201" s="34" t="str">
        <f>+I$31</f>
        <v>Eric Ebron</v>
      </c>
    </row>
    <row r="202" spans="3:3" x14ac:dyDescent="0.2">
      <c r="C202" s="34" t="str">
        <f>+I$32</f>
        <v>Cleveland Browns</v>
      </c>
    </row>
    <row r="203" spans="3:3" x14ac:dyDescent="0.2">
      <c r="C203" s="34" t="str">
        <f>+I$33</f>
        <v>New Orleans Saints</v>
      </c>
    </row>
    <row r="204" spans="3:3" x14ac:dyDescent="0.2">
      <c r="C204" s="34" t="str">
        <f>+I$34</f>
        <v>Chris Boswell</v>
      </c>
    </row>
    <row r="205" spans="3:3" x14ac:dyDescent="0.2">
      <c r="C205" s="34" t="str">
        <f>+I$35</f>
        <v>Greg Zuerlein</v>
      </c>
    </row>
    <row r="206" spans="3:3" x14ac:dyDescent="0.2">
      <c r="C206" s="51" t="str">
        <f>+K$22</f>
        <v>Dwayne Haskins</v>
      </c>
    </row>
    <row r="207" spans="3:3" x14ac:dyDescent="0.2">
      <c r="C207" s="34" t="str">
        <f>+K$23</f>
        <v>Russell Wilson</v>
      </c>
    </row>
    <row r="208" spans="3:3" x14ac:dyDescent="0.2">
      <c r="C208" s="34" t="str">
        <f>+K$24</f>
        <v>Todd Gurley</v>
      </c>
    </row>
    <row r="209" spans="3:3" x14ac:dyDescent="0.2">
      <c r="C209" s="34" t="str">
        <f>+K$25</f>
        <v>Carlos Hyde</v>
      </c>
    </row>
    <row r="210" spans="3:3" x14ac:dyDescent="0.2">
      <c r="C210" s="34" t="str">
        <f>+K$26</f>
        <v>Leonard Fournette</v>
      </c>
    </row>
    <row r="211" spans="3:3" x14ac:dyDescent="0.2">
      <c r="C211" s="34" t="str">
        <f>+K$27</f>
        <v>Tyreek Hill</v>
      </c>
    </row>
    <row r="212" spans="3:3" x14ac:dyDescent="0.2">
      <c r="C212" s="34" t="str">
        <f>+K$28</f>
        <v>Stefon Diggs</v>
      </c>
    </row>
    <row r="213" spans="3:3" x14ac:dyDescent="0.2">
      <c r="C213" s="34" t="str">
        <f>+K$29</f>
        <v>Alshon Jeffrey</v>
      </c>
    </row>
    <row r="214" spans="3:3" x14ac:dyDescent="0.2">
      <c r="C214" s="34" t="str">
        <f>+K$30</f>
        <v>Hunter Henry</v>
      </c>
    </row>
    <row r="215" spans="3:3" x14ac:dyDescent="0.2">
      <c r="C215" s="34" t="str">
        <f>+K$31</f>
        <v>Hayden Hurst</v>
      </c>
    </row>
    <row r="216" spans="3:3" x14ac:dyDescent="0.2">
      <c r="C216" s="34" t="str">
        <f>+K$32</f>
        <v>Justin Tucker</v>
      </c>
    </row>
    <row r="217" spans="3:3" x14ac:dyDescent="0.2">
      <c r="C217" s="34" t="str">
        <f>+K$33</f>
        <v>Steven Hauschka</v>
      </c>
    </row>
    <row r="218" spans="3:3" x14ac:dyDescent="0.2">
      <c r="C218" s="34" t="str">
        <f>+K$34</f>
        <v>Minnesota Vikings</v>
      </c>
    </row>
    <row r="219" spans="3:3" x14ac:dyDescent="0.2">
      <c r="C219" s="34" t="str">
        <f>+K$35</f>
        <v>Detroit Lions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56C8-5B76-4E9E-BBC6-E8869F97A442}">
  <dimension ref="B2:T261"/>
  <sheetViews>
    <sheetView showGridLines="0" zoomScaleNormal="100" workbookViewId="0">
      <selection activeCell="I43" sqref="I43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8" width="8.83203125" style="34"/>
    <col min="19" max="19" width="20.83203125" style="34" customWidth="1"/>
    <col min="20" max="16384" width="8.83203125" style="34"/>
  </cols>
  <sheetData>
    <row r="2" spans="2:19" x14ac:dyDescent="0.2">
      <c r="C2" s="35" t="s">
        <v>899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534</v>
      </c>
      <c r="D5" s="38"/>
      <c r="E5" s="37" t="s">
        <v>150</v>
      </c>
      <c r="F5" s="38"/>
      <c r="G5" s="37" t="s">
        <v>138</v>
      </c>
      <c r="H5" s="38"/>
      <c r="I5" s="37" t="s">
        <v>733</v>
      </c>
      <c r="J5" s="38"/>
      <c r="K5" s="37" t="s">
        <v>709</v>
      </c>
      <c r="L5" s="38"/>
      <c r="M5" s="37" t="s">
        <v>541</v>
      </c>
      <c r="N5" s="38"/>
      <c r="O5" s="37" t="s">
        <v>531</v>
      </c>
      <c r="P5" s="38"/>
      <c r="Q5" s="37" t="s">
        <v>525</v>
      </c>
      <c r="R5" s="38"/>
      <c r="S5" s="39"/>
    </row>
    <row r="6" spans="2:19" x14ac:dyDescent="0.2">
      <c r="B6" s="40" t="s">
        <v>881</v>
      </c>
      <c r="C6" s="41" t="s">
        <v>330</v>
      </c>
      <c r="D6" s="42"/>
      <c r="E6" s="41" t="s">
        <v>530</v>
      </c>
      <c r="F6" s="42"/>
      <c r="G6" s="41" t="s">
        <v>766</v>
      </c>
      <c r="H6" s="42"/>
      <c r="I6" s="41" t="s">
        <v>192</v>
      </c>
      <c r="J6" s="42"/>
      <c r="K6" s="41" t="s">
        <v>248</v>
      </c>
      <c r="L6" s="42"/>
      <c r="M6" s="41" t="s">
        <v>594</v>
      </c>
      <c r="N6" s="42"/>
      <c r="O6" s="41" t="s">
        <v>209</v>
      </c>
      <c r="P6" s="42"/>
      <c r="Q6" s="41" t="s">
        <v>197</v>
      </c>
      <c r="R6" s="42"/>
      <c r="S6" s="39"/>
    </row>
    <row r="7" spans="2:19" x14ac:dyDescent="0.2">
      <c r="B7" s="40" t="s">
        <v>882</v>
      </c>
      <c r="C7" s="41" t="s">
        <v>274</v>
      </c>
      <c r="D7" s="42"/>
      <c r="E7" s="41" t="s">
        <v>265</v>
      </c>
      <c r="F7" s="42"/>
      <c r="G7" s="41" t="s">
        <v>704</v>
      </c>
      <c r="H7" s="42"/>
      <c r="I7" s="41" t="s">
        <v>440</v>
      </c>
      <c r="J7" s="42"/>
      <c r="K7" s="41" t="s">
        <v>705</v>
      </c>
      <c r="L7" s="42"/>
      <c r="M7" s="41" t="s">
        <v>916</v>
      </c>
      <c r="N7" s="42"/>
      <c r="O7" s="41" t="s">
        <v>151</v>
      </c>
      <c r="P7" s="42"/>
      <c r="Q7" s="41" t="s">
        <v>757</v>
      </c>
      <c r="R7" s="42"/>
      <c r="S7" s="39"/>
    </row>
    <row r="8" spans="2:19" x14ac:dyDescent="0.2">
      <c r="B8" s="40" t="s">
        <v>883</v>
      </c>
      <c r="C8" s="41" t="s">
        <v>131</v>
      </c>
      <c r="D8" s="42"/>
      <c r="E8" s="41" t="s">
        <v>139</v>
      </c>
      <c r="F8" s="42"/>
      <c r="G8" s="41" t="s">
        <v>126</v>
      </c>
      <c r="H8" s="42"/>
      <c r="I8" s="41" t="s">
        <v>266</v>
      </c>
      <c r="J8" s="42"/>
      <c r="K8" s="41" t="s">
        <v>346</v>
      </c>
      <c r="L8" s="42"/>
      <c r="M8" s="41" t="s">
        <v>741</v>
      </c>
      <c r="N8" s="42"/>
      <c r="O8" s="41" t="s">
        <v>717</v>
      </c>
      <c r="P8" s="42"/>
      <c r="Q8" s="41" t="s">
        <v>310</v>
      </c>
      <c r="R8" s="42"/>
      <c r="S8" s="39"/>
    </row>
    <row r="9" spans="2:19" x14ac:dyDescent="0.2">
      <c r="B9" s="40" t="s">
        <v>884</v>
      </c>
      <c r="C9" s="41" t="s">
        <v>183</v>
      </c>
      <c r="D9" s="42"/>
      <c r="E9" s="41" t="s">
        <v>92</v>
      </c>
      <c r="F9" s="42"/>
      <c r="G9" s="41" t="s">
        <v>71</v>
      </c>
      <c r="H9" s="42"/>
      <c r="I9" s="41" t="s">
        <v>571</v>
      </c>
      <c r="J9" s="42"/>
      <c r="K9" s="41" t="s">
        <v>12</v>
      </c>
      <c r="L9" s="42"/>
      <c r="M9" s="41" t="s">
        <v>67</v>
      </c>
      <c r="N9" s="42"/>
      <c r="O9" s="41" t="s">
        <v>548</v>
      </c>
      <c r="P9" s="42"/>
      <c r="Q9" s="41" t="s">
        <v>408</v>
      </c>
      <c r="R9" s="42"/>
      <c r="S9" s="39"/>
    </row>
    <row r="10" spans="2:19" x14ac:dyDescent="0.2">
      <c r="B10" s="40" t="s">
        <v>885</v>
      </c>
      <c r="C10" s="41" t="s">
        <v>376</v>
      </c>
      <c r="D10" s="42"/>
      <c r="E10" s="41" t="s">
        <v>135</v>
      </c>
      <c r="F10" s="42"/>
      <c r="G10" s="41" t="s">
        <v>244</v>
      </c>
      <c r="H10" s="42"/>
      <c r="I10" s="41" t="s">
        <v>558</v>
      </c>
      <c r="J10" s="42"/>
      <c r="K10" s="41" t="s">
        <v>251</v>
      </c>
      <c r="L10" s="42"/>
      <c r="M10" s="41" t="s">
        <v>561</v>
      </c>
      <c r="N10" s="42"/>
      <c r="O10" s="41" t="s">
        <v>689</v>
      </c>
      <c r="P10" s="42"/>
      <c r="Q10" s="41" t="s">
        <v>341</v>
      </c>
      <c r="R10" s="42"/>
      <c r="S10" s="39"/>
    </row>
    <row r="11" spans="2:19" x14ac:dyDescent="0.2">
      <c r="B11" s="40" t="s">
        <v>886</v>
      </c>
      <c r="C11" s="41" t="s">
        <v>372</v>
      </c>
      <c r="D11" s="42"/>
      <c r="E11" s="41" t="s">
        <v>501</v>
      </c>
      <c r="F11" s="42"/>
      <c r="G11" s="41" t="s">
        <v>242</v>
      </c>
      <c r="H11" s="42"/>
      <c r="I11" s="41" t="s">
        <v>240</v>
      </c>
      <c r="J11" s="42"/>
      <c r="K11" s="41" t="s">
        <v>329</v>
      </c>
      <c r="L11" s="42"/>
      <c r="M11" s="41" t="s">
        <v>316</v>
      </c>
      <c r="N11" s="42"/>
      <c r="O11" s="41" t="s">
        <v>117</v>
      </c>
      <c r="P11" s="42"/>
      <c r="Q11" s="41" t="s">
        <v>215</v>
      </c>
      <c r="R11" s="42"/>
      <c r="S11" s="39"/>
    </row>
    <row r="12" spans="2:19" x14ac:dyDescent="0.2">
      <c r="B12" s="40" t="s">
        <v>887</v>
      </c>
      <c r="C12" s="41" t="s">
        <v>196</v>
      </c>
      <c r="D12" s="42"/>
      <c r="E12" s="41" t="s">
        <v>536</v>
      </c>
      <c r="F12" s="42"/>
      <c r="G12" s="41" t="s">
        <v>345</v>
      </c>
      <c r="H12" s="42"/>
      <c r="I12" s="41" t="s">
        <v>340</v>
      </c>
      <c r="J12" s="42"/>
      <c r="K12" s="41" t="s">
        <v>186</v>
      </c>
      <c r="L12" s="42"/>
      <c r="M12" s="41" t="s">
        <v>545</v>
      </c>
      <c r="N12" s="42"/>
      <c r="O12" s="41" t="s">
        <v>552</v>
      </c>
      <c r="P12" s="42"/>
      <c r="Q12" s="41" t="s">
        <v>614</v>
      </c>
      <c r="R12" s="42"/>
      <c r="S12" s="39"/>
    </row>
    <row r="13" spans="2:19" x14ac:dyDescent="0.2">
      <c r="B13" s="40" t="s">
        <v>888</v>
      </c>
      <c r="C13" s="41" t="s">
        <v>291</v>
      </c>
      <c r="D13" s="42"/>
      <c r="E13" s="41" t="s">
        <v>633</v>
      </c>
      <c r="F13" s="42"/>
      <c r="G13" s="41" t="s">
        <v>249</v>
      </c>
      <c r="H13" s="42"/>
      <c r="I13" s="41" t="s">
        <v>147</v>
      </c>
      <c r="J13" s="42"/>
      <c r="K13" s="41" t="s">
        <v>190</v>
      </c>
      <c r="L13" s="42"/>
      <c r="M13" s="41" t="s">
        <v>715</v>
      </c>
      <c r="N13" s="42"/>
      <c r="O13" s="41" t="s">
        <v>177</v>
      </c>
      <c r="P13" s="42"/>
      <c r="Q13" s="41" t="s">
        <v>187</v>
      </c>
      <c r="R13" s="42"/>
      <c r="S13" s="39"/>
    </row>
    <row r="14" spans="2:19" x14ac:dyDescent="0.2">
      <c r="B14" s="40" t="s">
        <v>889</v>
      </c>
      <c r="C14" s="41" t="s">
        <v>262</v>
      </c>
      <c r="D14" s="42"/>
      <c r="E14" s="41" t="s">
        <v>296</v>
      </c>
      <c r="F14" s="42"/>
      <c r="G14" s="41" t="s">
        <v>569</v>
      </c>
      <c r="H14" s="42"/>
      <c r="I14" s="41" t="s">
        <v>113</v>
      </c>
      <c r="J14" s="42"/>
      <c r="K14" s="41" t="s">
        <v>601</v>
      </c>
      <c r="L14" s="42"/>
      <c r="M14" s="41" t="s">
        <v>213</v>
      </c>
      <c r="N14" s="42"/>
      <c r="O14" s="41" t="s">
        <v>199</v>
      </c>
      <c r="P14" s="42"/>
      <c r="Q14" s="41" t="s">
        <v>46</v>
      </c>
      <c r="R14" s="42"/>
      <c r="S14" s="39"/>
    </row>
    <row r="15" spans="2:19" x14ac:dyDescent="0.2">
      <c r="B15" s="40" t="s">
        <v>890</v>
      </c>
      <c r="C15" s="41" t="s">
        <v>792</v>
      </c>
      <c r="D15" s="42"/>
      <c r="E15" s="41" t="s">
        <v>802</v>
      </c>
      <c r="F15" s="42"/>
      <c r="G15" s="41" t="s">
        <v>811</v>
      </c>
      <c r="H15" s="42"/>
      <c r="I15" s="41" t="s">
        <v>794</v>
      </c>
      <c r="J15" s="42"/>
      <c r="K15" s="41" t="s">
        <v>806</v>
      </c>
      <c r="L15" s="42"/>
      <c r="M15" s="41" t="s">
        <v>786</v>
      </c>
      <c r="N15" s="42"/>
      <c r="O15" s="41" t="s">
        <v>809</v>
      </c>
      <c r="P15" s="42"/>
      <c r="Q15" s="41" t="s">
        <v>795</v>
      </c>
      <c r="R15" s="42"/>
      <c r="S15" s="39"/>
    </row>
    <row r="16" spans="2:19" x14ac:dyDescent="0.2">
      <c r="B16" s="40" t="s">
        <v>891</v>
      </c>
      <c r="C16" s="41" t="s">
        <v>797</v>
      </c>
      <c r="D16" s="42"/>
      <c r="E16" s="41" t="s">
        <v>810</v>
      </c>
      <c r="F16" s="42"/>
      <c r="G16" s="41" t="s">
        <v>783</v>
      </c>
      <c r="H16" s="42"/>
      <c r="I16" s="41" t="s">
        <v>788</v>
      </c>
      <c r="J16" s="42"/>
      <c r="K16" s="41" t="s">
        <v>801</v>
      </c>
      <c r="L16" s="42"/>
      <c r="M16" s="41" t="s">
        <v>790</v>
      </c>
      <c r="N16" s="42"/>
      <c r="O16" s="41" t="s">
        <v>787</v>
      </c>
      <c r="P16" s="42"/>
      <c r="Q16" s="41" t="s">
        <v>808</v>
      </c>
      <c r="R16" s="42"/>
      <c r="S16" s="39"/>
    </row>
    <row r="17" spans="2:20" x14ac:dyDescent="0.2">
      <c r="B17" s="40" t="s">
        <v>892</v>
      </c>
      <c r="C17" s="41" t="s">
        <v>837</v>
      </c>
      <c r="D17" s="42"/>
      <c r="E17" s="41" t="s">
        <v>835</v>
      </c>
      <c r="F17" s="42"/>
      <c r="G17" s="41" t="s">
        <v>829</v>
      </c>
      <c r="H17" s="42"/>
      <c r="I17" s="41" t="s">
        <v>853</v>
      </c>
      <c r="J17" s="42"/>
      <c r="K17" s="41" t="s">
        <v>841</v>
      </c>
      <c r="L17" s="42"/>
      <c r="M17" s="41" t="s">
        <v>914</v>
      </c>
      <c r="N17" s="42"/>
      <c r="O17" s="41" t="s">
        <v>857</v>
      </c>
      <c r="P17" s="42"/>
      <c r="Q17" s="41" t="s">
        <v>859</v>
      </c>
      <c r="R17" s="42"/>
      <c r="S17" s="39"/>
    </row>
    <row r="18" spans="2:20" x14ac:dyDescent="0.2">
      <c r="B18" s="43" t="s">
        <v>893</v>
      </c>
      <c r="C18" s="44" t="s">
        <v>816</v>
      </c>
      <c r="D18" s="45"/>
      <c r="E18" s="44" t="s">
        <v>828</v>
      </c>
      <c r="F18" s="45"/>
      <c r="G18" s="44" t="s">
        <v>840</v>
      </c>
      <c r="H18" s="45"/>
      <c r="I18" s="44" t="s">
        <v>850</v>
      </c>
      <c r="J18" s="45"/>
      <c r="K18" s="44" t="s">
        <v>819</v>
      </c>
      <c r="L18" s="45"/>
      <c r="M18" s="44" t="s">
        <v>854</v>
      </c>
      <c r="N18" s="45"/>
      <c r="O18" s="44" t="s">
        <v>842</v>
      </c>
      <c r="P18" s="45"/>
      <c r="Q18" s="44" t="s">
        <v>849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360</v>
      </c>
      <c r="D22" s="38"/>
      <c r="E22" s="37" t="s">
        <v>170</v>
      </c>
      <c r="F22" s="38"/>
      <c r="G22" s="37" t="s">
        <v>535</v>
      </c>
      <c r="H22" s="38"/>
      <c r="I22" s="37" t="s">
        <v>919</v>
      </c>
      <c r="J22" s="38"/>
      <c r="K22" s="37" t="s">
        <v>89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194</v>
      </c>
      <c r="D23" s="42"/>
      <c r="E23" s="41" t="s">
        <v>343</v>
      </c>
      <c r="F23" s="42"/>
      <c r="G23" s="41" t="s">
        <v>409</v>
      </c>
      <c r="H23" s="42"/>
      <c r="I23" s="41" t="s">
        <v>550</v>
      </c>
      <c r="J23" s="42"/>
      <c r="K23" s="41" t="s">
        <v>334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702</v>
      </c>
      <c r="D24" s="42"/>
      <c r="E24" s="41" t="s">
        <v>275</v>
      </c>
      <c r="F24" s="42"/>
      <c r="G24" s="41" t="s">
        <v>182</v>
      </c>
      <c r="H24" s="42"/>
      <c r="I24" s="41" t="s">
        <v>533</v>
      </c>
      <c r="J24" s="42"/>
      <c r="K24" s="41" t="s">
        <v>214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267</v>
      </c>
      <c r="D25" s="42"/>
      <c r="E25" s="41" t="s">
        <v>151</v>
      </c>
      <c r="F25" s="42"/>
      <c r="G25" s="41" t="s">
        <v>298</v>
      </c>
      <c r="H25" s="42"/>
      <c r="I25" s="41" t="s">
        <v>563</v>
      </c>
      <c r="J25" s="42"/>
      <c r="K25" s="41" t="s">
        <v>532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193</v>
      </c>
      <c r="D26" s="42"/>
      <c r="E26" s="41" t="s">
        <v>34</v>
      </c>
      <c r="F26" s="42"/>
      <c r="G26" s="41" t="s">
        <v>422</v>
      </c>
      <c r="H26" s="42"/>
      <c r="I26" s="41" t="s">
        <v>926</v>
      </c>
      <c r="J26" s="42"/>
      <c r="K26" s="41" t="s">
        <v>99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90</v>
      </c>
      <c r="D27" s="42"/>
      <c r="E27" s="41" t="s">
        <v>176</v>
      </c>
      <c r="F27" s="42"/>
      <c r="G27" s="41" t="s">
        <v>103</v>
      </c>
      <c r="H27" s="42"/>
      <c r="I27" s="41" t="s">
        <v>232</v>
      </c>
      <c r="J27" s="42"/>
      <c r="K27" s="41" t="s">
        <v>141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438</v>
      </c>
      <c r="D28" s="42"/>
      <c r="E28" s="41" t="s">
        <v>24</v>
      </c>
      <c r="F28" s="42"/>
      <c r="G28" s="41" t="s">
        <v>300</v>
      </c>
      <c r="H28" s="42"/>
      <c r="I28" s="41" t="s">
        <v>332</v>
      </c>
      <c r="J28" s="42"/>
      <c r="K28" s="41" t="s">
        <v>389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284</v>
      </c>
      <c r="D29" s="42"/>
      <c r="E29" s="41" t="s">
        <v>367</v>
      </c>
      <c r="F29" s="42"/>
      <c r="G29" s="41" t="s">
        <v>712</v>
      </c>
      <c r="H29" s="42"/>
      <c r="I29" s="41" t="s">
        <v>261</v>
      </c>
      <c r="J29" s="42"/>
      <c r="K29" s="41" t="s">
        <v>538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179</v>
      </c>
      <c r="D30" s="42"/>
      <c r="E30" s="41" t="s">
        <v>51</v>
      </c>
      <c r="F30" s="42"/>
      <c r="G30" s="41" t="s">
        <v>556</v>
      </c>
      <c r="H30" s="42"/>
      <c r="I30" s="41" t="s">
        <v>125</v>
      </c>
      <c r="J30" s="42"/>
      <c r="K30" s="41" t="s">
        <v>566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710</v>
      </c>
      <c r="D31" s="42"/>
      <c r="E31" s="41" t="s">
        <v>82</v>
      </c>
      <c r="F31" s="42"/>
      <c r="G31" s="41" t="s">
        <v>57</v>
      </c>
      <c r="H31" s="42"/>
      <c r="I31" s="41" t="s">
        <v>210</v>
      </c>
      <c r="J31" s="42"/>
      <c r="K31" s="41" t="s">
        <v>426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785</v>
      </c>
      <c r="D32" s="42"/>
      <c r="E32" s="41" t="s">
        <v>803</v>
      </c>
      <c r="F32" s="42"/>
      <c r="G32" s="41" t="s">
        <v>824</v>
      </c>
      <c r="H32" s="42"/>
      <c r="I32" s="41" t="s">
        <v>791</v>
      </c>
      <c r="J32" s="42"/>
      <c r="K32" s="41" t="s">
        <v>832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793</v>
      </c>
      <c r="D33" s="42"/>
      <c r="E33" s="41" t="s">
        <v>799</v>
      </c>
      <c r="F33" s="42"/>
      <c r="G33" s="41" t="s">
        <v>831</v>
      </c>
      <c r="H33" s="42"/>
      <c r="I33" s="41" t="s">
        <v>812</v>
      </c>
      <c r="J33" s="42"/>
      <c r="K33" s="41" t="s">
        <v>827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848</v>
      </c>
      <c r="D34" s="42"/>
      <c r="E34" s="41" t="s">
        <v>856</v>
      </c>
      <c r="F34" s="42"/>
      <c r="G34" s="41" t="s">
        <v>805</v>
      </c>
      <c r="H34" s="42"/>
      <c r="I34" s="41" t="s">
        <v>924</v>
      </c>
      <c r="J34" s="42"/>
      <c r="K34" s="41" t="s">
        <v>805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823</v>
      </c>
      <c r="D35" s="45"/>
      <c r="E35" s="44" t="s">
        <v>814</v>
      </c>
      <c r="F35" s="45"/>
      <c r="G35" s="44" t="s">
        <v>813</v>
      </c>
      <c r="H35" s="45"/>
      <c r="I35" s="44" t="s">
        <v>853</v>
      </c>
      <c r="J35" s="45"/>
      <c r="K35" s="44" t="s">
        <v>807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Sam Darnold</v>
      </c>
      <c r="F38" s="87"/>
    </row>
    <row r="39" spans="2:20" x14ac:dyDescent="0.2">
      <c r="C39" s="34" t="str">
        <f>+C$6</f>
        <v>Nick Foles</v>
      </c>
      <c r="F39" s="87"/>
    </row>
    <row r="40" spans="2:20" x14ac:dyDescent="0.2">
      <c r="C40" s="34" t="str">
        <f>+C$7</f>
        <v>Mark Ingram</v>
      </c>
      <c r="F40" s="87"/>
    </row>
    <row r="41" spans="2:20" x14ac:dyDescent="0.2">
      <c r="C41" s="34" t="str">
        <f>+C$8</f>
        <v>Chris Carson</v>
      </c>
      <c r="F41" s="87"/>
    </row>
    <row r="42" spans="2:20" x14ac:dyDescent="0.2">
      <c r="C42" s="34" t="str">
        <f>+C$9</f>
        <v>Frank Gore</v>
      </c>
      <c r="F42" s="87"/>
    </row>
    <row r="43" spans="2:20" x14ac:dyDescent="0.2">
      <c r="C43" s="34" t="str">
        <f>+C$10</f>
        <v>Sterling Shepard</v>
      </c>
      <c r="F43" s="87"/>
    </row>
    <row r="44" spans="2:20" x14ac:dyDescent="0.2">
      <c r="C44" s="34" t="str">
        <f>+C$11</f>
        <v>Sammy Watkins</v>
      </c>
      <c r="F44" s="87"/>
    </row>
    <row r="45" spans="2:20" x14ac:dyDescent="0.2">
      <c r="C45" s="34" t="str">
        <f>+C$12</f>
        <v>Jamison Crowder</v>
      </c>
      <c r="F45" s="87"/>
    </row>
    <row r="46" spans="2:20" x14ac:dyDescent="0.2">
      <c r="C46" s="34" t="str">
        <f>+C$13</f>
        <v>C.J. Uzomah</v>
      </c>
      <c r="F46" s="87"/>
    </row>
    <row r="47" spans="2:20" x14ac:dyDescent="0.2">
      <c r="C47" s="34" t="str">
        <f>+C$14</f>
        <v>Nick Vannett</v>
      </c>
      <c r="F47" s="87"/>
    </row>
    <row r="48" spans="2:20" x14ac:dyDescent="0.2">
      <c r="C48" s="34" t="str">
        <f>+C$15</f>
        <v>Detroit Lions</v>
      </c>
      <c r="F48" s="87"/>
    </row>
    <row r="49" spans="3:6" x14ac:dyDescent="0.2">
      <c r="C49" s="34" t="str">
        <f>+C$16</f>
        <v>Kansas City Chiefs</v>
      </c>
      <c r="F49" s="87"/>
    </row>
    <row r="50" spans="3:6" x14ac:dyDescent="0.2">
      <c r="C50" s="34" t="str">
        <f>+C$17</f>
        <v>Dustin Hopkins</v>
      </c>
      <c r="F50" s="87"/>
    </row>
    <row r="51" spans="3:6" x14ac:dyDescent="0.2">
      <c r="C51" s="34" t="str">
        <f>+C$18</f>
        <v>Dan Bailey</v>
      </c>
      <c r="F51" s="87"/>
    </row>
    <row r="52" spans="3:6" x14ac:dyDescent="0.2">
      <c r="C52" s="51" t="str">
        <f>+E$5</f>
        <v>Derek Carr</v>
      </c>
    </row>
    <row r="53" spans="3:6" x14ac:dyDescent="0.2">
      <c r="C53" s="34" t="str">
        <f>+E$6</f>
        <v>Baker Mayfield</v>
      </c>
    </row>
    <row r="54" spans="3:6" x14ac:dyDescent="0.2">
      <c r="C54" s="34" t="str">
        <f>+E$7</f>
        <v>Leonard Fournette</v>
      </c>
    </row>
    <row r="55" spans="3:6" x14ac:dyDescent="0.2">
      <c r="C55" s="34" t="str">
        <f>+E$8</f>
        <v>Dalvin Cook</v>
      </c>
    </row>
    <row r="56" spans="3:6" x14ac:dyDescent="0.2">
      <c r="C56" s="34" t="str">
        <f>+E$9</f>
        <v>Adrian Peterson</v>
      </c>
    </row>
    <row r="57" spans="3:6" x14ac:dyDescent="0.2">
      <c r="C57" s="34" t="str">
        <f>+E$10</f>
        <v>Cooper Kupp</v>
      </c>
    </row>
    <row r="58" spans="3:6" x14ac:dyDescent="0.2">
      <c r="C58" s="34" t="str">
        <f>+E$11</f>
        <v>Allen Robinson</v>
      </c>
    </row>
    <row r="59" spans="3:6" x14ac:dyDescent="0.2">
      <c r="C59" s="34" t="str">
        <f>+E$12</f>
        <v>Calvin Ridley</v>
      </c>
    </row>
    <row r="60" spans="3:6" x14ac:dyDescent="0.2">
      <c r="C60" s="34" t="str">
        <f>+E$13</f>
        <v>Darren Waller</v>
      </c>
    </row>
    <row r="61" spans="3:6" x14ac:dyDescent="0.2">
      <c r="C61" s="34" t="str">
        <f>+E$14</f>
        <v>Trey Burton</v>
      </c>
    </row>
    <row r="62" spans="3:6" x14ac:dyDescent="0.2">
      <c r="C62" s="34" t="str">
        <f>+E$15</f>
        <v>New England Patriots</v>
      </c>
    </row>
    <row r="63" spans="3:6" x14ac:dyDescent="0.2">
      <c r="C63" s="34" t="str">
        <f>+E$16</f>
        <v>Seattle Seahawks</v>
      </c>
    </row>
    <row r="64" spans="3:6" x14ac:dyDescent="0.2">
      <c r="C64" s="34" t="str">
        <f>+E$17</f>
        <v>Steven Hauschka</v>
      </c>
    </row>
    <row r="65" spans="3:3" x14ac:dyDescent="0.2">
      <c r="C65" s="34" t="str">
        <f>+E$18</f>
        <v>Ka'imi Fairbairn</v>
      </c>
    </row>
    <row r="66" spans="3:3" x14ac:dyDescent="0.2">
      <c r="C66" s="51" t="str">
        <f>+G$5</f>
        <v>Dak Prescott</v>
      </c>
    </row>
    <row r="67" spans="3:3" x14ac:dyDescent="0.2">
      <c r="C67" s="34" t="str">
        <f>+G$6</f>
        <v>Gardner Minshew</v>
      </c>
    </row>
    <row r="68" spans="3:3" x14ac:dyDescent="0.2">
      <c r="C68" s="34" t="str">
        <f>+G$7</f>
        <v>David Montgomery</v>
      </c>
    </row>
    <row r="69" spans="3:3" x14ac:dyDescent="0.2">
      <c r="C69" s="34" t="str">
        <f>+G$8</f>
        <v>Carlos Hyde</v>
      </c>
    </row>
    <row r="70" spans="3:3" x14ac:dyDescent="0.2">
      <c r="C70" s="34" t="str">
        <f>+G$9</f>
        <v>Peyton Barber</v>
      </c>
    </row>
    <row r="71" spans="3:3" x14ac:dyDescent="0.2">
      <c r="C71" s="34" t="str">
        <f>+G$10</f>
        <v>Demarcus Robinson</v>
      </c>
    </row>
    <row r="72" spans="3:3" x14ac:dyDescent="0.2">
      <c r="C72" s="34" t="str">
        <f>+G$11</f>
        <v>Kenny Golladay</v>
      </c>
    </row>
    <row r="73" spans="3:3" x14ac:dyDescent="0.2">
      <c r="C73" s="34" t="str">
        <f>+G$12</f>
        <v>Randall Cobb</v>
      </c>
    </row>
    <row r="74" spans="3:3" x14ac:dyDescent="0.2">
      <c r="C74" s="34" t="str">
        <f>+G$13</f>
        <v>Kyle Rudolph</v>
      </c>
    </row>
    <row r="75" spans="3:3" x14ac:dyDescent="0.2">
      <c r="C75" s="34" t="str">
        <f>+G$14</f>
        <v>Blake Jarwin</v>
      </c>
    </row>
    <row r="76" spans="3:3" x14ac:dyDescent="0.2">
      <c r="C76" s="34" t="str">
        <f>+G$15</f>
        <v>Tampa Bay Buccaneers</v>
      </c>
    </row>
    <row r="77" spans="3:3" x14ac:dyDescent="0.2">
      <c r="C77" s="34" t="str">
        <f>+G$16</f>
        <v>Atlanta Falcons</v>
      </c>
    </row>
    <row r="78" spans="3:3" x14ac:dyDescent="0.2">
      <c r="C78" s="34" t="str">
        <f>+G$17</f>
        <v>Sam Ficken</v>
      </c>
    </row>
    <row r="79" spans="3:3" x14ac:dyDescent="0.2">
      <c r="C79" s="34" t="str">
        <f>+G$18</f>
        <v>Josh Lambo</v>
      </c>
    </row>
    <row r="80" spans="3:3" x14ac:dyDescent="0.2">
      <c r="C80" s="51" t="str">
        <f>+I$5</f>
        <v>Daniel Jones</v>
      </c>
    </row>
    <row r="81" spans="3:3" x14ac:dyDescent="0.2">
      <c r="C81" s="34" t="str">
        <f>+I$6</f>
        <v>Jacoby Brissett</v>
      </c>
    </row>
    <row r="82" spans="3:3" x14ac:dyDescent="0.2">
      <c r="C82" s="34" t="str">
        <f>+I$7</f>
        <v>Wayne Gallman</v>
      </c>
    </row>
    <row r="83" spans="3:3" x14ac:dyDescent="0.2">
      <c r="C83" s="34" t="str">
        <f>+I$8</f>
        <v>LeSean McCoy</v>
      </c>
    </row>
    <row r="84" spans="3:3" x14ac:dyDescent="0.2">
      <c r="C84" s="34" t="str">
        <f>+I$9</f>
        <v>Justin Jackson</v>
      </c>
    </row>
    <row r="85" spans="3:3" x14ac:dyDescent="0.2">
      <c r="C85" s="34" t="str">
        <f>+I$10</f>
        <v>Marquez Valdes-Scantling</v>
      </c>
    </row>
    <row r="86" spans="3:3" x14ac:dyDescent="0.2">
      <c r="C86" s="34" t="str">
        <f>+I$11</f>
        <v>Keenan Allen</v>
      </c>
    </row>
    <row r="87" spans="3:3" x14ac:dyDescent="0.2">
      <c r="C87" s="34" t="str">
        <f>+I$12</f>
        <v>Paul Richardson</v>
      </c>
    </row>
    <row r="88" spans="3:3" x14ac:dyDescent="0.2">
      <c r="C88" s="34" t="str">
        <f>+I$13</f>
        <v>Delanie Walker</v>
      </c>
    </row>
    <row r="89" spans="3:3" x14ac:dyDescent="0.2">
      <c r="C89" s="34" t="str">
        <f>+I$14</f>
        <v>Gerald Everett</v>
      </c>
    </row>
    <row r="90" spans="3:3" x14ac:dyDescent="0.2">
      <c r="C90" s="34" t="str">
        <f>+I$15</f>
        <v>Houston Texans</v>
      </c>
    </row>
    <row r="91" spans="3:3" x14ac:dyDescent="0.2">
      <c r="C91" s="34" t="str">
        <f>+I$16</f>
        <v>Cincinnati Bengals</v>
      </c>
    </row>
    <row r="92" spans="3:3" x14ac:dyDescent="0.2">
      <c r="C92" s="34" t="str">
        <f>+I$17</f>
        <v>Austin Seibert</v>
      </c>
    </row>
    <row r="93" spans="3:3" x14ac:dyDescent="0.2">
      <c r="C93" s="34" t="str">
        <f>+I$18</f>
        <v>Aldrick Rosas</v>
      </c>
    </row>
    <row r="94" spans="3:3" x14ac:dyDescent="0.2">
      <c r="C94" s="51" t="str">
        <f>+K$5</f>
        <v>Kyler Murray</v>
      </c>
    </row>
    <row r="95" spans="3:3" x14ac:dyDescent="0.2">
      <c r="C95" s="34" t="str">
        <f>+K$6</f>
        <v>Kirk Cousins</v>
      </c>
    </row>
    <row r="96" spans="3:3" x14ac:dyDescent="0.2">
      <c r="C96" s="34" t="str">
        <f>+K$7</f>
        <v>Miles Sanders</v>
      </c>
    </row>
    <row r="97" spans="3:3" x14ac:dyDescent="0.2">
      <c r="C97" s="34" t="str">
        <f>+K$8</f>
        <v>Rex Burkhead</v>
      </c>
    </row>
    <row r="98" spans="3:3" x14ac:dyDescent="0.2">
      <c r="C98" s="34" t="str">
        <f>+K$9</f>
        <v>Austin Ekeler</v>
      </c>
    </row>
    <row r="99" spans="3:3" x14ac:dyDescent="0.2">
      <c r="C99" s="34" t="str">
        <f>+K$10</f>
        <v>Phillip Dorsett</v>
      </c>
    </row>
    <row r="100" spans="3:3" x14ac:dyDescent="0.2">
      <c r="C100" s="34" t="str">
        <f>+K$11</f>
        <v>Nelson Agholor</v>
      </c>
    </row>
    <row r="101" spans="3:3" x14ac:dyDescent="0.2">
      <c r="C101" s="34" t="str">
        <f>+K$12</f>
        <v>Golden Tate</v>
      </c>
    </row>
    <row r="102" spans="3:3" x14ac:dyDescent="0.2">
      <c r="C102" s="34" t="str">
        <f>+K$13</f>
        <v>Jack Doyle</v>
      </c>
    </row>
    <row r="103" spans="3:3" x14ac:dyDescent="0.2">
      <c r="C103" s="34" t="str">
        <f>+K$14</f>
        <v>Jordan Akins</v>
      </c>
    </row>
    <row r="104" spans="3:3" x14ac:dyDescent="0.2">
      <c r="C104" s="34" t="str">
        <f>+K$15</f>
        <v>Oakland Raiders</v>
      </c>
    </row>
    <row r="105" spans="3:3" x14ac:dyDescent="0.2">
      <c r="C105" s="34" t="str">
        <f>+K$16</f>
        <v>Minnesota Vikings</v>
      </c>
    </row>
    <row r="106" spans="3:3" x14ac:dyDescent="0.2">
      <c r="C106" s="34" t="str">
        <f>+K$17</f>
        <v>Wil Lutz</v>
      </c>
    </row>
    <row r="107" spans="3:3" x14ac:dyDescent="0.2">
      <c r="C107" s="34" t="str">
        <f>+K$18</f>
        <v>Chris Boswell</v>
      </c>
    </row>
    <row r="108" spans="3:3" x14ac:dyDescent="0.2">
      <c r="C108" s="51" t="str">
        <f>+M$5</f>
        <v>Josh Rosen</v>
      </c>
    </row>
    <row r="109" spans="3:3" x14ac:dyDescent="0.2">
      <c r="C109" s="34" t="str">
        <f>+M$6</f>
        <v>Kyle Allen</v>
      </c>
    </row>
    <row r="110" spans="3:3" x14ac:dyDescent="0.2">
      <c r="C110" s="34" t="str">
        <f>+M$7</f>
        <v>Jonathan Hilliman</v>
      </c>
    </row>
    <row r="111" spans="3:3" x14ac:dyDescent="0.2">
      <c r="C111" s="34" t="str">
        <f>+M$8</f>
        <v>Tony Pollard</v>
      </c>
    </row>
    <row r="112" spans="3:3" x14ac:dyDescent="0.2">
      <c r="C112" s="34" t="str">
        <f>+M$9</f>
        <v>Malcolm Brown</v>
      </c>
    </row>
    <row r="113" spans="3:3" x14ac:dyDescent="0.2">
      <c r="C113" s="34" t="str">
        <f>+M$10</f>
        <v>Michael Gallup</v>
      </c>
    </row>
    <row r="114" spans="3:3" x14ac:dyDescent="0.2">
      <c r="C114" s="34" t="str">
        <f>+M$11</f>
        <v>Mohamed Sanu</v>
      </c>
    </row>
    <row r="115" spans="3:3" x14ac:dyDescent="0.2">
      <c r="C115" s="34" t="str">
        <f>+M$12</f>
        <v>Courtland Sutton</v>
      </c>
    </row>
    <row r="116" spans="3:3" x14ac:dyDescent="0.2">
      <c r="C116" s="34" t="str">
        <f>+M$13</f>
        <v>Noah Fant</v>
      </c>
    </row>
    <row r="117" spans="3:3" x14ac:dyDescent="0.2">
      <c r="C117" s="34" t="str">
        <f>+M$14</f>
        <v>Vance McDonald</v>
      </c>
    </row>
    <row r="118" spans="3:3" x14ac:dyDescent="0.2">
      <c r="C118" s="34" t="str">
        <f>+M$15</f>
        <v>Carolina Panthers</v>
      </c>
    </row>
    <row r="119" spans="3:3" x14ac:dyDescent="0.2">
      <c r="C119" s="34" t="str">
        <f>+M$16</f>
        <v>Dallas Cowboys</v>
      </c>
    </row>
    <row r="120" spans="3:3" x14ac:dyDescent="0.2">
      <c r="C120" s="34" t="str">
        <f>+M$17</f>
        <v>Mike Nugent</v>
      </c>
    </row>
    <row r="121" spans="3:3" x14ac:dyDescent="0.2">
      <c r="C121" s="34" t="str">
        <f>+M$18</f>
        <v>Joey Slye</v>
      </c>
    </row>
    <row r="122" spans="3:3" x14ac:dyDescent="0.2">
      <c r="C122" s="51" t="str">
        <f>+O$5</f>
        <v>Josh Allen</v>
      </c>
    </row>
    <row r="123" spans="3:3" x14ac:dyDescent="0.2">
      <c r="C123" s="34" t="str">
        <f>+O$6</f>
        <v>Jimmy Garoppolo</v>
      </c>
    </row>
    <row r="124" spans="3:3" x14ac:dyDescent="0.2">
      <c r="C124" s="34" t="str">
        <f>+O$7</f>
        <v>Derrick Henry</v>
      </c>
    </row>
    <row r="125" spans="3:3" x14ac:dyDescent="0.2">
      <c r="C125" s="34" t="str">
        <f>+O$8</f>
        <v>Devin Singletary</v>
      </c>
    </row>
    <row r="126" spans="3:3" x14ac:dyDescent="0.2">
      <c r="C126" s="34" t="str">
        <f>+O$9</f>
        <v>Royce Freeman</v>
      </c>
    </row>
    <row r="127" spans="3:3" x14ac:dyDescent="0.2">
      <c r="C127" s="34" t="str">
        <f>+O$10</f>
        <v>Allen Lazard</v>
      </c>
    </row>
    <row r="128" spans="3:3" x14ac:dyDescent="0.2">
      <c r="C128" s="34" t="str">
        <f>+O$11</f>
        <v>Brandin Cooks</v>
      </c>
    </row>
    <row r="129" spans="3:3" x14ac:dyDescent="0.2">
      <c r="C129" s="34" t="str">
        <f>+O$12</f>
        <v>Dante Pettis</v>
      </c>
    </row>
    <row r="130" spans="3:3" x14ac:dyDescent="0.2">
      <c r="C130" s="34" t="str">
        <f>+O$13</f>
        <v>Evan Engram</v>
      </c>
    </row>
    <row r="131" spans="3:3" x14ac:dyDescent="0.2">
      <c r="C131" s="34" t="str">
        <f>+O$14</f>
        <v>Jason Witten</v>
      </c>
    </row>
    <row r="132" spans="3:3" x14ac:dyDescent="0.2">
      <c r="C132" s="34" t="str">
        <f>+O$15</f>
        <v>San Francisco 49ers</v>
      </c>
    </row>
    <row r="133" spans="3:3" x14ac:dyDescent="0.2">
      <c r="C133" s="34" t="str">
        <f>+O$16</f>
        <v>Chicago Bears</v>
      </c>
    </row>
    <row r="134" spans="3:3" x14ac:dyDescent="0.2">
      <c r="C134" s="34" t="str">
        <f>+O$17</f>
        <v>Adam Vinatieri</v>
      </c>
    </row>
    <row r="135" spans="3:3" x14ac:dyDescent="0.2">
      <c r="C135" s="34" t="str">
        <f>+O$18</f>
        <v>Brett Maher</v>
      </c>
    </row>
    <row r="136" spans="3:3" x14ac:dyDescent="0.2">
      <c r="C136" s="51" t="str">
        <f>+Q$5</f>
        <v>Teddy Bridgewater</v>
      </c>
    </row>
    <row r="137" spans="3:3" x14ac:dyDescent="0.2">
      <c r="C137" s="34" t="str">
        <f>+Q$6</f>
        <v>Jared Goff</v>
      </c>
    </row>
    <row r="138" spans="3:3" x14ac:dyDescent="0.2">
      <c r="C138" s="34" t="str">
        <f>+Q$7</f>
        <v>Ty Johnson</v>
      </c>
    </row>
    <row r="139" spans="3:3" x14ac:dyDescent="0.2">
      <c r="C139" s="34" t="str">
        <f>+Q$8</f>
        <v>James Conner</v>
      </c>
    </row>
    <row r="140" spans="3:3" x14ac:dyDescent="0.2">
      <c r="C140" s="34" t="str">
        <f>+Q$9</f>
        <v>Todd Gurley</v>
      </c>
    </row>
    <row r="141" spans="3:3" x14ac:dyDescent="0.2">
      <c r="C141" s="34" t="str">
        <f>+Q$10</f>
        <v>Tyler Lockett</v>
      </c>
    </row>
    <row r="142" spans="3:3" x14ac:dyDescent="0.2">
      <c r="C142" s="34" t="str">
        <f>+Q$11</f>
        <v>John Brown</v>
      </c>
    </row>
    <row r="143" spans="3:3" x14ac:dyDescent="0.2">
      <c r="C143" s="34" t="str">
        <f>+Q$12</f>
        <v>DJ Chark</v>
      </c>
    </row>
    <row r="144" spans="3:3" x14ac:dyDescent="0.2">
      <c r="C144" s="34" t="str">
        <f>+Q$13</f>
        <v>Hunter Henry</v>
      </c>
    </row>
    <row r="145" spans="3:3" x14ac:dyDescent="0.2">
      <c r="C145" s="34" t="str">
        <f>+Q$14</f>
        <v>Eric Ebron</v>
      </c>
    </row>
    <row r="146" spans="3:3" x14ac:dyDescent="0.2">
      <c r="C146" s="34" t="str">
        <f>+Q$15</f>
        <v>Indianapolis Colts</v>
      </c>
    </row>
    <row r="147" spans="3:3" x14ac:dyDescent="0.2">
      <c r="C147" s="34" t="str">
        <f>+Q$16</f>
        <v>Pittsburgh Steelers</v>
      </c>
    </row>
    <row r="148" spans="3:3" x14ac:dyDescent="0.2">
      <c r="C148" s="34" t="str">
        <f>+Q$17</f>
        <v>Greg Zuerlein</v>
      </c>
    </row>
    <row r="149" spans="3:3" x14ac:dyDescent="0.2">
      <c r="C149" s="34" t="str">
        <f>+Q$18</f>
        <v>Matt Prater</v>
      </c>
    </row>
    <row r="150" spans="3:3" x14ac:dyDescent="0.2">
      <c r="C150" s="51" t="str">
        <f>+C$22</f>
        <v>Russell Wilson</v>
      </c>
    </row>
    <row r="151" spans="3:3" x14ac:dyDescent="0.2">
      <c r="C151" s="34" t="str">
        <f>+C$23</f>
        <v>Jameis Winston</v>
      </c>
    </row>
    <row r="152" spans="3:3" x14ac:dyDescent="0.2">
      <c r="C152" s="34" t="str">
        <f>+C$24</f>
        <v>Josh Jacobs</v>
      </c>
    </row>
    <row r="153" spans="3:3" x14ac:dyDescent="0.2">
      <c r="C153" s="34" t="str">
        <f>+C$25</f>
        <v>Le'Veon Bell</v>
      </c>
    </row>
    <row r="154" spans="3:3" x14ac:dyDescent="0.2">
      <c r="C154" s="34" t="str">
        <f>+C$26</f>
        <v>Jamaal Williams</v>
      </c>
    </row>
    <row r="155" spans="3:3" x14ac:dyDescent="0.2">
      <c r="C155" s="34" t="str">
        <f>+C$27</f>
        <v>Adam Thielen</v>
      </c>
    </row>
    <row r="156" spans="3:3" x14ac:dyDescent="0.2">
      <c r="C156" s="34" t="str">
        <f>+C$28</f>
        <v>Tyrell Williams</v>
      </c>
    </row>
    <row r="157" spans="3:3" x14ac:dyDescent="0.2">
      <c r="C157" s="34" t="str">
        <f>+C$29</f>
        <v>Marvin Jones</v>
      </c>
    </row>
    <row r="158" spans="3:3" x14ac:dyDescent="0.2">
      <c r="C158" s="34" t="str">
        <f>+C$30</f>
        <v>Jonnu Smith</v>
      </c>
    </row>
    <row r="159" spans="3:3" x14ac:dyDescent="0.2">
      <c r="C159" s="34" t="str">
        <f>+C$31</f>
        <v>T.J. Hockenson</v>
      </c>
    </row>
    <row r="160" spans="3:3" x14ac:dyDescent="0.2">
      <c r="C160" s="34" t="str">
        <f>+C$32</f>
        <v>Buffalo Bills</v>
      </c>
    </row>
    <row r="161" spans="3:3" x14ac:dyDescent="0.2">
      <c r="C161" s="34" t="str">
        <f>+C$33</f>
        <v>Green Bay Packers</v>
      </c>
    </row>
    <row r="162" spans="3:3" x14ac:dyDescent="0.2">
      <c r="C162" s="34" t="str">
        <f>+C$34</f>
        <v>Eddy Pineiro</v>
      </c>
    </row>
    <row r="163" spans="3:3" x14ac:dyDescent="0.2">
      <c r="C163" s="34" t="str">
        <f>+C$35</f>
        <v>Harrison Butker</v>
      </c>
    </row>
    <row r="164" spans="3:3" x14ac:dyDescent="0.2">
      <c r="C164" s="51" t="str">
        <f>+E$22</f>
        <v>Drew Brees</v>
      </c>
    </row>
    <row r="165" spans="3:3" x14ac:dyDescent="0.2">
      <c r="C165" s="34" t="str">
        <f>+E$23</f>
        <v>Philip Rivers</v>
      </c>
    </row>
    <row r="166" spans="3:3" x14ac:dyDescent="0.2">
      <c r="C166" s="34" t="str">
        <f>+E$24</f>
        <v>Marlon Mack</v>
      </c>
    </row>
    <row r="167" spans="3:3" x14ac:dyDescent="0.2">
      <c r="C167" s="34" t="str">
        <f>+E$25</f>
        <v>Derrick Henry</v>
      </c>
    </row>
    <row r="168" spans="3:3" x14ac:dyDescent="0.2">
      <c r="C168" s="34" t="str">
        <f>+E$26</f>
        <v>Damien Williams</v>
      </c>
    </row>
    <row r="169" spans="3:3" x14ac:dyDescent="0.2">
      <c r="C169" s="34" t="str">
        <f>+E$27</f>
        <v>Emmanuel Sanders</v>
      </c>
    </row>
    <row r="170" spans="3:3" x14ac:dyDescent="0.2">
      <c r="C170" s="34" t="str">
        <f>+E$28</f>
        <v>Chris Godwin</v>
      </c>
    </row>
    <row r="171" spans="3:3" x14ac:dyDescent="0.2">
      <c r="C171" s="34" t="str">
        <f>+E$29</f>
        <v>Mike Williams</v>
      </c>
    </row>
    <row r="172" spans="3:3" x14ac:dyDescent="0.2">
      <c r="C172" s="34" t="str">
        <f>+E$30</f>
        <v>Greg Olsen</v>
      </c>
    </row>
    <row r="173" spans="3:3" x14ac:dyDescent="0.2">
      <c r="C173" s="34" t="str">
        <f>+E$31</f>
        <v>Ryan Griffin</v>
      </c>
    </row>
    <row r="174" spans="3:3" x14ac:dyDescent="0.2">
      <c r="C174" s="34" t="str">
        <f>+E$32</f>
        <v>New Orleans Saints</v>
      </c>
    </row>
    <row r="175" spans="3:3" x14ac:dyDescent="0.2">
      <c r="C175" s="34" t="str">
        <f>+E$33</f>
        <v>Los Angeles Rams</v>
      </c>
    </row>
    <row r="176" spans="3:3" x14ac:dyDescent="0.2">
      <c r="C176" s="34" t="str">
        <f>+E$34</f>
        <v>Justin Tucker</v>
      </c>
    </row>
    <row r="177" spans="3:3" x14ac:dyDescent="0.2">
      <c r="C177" s="34" t="str">
        <f>+E$35</f>
        <v>Mike Badgley</v>
      </c>
    </row>
    <row r="178" spans="3:3" x14ac:dyDescent="0.2">
      <c r="C178" s="51" t="str">
        <f>+G$22</f>
        <v>Lamar Jackson</v>
      </c>
    </row>
    <row r="179" spans="3:3" x14ac:dyDescent="0.2">
      <c r="C179" s="34" t="str">
        <f>+G$23</f>
        <v>Tom Brady</v>
      </c>
    </row>
    <row r="180" spans="3:3" x14ac:dyDescent="0.2">
      <c r="C180" s="34" t="str">
        <f>+G$24</f>
        <v>Ezekiel Elliott</v>
      </c>
    </row>
    <row r="181" spans="3:3" x14ac:dyDescent="0.2">
      <c r="C181" s="34" t="str">
        <f>+G$25</f>
        <v>Melvin Gordon</v>
      </c>
    </row>
    <row r="182" spans="3:3" x14ac:dyDescent="0.2">
      <c r="C182" s="34" t="str">
        <f>+G$26</f>
        <v>Brian Hill</v>
      </c>
    </row>
    <row r="183" spans="3:3" x14ac:dyDescent="0.2">
      <c r="C183" s="34" t="str">
        <f>+G$27</f>
        <v>Amari Cooper</v>
      </c>
    </row>
    <row r="184" spans="3:3" x14ac:dyDescent="0.2">
      <c r="C184" s="34" t="str">
        <f>+G$28</f>
        <v>Michael Thomas</v>
      </c>
    </row>
    <row r="185" spans="3:3" x14ac:dyDescent="0.2">
      <c r="C185" s="34" t="str">
        <f>+G$29</f>
        <v>Marquise Brown</v>
      </c>
    </row>
    <row r="186" spans="3:3" x14ac:dyDescent="0.2">
      <c r="C186" s="34" t="str">
        <f>+G$30</f>
        <v>Mark Andrews</v>
      </c>
    </row>
    <row r="187" spans="3:3" x14ac:dyDescent="0.2">
      <c r="C187" s="34" t="str">
        <f>+G$31</f>
        <v>Jared Cook</v>
      </c>
    </row>
    <row r="188" spans="3:3" x14ac:dyDescent="0.2">
      <c r="C188" s="34" t="str">
        <f>+G$32</f>
        <v>Daniel Carlson</v>
      </c>
    </row>
    <row r="189" spans="3:3" x14ac:dyDescent="0.2">
      <c r="C189" s="34" t="str">
        <f>+G$33</f>
        <v>Matt Gay</v>
      </c>
    </row>
    <row r="190" spans="3:3" x14ac:dyDescent="0.2">
      <c r="C190" s="34" t="str">
        <f>+G$34</f>
        <v>New York Jets</v>
      </c>
    </row>
    <row r="191" spans="3:3" x14ac:dyDescent="0.2">
      <c r="C191" s="34" t="str">
        <f>+G$35</f>
        <v>Washington Redskins</v>
      </c>
    </row>
    <row r="192" spans="3:3" x14ac:dyDescent="0.2">
      <c r="C192" s="51" t="str">
        <f>+I$22</f>
        <v>Mason Rudolph</v>
      </c>
    </row>
    <row r="193" spans="3:3" x14ac:dyDescent="0.2">
      <c r="C193" s="34" t="str">
        <f>+I$23</f>
        <v>Jeff Driskel</v>
      </c>
    </row>
    <row r="194" spans="3:3" x14ac:dyDescent="0.2">
      <c r="C194" s="34" t="str">
        <f>+I$24</f>
        <v>Nick Chubb</v>
      </c>
    </row>
    <row r="195" spans="3:3" x14ac:dyDescent="0.2">
      <c r="C195" s="34" t="str">
        <f>+I$25</f>
        <v>Jaylen Samuels</v>
      </c>
    </row>
    <row r="196" spans="3:3" x14ac:dyDescent="0.2">
      <c r="C196" s="34" t="str">
        <f>+I$26</f>
        <v>Jonathan Williams</v>
      </c>
    </row>
    <row r="197" spans="3:3" x14ac:dyDescent="0.2">
      <c r="C197" s="34" t="str">
        <f>+I$27</f>
        <v>Julio Jones</v>
      </c>
    </row>
    <row r="198" spans="3:3" x14ac:dyDescent="0.2">
      <c r="C198" s="34" t="str">
        <f>+I$28</f>
        <v>Odell Beckham</v>
      </c>
    </row>
    <row r="199" spans="3:3" x14ac:dyDescent="0.2">
      <c r="C199" s="34" t="str">
        <f>+I$29</f>
        <v>Curtis Samuel</v>
      </c>
    </row>
    <row r="200" spans="3:3" x14ac:dyDescent="0.2">
      <c r="C200" s="34" t="str">
        <f>+I$30</f>
        <v>Cameron Brate</v>
      </c>
    </row>
    <row r="201" spans="3:3" x14ac:dyDescent="0.2">
      <c r="C201" s="34" t="str">
        <f>+I$31</f>
        <v>Jimmy Graham</v>
      </c>
    </row>
    <row r="202" spans="3:3" x14ac:dyDescent="0.2">
      <c r="C202" s="34" t="str">
        <f>+I$32</f>
        <v>Denver Broncos</v>
      </c>
    </row>
    <row r="203" spans="3:3" x14ac:dyDescent="0.2">
      <c r="C203" s="34" t="str">
        <f>+I$33</f>
        <v>Tennessee Titans</v>
      </c>
    </row>
    <row r="204" spans="3:3" x14ac:dyDescent="0.2">
      <c r="C204" s="34" t="str">
        <f>+I$34</f>
        <v>Younghoe Koo</v>
      </c>
    </row>
    <row r="205" spans="3:3" x14ac:dyDescent="0.2">
      <c r="C205" s="34" t="str">
        <f>+I$35</f>
        <v>Austin Seibert</v>
      </c>
    </row>
    <row r="206" spans="3:3" x14ac:dyDescent="0.2">
      <c r="C206" s="51" t="str">
        <f>+K$22</f>
        <v>Aaron Rodgers</v>
      </c>
    </row>
    <row r="207" spans="3:3" x14ac:dyDescent="0.2">
      <c r="C207" s="34" t="str">
        <f>+K$23</f>
        <v>Patrick Mahomes</v>
      </c>
    </row>
    <row r="208" spans="3:3" x14ac:dyDescent="0.2">
      <c r="C208" s="34" t="str">
        <f>+K$24</f>
        <v>Joe Mixon</v>
      </c>
    </row>
    <row r="209" spans="3:3" x14ac:dyDescent="0.2">
      <c r="C209" s="34" t="str">
        <f>+K$25</f>
        <v>Phillip Lindsay</v>
      </c>
    </row>
    <row r="210" spans="3:3" x14ac:dyDescent="0.2">
      <c r="C210" s="34" t="str">
        <f>+K$26</f>
        <v>Alvin Kamara</v>
      </c>
    </row>
    <row r="211" spans="3:3" x14ac:dyDescent="0.2">
      <c r="C211" s="34" t="str">
        <f>+K$27</f>
        <v>Davante Adams</v>
      </c>
    </row>
    <row r="212" spans="3:3" x14ac:dyDescent="0.2">
      <c r="C212" s="34" t="str">
        <f>+K$28</f>
        <v>T.Y. Hilton</v>
      </c>
    </row>
    <row r="213" spans="3:3" x14ac:dyDescent="0.2">
      <c r="C213" s="34" t="str">
        <f>+K$29</f>
        <v>Julian Edelman</v>
      </c>
    </row>
    <row r="214" spans="3:3" x14ac:dyDescent="0.2">
      <c r="C214" s="34" t="str">
        <f>+K$30</f>
        <v>Dallas Goedert</v>
      </c>
    </row>
    <row r="215" spans="3:3" x14ac:dyDescent="0.2">
      <c r="C215" s="34" t="str">
        <f>+K$31</f>
        <v>Travis Kelce</v>
      </c>
    </row>
    <row r="216" spans="3:3" x14ac:dyDescent="0.2">
      <c r="C216" s="34" t="str">
        <f>+K$32</f>
        <v>Zane Gonzalez</v>
      </c>
    </row>
    <row r="217" spans="3:3" x14ac:dyDescent="0.2">
      <c r="C217" s="34" t="str">
        <f>+K$33</f>
        <v>Jake Elliott</v>
      </c>
    </row>
    <row r="218" spans="3:3" x14ac:dyDescent="0.2">
      <c r="C218" s="34" t="str">
        <f>+K$34</f>
        <v>New York Jets</v>
      </c>
    </row>
    <row r="219" spans="3:3" x14ac:dyDescent="0.2">
      <c r="C219" s="34" t="str">
        <f>+K$35</f>
        <v>Philadelphia Eagles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C939-AADC-0E4F-9578-851E204CBF25}">
  <dimension ref="B2:T261"/>
  <sheetViews>
    <sheetView showGridLines="0" workbookViewId="0">
      <selection activeCell="I45" sqref="I45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900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128</v>
      </c>
      <c r="D5" s="38"/>
      <c r="E5" s="37" t="s">
        <v>107</v>
      </c>
      <c r="F5" s="38"/>
      <c r="G5" s="37" t="s">
        <v>531</v>
      </c>
      <c r="H5" s="38"/>
      <c r="I5" s="37" t="s">
        <v>297</v>
      </c>
      <c r="J5" s="38"/>
      <c r="K5" s="37" t="s">
        <v>409</v>
      </c>
      <c r="L5" s="38"/>
      <c r="M5" s="37" t="s">
        <v>248</v>
      </c>
      <c r="N5" s="38"/>
      <c r="O5" s="37" t="s">
        <v>211</v>
      </c>
      <c r="P5" s="38"/>
      <c r="Q5" s="37" t="s">
        <v>537</v>
      </c>
      <c r="R5" s="38"/>
      <c r="S5" s="39"/>
    </row>
    <row r="6" spans="2:19" x14ac:dyDescent="0.2">
      <c r="B6" s="40" t="s">
        <v>881</v>
      </c>
      <c r="C6" s="41" t="s">
        <v>170</v>
      </c>
      <c r="D6" s="42"/>
      <c r="E6" s="41" t="s">
        <v>150</v>
      </c>
      <c r="F6" s="42"/>
      <c r="G6" s="41" t="s">
        <v>209</v>
      </c>
      <c r="H6" s="42"/>
      <c r="I6" s="41" t="s">
        <v>733</v>
      </c>
      <c r="J6" s="42"/>
      <c r="K6" s="41" t="s">
        <v>192</v>
      </c>
      <c r="L6" s="42"/>
      <c r="M6" s="41" t="s">
        <v>525</v>
      </c>
      <c r="N6" s="42"/>
      <c r="O6" s="41" t="s">
        <v>197</v>
      </c>
      <c r="P6" s="42"/>
      <c r="Q6" s="41" t="s">
        <v>766</v>
      </c>
      <c r="R6" s="42"/>
      <c r="S6" s="39"/>
    </row>
    <row r="7" spans="2:19" x14ac:dyDescent="0.2">
      <c r="B7" s="40" t="s">
        <v>882</v>
      </c>
      <c r="C7" s="41" t="s">
        <v>12</v>
      </c>
      <c r="D7" s="42"/>
      <c r="E7" s="41" t="s">
        <v>184</v>
      </c>
      <c r="F7" s="42"/>
      <c r="G7" s="41" t="s">
        <v>183</v>
      </c>
      <c r="H7" s="42"/>
      <c r="I7" s="41" t="s">
        <v>571</v>
      </c>
      <c r="J7" s="42"/>
      <c r="K7" s="41" t="s">
        <v>563</v>
      </c>
      <c r="L7" s="42"/>
      <c r="M7" s="41" t="s">
        <v>560</v>
      </c>
      <c r="N7" s="42"/>
      <c r="O7" s="41" t="s">
        <v>193</v>
      </c>
      <c r="P7" s="42"/>
      <c r="Q7" s="41" t="s">
        <v>757</v>
      </c>
      <c r="R7" s="42"/>
      <c r="S7" s="39"/>
    </row>
    <row r="8" spans="2:19" x14ac:dyDescent="0.2">
      <c r="B8" s="40" t="s">
        <v>883</v>
      </c>
      <c r="C8" s="41" t="s">
        <v>274</v>
      </c>
      <c r="D8" s="42"/>
      <c r="E8" s="41" t="s">
        <v>346</v>
      </c>
      <c r="F8" s="42"/>
      <c r="G8" s="41" t="s">
        <v>539</v>
      </c>
      <c r="H8" s="42"/>
      <c r="I8" s="41" t="s">
        <v>266</v>
      </c>
      <c r="J8" s="42"/>
      <c r="K8" s="41" t="s">
        <v>131</v>
      </c>
      <c r="L8" s="42"/>
      <c r="M8" s="41" t="s">
        <v>576</v>
      </c>
      <c r="N8" s="42"/>
      <c r="O8" s="41" t="s">
        <v>405</v>
      </c>
      <c r="P8" s="42"/>
      <c r="Q8" s="41" t="s">
        <v>310</v>
      </c>
      <c r="R8" s="42"/>
      <c r="S8" s="39"/>
    </row>
    <row r="9" spans="2:19" x14ac:dyDescent="0.2">
      <c r="B9" s="40" t="s">
        <v>884</v>
      </c>
      <c r="C9" s="41" t="s">
        <v>542</v>
      </c>
      <c r="D9" s="42"/>
      <c r="E9" s="41" t="s">
        <v>92</v>
      </c>
      <c r="F9" s="42"/>
      <c r="G9" s="41" t="s">
        <v>286</v>
      </c>
      <c r="H9" s="42"/>
      <c r="I9" s="41" t="s">
        <v>151</v>
      </c>
      <c r="J9" s="42"/>
      <c r="K9" s="41" t="s">
        <v>265</v>
      </c>
      <c r="L9" s="42"/>
      <c r="M9" s="41" t="s">
        <v>532</v>
      </c>
      <c r="N9" s="42"/>
      <c r="O9" s="41" t="s">
        <v>702</v>
      </c>
      <c r="P9" s="42"/>
      <c r="Q9" s="41" t="s">
        <v>258</v>
      </c>
      <c r="R9" s="42"/>
      <c r="S9" s="39"/>
    </row>
    <row r="10" spans="2:19" x14ac:dyDescent="0.2">
      <c r="B10" s="40" t="s">
        <v>885</v>
      </c>
      <c r="C10" s="41" t="s">
        <v>242</v>
      </c>
      <c r="D10" s="42"/>
      <c r="E10" s="41" t="s">
        <v>714</v>
      </c>
      <c r="F10" s="42"/>
      <c r="G10" s="41" t="s">
        <v>712</v>
      </c>
      <c r="H10" s="42"/>
      <c r="I10" s="41" t="s">
        <v>722</v>
      </c>
      <c r="J10" s="42"/>
      <c r="K10" s="41" t="s">
        <v>328</v>
      </c>
      <c r="L10" s="42"/>
      <c r="M10" s="41" t="s">
        <v>229</v>
      </c>
      <c r="N10" s="42"/>
      <c r="O10" s="41" t="s">
        <v>389</v>
      </c>
      <c r="P10" s="42"/>
      <c r="Q10" s="41" t="s">
        <v>538</v>
      </c>
      <c r="R10" s="42"/>
      <c r="S10" s="39"/>
    </row>
    <row r="11" spans="2:19" x14ac:dyDescent="0.2">
      <c r="B11" s="40" t="s">
        <v>886</v>
      </c>
      <c r="C11" s="41" t="s">
        <v>302</v>
      </c>
      <c r="D11" s="42"/>
      <c r="E11" s="41" t="s">
        <v>215</v>
      </c>
      <c r="F11" s="42"/>
      <c r="G11" s="41" t="s">
        <v>254</v>
      </c>
      <c r="H11" s="42"/>
      <c r="I11" s="41" t="s">
        <v>551</v>
      </c>
      <c r="J11" s="42"/>
      <c r="K11" s="41" t="s">
        <v>98</v>
      </c>
      <c r="L11" s="42"/>
      <c r="M11" s="41" t="s">
        <v>244</v>
      </c>
      <c r="N11" s="42"/>
      <c r="O11" s="41" t="s">
        <v>186</v>
      </c>
      <c r="P11" s="42"/>
      <c r="Q11" s="41" t="s">
        <v>536</v>
      </c>
      <c r="R11" s="42"/>
      <c r="S11" s="39"/>
    </row>
    <row r="12" spans="2:19" x14ac:dyDescent="0.2">
      <c r="B12" s="40" t="s">
        <v>887</v>
      </c>
      <c r="C12" s="41" t="s">
        <v>341</v>
      </c>
      <c r="D12" s="42"/>
      <c r="E12" s="41" t="s">
        <v>543</v>
      </c>
      <c r="F12" s="42"/>
      <c r="G12" s="41" t="s">
        <v>372</v>
      </c>
      <c r="H12" s="42"/>
      <c r="I12" s="41" t="s">
        <v>376</v>
      </c>
      <c r="J12" s="42"/>
      <c r="K12" s="41" t="s">
        <v>224</v>
      </c>
      <c r="L12" s="42"/>
      <c r="M12" s="41" t="s">
        <v>224</v>
      </c>
      <c r="N12" s="42"/>
      <c r="O12" s="41" t="s">
        <v>146</v>
      </c>
      <c r="P12" s="42"/>
      <c r="Q12" s="41" t="s">
        <v>284</v>
      </c>
      <c r="R12" s="42"/>
      <c r="S12" s="39"/>
    </row>
    <row r="13" spans="2:19" x14ac:dyDescent="0.2">
      <c r="B13" s="40" t="s">
        <v>888</v>
      </c>
      <c r="C13" s="41" t="s">
        <v>57</v>
      </c>
      <c r="D13" s="42"/>
      <c r="E13" s="41" t="s">
        <v>375</v>
      </c>
      <c r="F13" s="42"/>
      <c r="G13" s="41" t="s">
        <v>199</v>
      </c>
      <c r="H13" s="42"/>
      <c r="I13" s="41" t="s">
        <v>601</v>
      </c>
      <c r="J13" s="42"/>
      <c r="K13" s="41" t="s">
        <v>190</v>
      </c>
      <c r="L13" s="42"/>
      <c r="M13" s="41" t="s">
        <v>113</v>
      </c>
      <c r="N13" s="42"/>
      <c r="O13" s="41" t="s">
        <v>147</v>
      </c>
      <c r="P13" s="42"/>
      <c r="Q13" s="41" t="s">
        <v>710</v>
      </c>
      <c r="R13" s="42"/>
      <c r="S13" s="39"/>
    </row>
    <row r="14" spans="2:19" x14ac:dyDescent="0.2">
      <c r="B14" s="40" t="s">
        <v>889</v>
      </c>
      <c r="C14" s="41" t="s">
        <v>556</v>
      </c>
      <c r="D14" s="42"/>
      <c r="E14" s="41" t="s">
        <v>291</v>
      </c>
      <c r="F14" s="42"/>
      <c r="G14" s="41" t="s">
        <v>51</v>
      </c>
      <c r="H14" s="42"/>
      <c r="I14" s="41" t="s">
        <v>592</v>
      </c>
      <c r="J14" s="42"/>
      <c r="K14" s="41" t="s">
        <v>715</v>
      </c>
      <c r="L14" s="42"/>
      <c r="M14" s="41" t="s">
        <v>72</v>
      </c>
      <c r="N14" s="42"/>
      <c r="O14" s="41" t="s">
        <v>734</v>
      </c>
      <c r="P14" s="42"/>
      <c r="Q14" s="41" t="s">
        <v>114</v>
      </c>
      <c r="R14" s="42"/>
      <c r="S14" s="39"/>
    </row>
    <row r="15" spans="2:19" x14ac:dyDescent="0.2">
      <c r="B15" s="40" t="s">
        <v>890</v>
      </c>
      <c r="C15" s="41" t="s">
        <v>784</v>
      </c>
      <c r="D15" s="42"/>
      <c r="E15" s="41" t="s">
        <v>797</v>
      </c>
      <c r="F15" s="42"/>
      <c r="G15" s="41" t="s">
        <v>790</v>
      </c>
      <c r="H15" s="42"/>
      <c r="I15" s="41" t="s">
        <v>808</v>
      </c>
      <c r="J15" s="42"/>
      <c r="K15" s="41" t="s">
        <v>788</v>
      </c>
      <c r="L15" s="42"/>
      <c r="M15" s="41" t="s">
        <v>813</v>
      </c>
      <c r="N15" s="42"/>
      <c r="O15" s="41" t="s">
        <v>781</v>
      </c>
      <c r="P15" s="42"/>
      <c r="Q15" s="41" t="s">
        <v>792</v>
      </c>
      <c r="R15" s="42"/>
      <c r="S15" s="39"/>
    </row>
    <row r="16" spans="2:19" x14ac:dyDescent="0.2">
      <c r="B16" s="40" t="s">
        <v>891</v>
      </c>
      <c r="C16" s="41" t="s">
        <v>807</v>
      </c>
      <c r="D16" s="42"/>
      <c r="E16" s="41" t="s">
        <v>804</v>
      </c>
      <c r="F16" s="42"/>
      <c r="G16" s="41" t="s">
        <v>809</v>
      </c>
      <c r="H16" s="42"/>
      <c r="I16" s="41" t="s">
        <v>794</v>
      </c>
      <c r="J16" s="42"/>
      <c r="K16" s="41" t="s">
        <v>812</v>
      </c>
      <c r="L16" s="42"/>
      <c r="M16" s="41" t="s">
        <v>800</v>
      </c>
      <c r="N16" s="42"/>
      <c r="O16" s="41" t="s">
        <v>803</v>
      </c>
      <c r="P16" s="42"/>
      <c r="Q16" s="41" t="s">
        <v>795</v>
      </c>
      <c r="R16" s="42"/>
      <c r="S16" s="39"/>
    </row>
    <row r="17" spans="2:20" x14ac:dyDescent="0.2">
      <c r="B17" s="40" t="s">
        <v>892</v>
      </c>
      <c r="C17" s="41" t="s">
        <v>814</v>
      </c>
      <c r="D17" s="42"/>
      <c r="E17" s="41" t="s">
        <v>835</v>
      </c>
      <c r="F17" s="42"/>
      <c r="G17" s="41" t="s">
        <v>832</v>
      </c>
      <c r="H17" s="42"/>
      <c r="I17" s="41" t="s">
        <v>819</v>
      </c>
      <c r="J17" s="42"/>
      <c r="K17" s="41" t="s">
        <v>857</v>
      </c>
      <c r="L17" s="42"/>
      <c r="M17" s="41" t="s">
        <v>844</v>
      </c>
      <c r="N17" s="42"/>
      <c r="O17" s="41" t="s">
        <v>850</v>
      </c>
      <c r="P17" s="42"/>
      <c r="Q17" s="41" t="s">
        <v>816</v>
      </c>
      <c r="R17" s="42"/>
      <c r="S17" s="39"/>
    </row>
    <row r="18" spans="2:20" x14ac:dyDescent="0.2">
      <c r="B18" s="43" t="s">
        <v>893</v>
      </c>
      <c r="C18" s="44" t="s">
        <v>834</v>
      </c>
      <c r="D18" s="45"/>
      <c r="E18" s="44" t="s">
        <v>853</v>
      </c>
      <c r="F18" s="45"/>
      <c r="G18" s="44" t="s">
        <v>826</v>
      </c>
      <c r="H18" s="45"/>
      <c r="I18" s="44" t="s">
        <v>847</v>
      </c>
      <c r="J18" s="45"/>
      <c r="K18" s="44" t="s">
        <v>828</v>
      </c>
      <c r="L18" s="45"/>
      <c r="M18" s="44" t="s">
        <v>840</v>
      </c>
      <c r="N18" s="45"/>
      <c r="O18" s="44" t="s">
        <v>842</v>
      </c>
      <c r="P18" s="45"/>
      <c r="Q18" s="44" t="s">
        <v>821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534</v>
      </c>
      <c r="D22" s="38"/>
      <c r="E22" s="37" t="s">
        <v>194</v>
      </c>
      <c r="F22" s="38"/>
      <c r="G22" s="37" t="s">
        <v>594</v>
      </c>
      <c r="H22" s="38"/>
      <c r="I22" s="37" t="s">
        <v>294</v>
      </c>
      <c r="J22" s="38"/>
      <c r="K22" s="37" t="s">
        <v>330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343</v>
      </c>
      <c r="D23" s="42"/>
      <c r="E23" s="41" t="s">
        <v>361</v>
      </c>
      <c r="F23" s="42"/>
      <c r="G23" s="41" t="s">
        <v>138</v>
      </c>
      <c r="H23" s="42"/>
      <c r="I23" s="41" t="s">
        <v>530</v>
      </c>
      <c r="J23" s="42"/>
      <c r="K23" s="41" t="s">
        <v>89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217</v>
      </c>
      <c r="D24" s="42"/>
      <c r="E24" s="41" t="s">
        <v>623</v>
      </c>
      <c r="F24" s="42"/>
      <c r="G24" s="41" t="s">
        <v>422</v>
      </c>
      <c r="H24" s="42"/>
      <c r="I24" s="41" t="s">
        <v>214</v>
      </c>
      <c r="J24" s="42"/>
      <c r="K24" s="41" t="s">
        <v>926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548</v>
      </c>
      <c r="D25" s="42"/>
      <c r="E25" s="41" t="s">
        <v>704</v>
      </c>
      <c r="F25" s="42"/>
      <c r="G25" s="41" t="s">
        <v>717</v>
      </c>
      <c r="H25" s="42"/>
      <c r="I25" s="41" t="s">
        <v>99</v>
      </c>
      <c r="J25" s="42"/>
      <c r="K25" s="41" t="s">
        <v>246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298</v>
      </c>
      <c r="D26" s="42"/>
      <c r="E26" s="41" t="s">
        <v>589</v>
      </c>
      <c r="F26" s="42"/>
      <c r="G26" s="41" t="s">
        <v>267</v>
      </c>
      <c r="H26" s="42"/>
      <c r="I26" s="41" t="s">
        <v>705</v>
      </c>
      <c r="J26" s="42"/>
      <c r="K26" s="41" t="s">
        <v>182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708</v>
      </c>
      <c r="D27" s="42"/>
      <c r="E27" s="41" t="s">
        <v>196</v>
      </c>
      <c r="F27" s="42"/>
      <c r="G27" s="41" t="s">
        <v>316</v>
      </c>
      <c r="H27" s="42"/>
      <c r="I27" s="41" t="s">
        <v>158</v>
      </c>
      <c r="J27" s="42"/>
      <c r="K27" s="41" t="s">
        <v>713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614</v>
      </c>
      <c r="D28" s="42"/>
      <c r="E28" s="41" t="s">
        <v>367</v>
      </c>
      <c r="F28" s="42"/>
      <c r="G28" s="41" t="s">
        <v>545</v>
      </c>
      <c r="H28" s="42"/>
      <c r="I28" s="41" t="s">
        <v>438</v>
      </c>
      <c r="J28" s="42"/>
      <c r="K28" s="41" t="s">
        <v>561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243</v>
      </c>
      <c r="D29" s="42"/>
      <c r="E29" s="41" t="s">
        <v>176</v>
      </c>
      <c r="F29" s="42"/>
      <c r="G29" s="41" t="s">
        <v>300</v>
      </c>
      <c r="H29" s="42"/>
      <c r="I29" s="41" t="s">
        <v>135</v>
      </c>
      <c r="J29" s="42"/>
      <c r="K29" s="41" t="s">
        <v>198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125</v>
      </c>
      <c r="D30" s="42"/>
      <c r="E30" s="41" t="s">
        <v>249</v>
      </c>
      <c r="F30" s="42"/>
      <c r="G30" s="41" t="s">
        <v>608</v>
      </c>
      <c r="H30" s="42"/>
      <c r="I30" s="41" t="s">
        <v>445</v>
      </c>
      <c r="J30" s="42"/>
      <c r="K30" s="41" t="s">
        <v>426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566</v>
      </c>
      <c r="D31" s="42"/>
      <c r="E31" s="41" t="s">
        <v>46</v>
      </c>
      <c r="F31" s="42"/>
      <c r="G31" s="41" t="s">
        <v>467</v>
      </c>
      <c r="H31" s="42"/>
      <c r="I31" s="41" t="s">
        <v>82</v>
      </c>
      <c r="J31" s="42"/>
      <c r="K31" s="41" t="s">
        <v>213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810</v>
      </c>
      <c r="D32" s="42"/>
      <c r="E32" s="41" t="s">
        <v>789</v>
      </c>
      <c r="F32" s="42"/>
      <c r="G32" s="41" t="s">
        <v>921</v>
      </c>
      <c r="H32" s="42"/>
      <c r="I32" s="41" t="s">
        <v>787</v>
      </c>
      <c r="J32" s="42"/>
      <c r="K32" s="41" t="s">
        <v>829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805</v>
      </c>
      <c r="D33" s="42"/>
      <c r="E33" s="41" t="s">
        <v>806</v>
      </c>
      <c r="F33" s="42"/>
      <c r="G33" s="41" t="s">
        <v>841</v>
      </c>
      <c r="H33" s="42"/>
      <c r="I33" s="41" t="s">
        <v>783</v>
      </c>
      <c r="J33" s="42"/>
      <c r="K33" s="41" t="s">
        <v>823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849</v>
      </c>
      <c r="D34" s="42"/>
      <c r="E34" s="41" t="s">
        <v>831</v>
      </c>
      <c r="F34" s="42"/>
      <c r="G34" s="41" t="s">
        <v>801</v>
      </c>
      <c r="H34" s="42"/>
      <c r="I34" s="41" t="s">
        <v>827</v>
      </c>
      <c r="J34" s="42"/>
      <c r="K34" s="41" t="s">
        <v>798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824</v>
      </c>
      <c r="D35" s="45"/>
      <c r="E35" s="44" t="s">
        <v>855</v>
      </c>
      <c r="F35" s="45"/>
      <c r="G35" s="44" t="s">
        <v>785</v>
      </c>
      <c r="H35" s="45"/>
      <c r="I35" s="44" t="s">
        <v>854</v>
      </c>
      <c r="J35" s="45"/>
      <c r="K35" s="44" t="s">
        <v>793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Carson Wentz</v>
      </c>
      <c r="G38" s="87"/>
    </row>
    <row r="39" spans="2:20" x14ac:dyDescent="0.2">
      <c r="C39" s="34" t="str">
        <f>+C$6</f>
        <v>Drew Brees</v>
      </c>
      <c r="G39" s="87"/>
    </row>
    <row r="40" spans="2:20" x14ac:dyDescent="0.2">
      <c r="C40" s="34" t="str">
        <f>+C$7</f>
        <v>Austin Ekeler</v>
      </c>
      <c r="G40" s="87"/>
    </row>
    <row r="41" spans="2:20" x14ac:dyDescent="0.2">
      <c r="C41" s="34" t="str">
        <f>+C$8</f>
        <v>Mark Ingram</v>
      </c>
      <c r="G41" s="87"/>
    </row>
    <row r="42" spans="2:20" x14ac:dyDescent="0.2">
      <c r="C42" s="34" t="str">
        <f>+C$9</f>
        <v>Kerryon Johnson</v>
      </c>
      <c r="G42" s="87"/>
    </row>
    <row r="43" spans="2:20" x14ac:dyDescent="0.2">
      <c r="C43" s="34" t="str">
        <f>+C$10</f>
        <v>Kenny Golladay</v>
      </c>
      <c r="G43" s="87"/>
    </row>
    <row r="44" spans="2:20" x14ac:dyDescent="0.2">
      <c r="C44" s="34" t="str">
        <f>+C$11</f>
        <v>Mike Evans</v>
      </c>
      <c r="G44" s="87"/>
    </row>
    <row r="45" spans="2:20" x14ac:dyDescent="0.2">
      <c r="C45" s="34" t="str">
        <f>+C$12</f>
        <v>Tyler Lockett</v>
      </c>
      <c r="G45" s="87"/>
    </row>
    <row r="46" spans="2:20" x14ac:dyDescent="0.2">
      <c r="C46" s="34" t="str">
        <f>+C$13</f>
        <v>Jared Cook</v>
      </c>
      <c r="G46" s="87"/>
    </row>
    <row r="47" spans="2:20" x14ac:dyDescent="0.2">
      <c r="C47" s="34" t="str">
        <f>+C$14</f>
        <v>Mark Andrews</v>
      </c>
      <c r="G47" s="87"/>
    </row>
    <row r="48" spans="2:20" x14ac:dyDescent="0.2">
      <c r="C48" s="34" t="str">
        <f>+C$15</f>
        <v>Baltimore Ravens</v>
      </c>
      <c r="G48" s="87"/>
    </row>
    <row r="49" spans="3:7" x14ac:dyDescent="0.2">
      <c r="C49" s="34" t="str">
        <f>+C$16</f>
        <v>Philadelphia Eagles</v>
      </c>
      <c r="G49" s="87"/>
    </row>
    <row r="50" spans="3:7" x14ac:dyDescent="0.2">
      <c r="C50" s="34" t="str">
        <f>+C$17</f>
        <v>Mike Badgley</v>
      </c>
      <c r="G50" s="87"/>
    </row>
    <row r="51" spans="3:7" x14ac:dyDescent="0.2">
      <c r="C51" s="34" t="str">
        <f>+C$18</f>
        <v>Robbie Gould</v>
      </c>
      <c r="G51" s="87"/>
    </row>
    <row r="52" spans="3:7" x14ac:dyDescent="0.2">
      <c r="C52" s="51" t="str">
        <f>+E$5</f>
        <v>Ben Roethlisberger</v>
      </c>
    </row>
    <row r="53" spans="3:7" x14ac:dyDescent="0.2">
      <c r="C53" s="34" t="str">
        <f>+E$6</f>
        <v>Derek Carr</v>
      </c>
    </row>
    <row r="54" spans="3:7" x14ac:dyDescent="0.2">
      <c r="C54" s="34" t="str">
        <f>+E$7</f>
        <v>Giovani Bernard</v>
      </c>
    </row>
    <row r="55" spans="3:7" x14ac:dyDescent="0.2">
      <c r="C55" s="34" t="str">
        <f>+E$8</f>
        <v>Rex Burkhead</v>
      </c>
    </row>
    <row r="56" spans="3:7" x14ac:dyDescent="0.2">
      <c r="C56" s="34" t="str">
        <f>+E$9</f>
        <v>Adrian Peterson</v>
      </c>
    </row>
    <row r="57" spans="3:7" x14ac:dyDescent="0.2">
      <c r="C57" s="34" t="str">
        <f>+E$10</f>
        <v>Mecole Hardman</v>
      </c>
    </row>
    <row r="58" spans="3:7" x14ac:dyDescent="0.2">
      <c r="C58" s="34" t="str">
        <f>+E$11</f>
        <v>John Brown</v>
      </c>
    </row>
    <row r="59" spans="3:7" x14ac:dyDescent="0.2">
      <c r="C59" s="34" t="str">
        <f>+E$12</f>
        <v>D.J. Moore</v>
      </c>
    </row>
    <row r="60" spans="3:7" x14ac:dyDescent="0.2">
      <c r="C60" s="34" t="str">
        <f>+E$13</f>
        <v>Vernon Davis</v>
      </c>
    </row>
    <row r="61" spans="3:7" x14ac:dyDescent="0.2">
      <c r="C61" s="34" t="str">
        <f>+E$14</f>
        <v>C.J. Uzomah</v>
      </c>
    </row>
    <row r="62" spans="3:7" x14ac:dyDescent="0.2">
      <c r="C62" s="34" t="str">
        <f>+E$15</f>
        <v>Kansas City Chiefs</v>
      </c>
    </row>
    <row r="63" spans="3:7" x14ac:dyDescent="0.2">
      <c r="C63" s="34" t="str">
        <f>+E$16</f>
        <v>New York Giants</v>
      </c>
    </row>
    <row r="64" spans="3:7" x14ac:dyDescent="0.2">
      <c r="C64" s="34" t="str">
        <f>+E$17</f>
        <v>Steven Hauschka</v>
      </c>
    </row>
    <row r="65" spans="3:3" x14ac:dyDescent="0.2">
      <c r="C65" s="34" t="str">
        <f>+E$18</f>
        <v>Austin Seibert</v>
      </c>
    </row>
    <row r="66" spans="3:3" x14ac:dyDescent="0.2">
      <c r="C66" s="51" t="str">
        <f>+G$5</f>
        <v>Josh Allen</v>
      </c>
    </row>
    <row r="67" spans="3:3" x14ac:dyDescent="0.2">
      <c r="C67" s="34" t="str">
        <f>+G$6</f>
        <v>Jimmy Garoppolo</v>
      </c>
    </row>
    <row r="68" spans="3:3" x14ac:dyDescent="0.2">
      <c r="C68" s="34" t="str">
        <f>+G$7</f>
        <v>Frank Gore</v>
      </c>
    </row>
    <row r="69" spans="3:3" x14ac:dyDescent="0.2">
      <c r="C69" s="34" t="str">
        <f>+G$8</f>
        <v>Sony Michel</v>
      </c>
    </row>
    <row r="70" spans="3:3" x14ac:dyDescent="0.2">
      <c r="C70" s="34" t="str">
        <f>+G$9</f>
        <v>Matt Breida</v>
      </c>
    </row>
    <row r="71" spans="3:3" x14ac:dyDescent="0.2">
      <c r="C71" s="34" t="str">
        <f>+G$10</f>
        <v>Marquise Brown</v>
      </c>
    </row>
    <row r="72" spans="3:3" x14ac:dyDescent="0.2">
      <c r="C72" s="34" t="str">
        <f>+G$11</f>
        <v>Larry Fitzgerald</v>
      </c>
    </row>
    <row r="73" spans="3:3" x14ac:dyDescent="0.2">
      <c r="C73" s="34" t="str">
        <f>+G$12</f>
        <v>Sammy Watkins</v>
      </c>
    </row>
    <row r="74" spans="3:3" x14ac:dyDescent="0.2">
      <c r="C74" s="34" t="str">
        <f>+G$13</f>
        <v>Jason Witten</v>
      </c>
    </row>
    <row r="75" spans="3:3" x14ac:dyDescent="0.2">
      <c r="C75" s="34" t="str">
        <f>+G$14</f>
        <v>Greg Olsen</v>
      </c>
    </row>
    <row r="76" spans="3:3" x14ac:dyDescent="0.2">
      <c r="C76" s="34" t="str">
        <f>+G$15</f>
        <v>Dallas Cowboys</v>
      </c>
    </row>
    <row r="77" spans="3:3" x14ac:dyDescent="0.2">
      <c r="C77" s="34" t="str">
        <f>+G$16</f>
        <v>San Francisco 49ers</v>
      </c>
    </row>
    <row r="78" spans="3:3" x14ac:dyDescent="0.2">
      <c r="C78" s="34" t="str">
        <f>+G$17</f>
        <v>Zane Gonzalez</v>
      </c>
    </row>
    <row r="79" spans="3:3" x14ac:dyDescent="0.2">
      <c r="C79" s="34" t="str">
        <f>+G$18</f>
        <v>Mason Crosby</v>
      </c>
    </row>
    <row r="80" spans="3:3" x14ac:dyDescent="0.2">
      <c r="C80" s="51" t="str">
        <f>+I$5</f>
        <v>Matthew Stafford</v>
      </c>
    </row>
    <row r="81" spans="3:3" x14ac:dyDescent="0.2">
      <c r="C81" s="34" t="str">
        <f>+I$6</f>
        <v>Daniel Jones</v>
      </c>
    </row>
    <row r="82" spans="3:3" x14ac:dyDescent="0.2">
      <c r="C82" s="34" t="str">
        <f>+I$7</f>
        <v>Justin Jackson</v>
      </c>
    </row>
    <row r="83" spans="3:3" x14ac:dyDescent="0.2">
      <c r="C83" s="34" t="str">
        <f>+I$8</f>
        <v>LeSean McCoy</v>
      </c>
    </row>
    <row r="84" spans="3:3" x14ac:dyDescent="0.2">
      <c r="C84" s="34" t="str">
        <f>+I$9</f>
        <v>Derrick Henry</v>
      </c>
    </row>
    <row r="85" spans="3:3" x14ac:dyDescent="0.2">
      <c r="C85" s="34" t="str">
        <f>+I$10</f>
        <v>Terry McLaurin</v>
      </c>
    </row>
    <row r="86" spans="3:3" x14ac:dyDescent="0.2">
      <c r="C86" s="34" t="str">
        <f>+I$11</f>
        <v>Christian Kirk</v>
      </c>
    </row>
    <row r="87" spans="3:3" x14ac:dyDescent="0.2">
      <c r="C87" s="34" t="str">
        <f>+I$12</f>
        <v>Sterling Shepard</v>
      </c>
    </row>
    <row r="88" spans="3:3" x14ac:dyDescent="0.2">
      <c r="C88" s="34" t="str">
        <f>+I$13</f>
        <v>Jordan Akins</v>
      </c>
    </row>
    <row r="89" spans="3:3" x14ac:dyDescent="0.2">
      <c r="C89" s="34" t="str">
        <f>+I$14</f>
        <v>Will Dissly</v>
      </c>
    </row>
    <row r="90" spans="3:3" x14ac:dyDescent="0.2">
      <c r="C90" s="34" t="str">
        <f>+I$15</f>
        <v>Pittsburgh Steelers</v>
      </c>
    </row>
    <row r="91" spans="3:3" x14ac:dyDescent="0.2">
      <c r="C91" s="34" t="str">
        <f>+I$16</f>
        <v>Houston Texans</v>
      </c>
    </row>
    <row r="92" spans="3:3" x14ac:dyDescent="0.2">
      <c r="C92" s="34" t="str">
        <f>+I$17</f>
        <v>Chris Boswell</v>
      </c>
    </row>
    <row r="93" spans="3:3" x14ac:dyDescent="0.2">
      <c r="C93" s="34" t="str">
        <f>+I$18</f>
        <v>Jason Myers</v>
      </c>
    </row>
    <row r="94" spans="3:3" x14ac:dyDescent="0.2">
      <c r="C94" s="51" t="str">
        <f>+K$5</f>
        <v>Tom Brady</v>
      </c>
    </row>
    <row r="95" spans="3:3" x14ac:dyDescent="0.2">
      <c r="C95" s="34" t="str">
        <f>+K$6</f>
        <v>Jacoby Brissett</v>
      </c>
    </row>
    <row r="96" spans="3:3" x14ac:dyDescent="0.2">
      <c r="C96" s="34" t="str">
        <f>+K$7</f>
        <v>Jaylen Samuels</v>
      </c>
    </row>
    <row r="97" spans="3:3" x14ac:dyDescent="0.2">
      <c r="C97" s="34" t="str">
        <f>+K$8</f>
        <v>Chris Carson</v>
      </c>
    </row>
    <row r="98" spans="3:3" x14ac:dyDescent="0.2">
      <c r="C98" s="34" t="str">
        <f>+K$9</f>
        <v>Leonard Fournette</v>
      </c>
    </row>
    <row r="99" spans="3:3" x14ac:dyDescent="0.2">
      <c r="C99" s="34" t="str">
        <f>+K$10</f>
        <v>Tyler Boyd</v>
      </c>
    </row>
    <row r="100" spans="3:3" x14ac:dyDescent="0.2">
      <c r="C100" s="34" t="str">
        <f>+K$11</f>
        <v>Alshon Jeffery</v>
      </c>
    </row>
    <row r="101" spans="3:3" x14ac:dyDescent="0.2">
      <c r="C101" s="34" t="str">
        <f>+K$12</f>
        <v>Geronimo Allison</v>
      </c>
    </row>
    <row r="102" spans="3:3" x14ac:dyDescent="0.2">
      <c r="C102" s="34" t="str">
        <f>+K$13</f>
        <v>Jack Doyle</v>
      </c>
    </row>
    <row r="103" spans="3:3" x14ac:dyDescent="0.2">
      <c r="C103" s="34" t="str">
        <f>+K$14</f>
        <v>Noah Fant</v>
      </c>
    </row>
    <row r="104" spans="3:3" x14ac:dyDescent="0.2">
      <c r="C104" s="34" t="str">
        <f>+K$15</f>
        <v>Cincinnati Bengals</v>
      </c>
    </row>
    <row r="105" spans="3:3" x14ac:dyDescent="0.2">
      <c r="C105" s="34" t="str">
        <f>+K$16</f>
        <v>Tennessee Titans</v>
      </c>
    </row>
    <row r="106" spans="3:3" x14ac:dyDescent="0.2">
      <c r="C106" s="34" t="str">
        <f>+K$17</f>
        <v>Adam Vinatieri</v>
      </c>
    </row>
    <row r="107" spans="3:3" x14ac:dyDescent="0.2">
      <c r="C107" s="34" t="str">
        <f>+K$18</f>
        <v>Ka'imi Fairbairn</v>
      </c>
    </row>
    <row r="108" spans="3:3" x14ac:dyDescent="0.2">
      <c r="C108" s="51" t="str">
        <f>+M$5</f>
        <v>Kirk Cousins</v>
      </c>
    </row>
    <row r="109" spans="3:3" x14ac:dyDescent="0.2">
      <c r="C109" s="34" t="str">
        <f>+M$6</f>
        <v>Teddy Bridgewater</v>
      </c>
    </row>
    <row r="110" spans="3:3" x14ac:dyDescent="0.2">
      <c r="C110" s="34" t="str">
        <f>+M$7</f>
        <v>Ito Smith</v>
      </c>
    </row>
    <row r="111" spans="3:3" x14ac:dyDescent="0.2">
      <c r="C111" s="34" t="str">
        <f>+M$8</f>
        <v>Chase Edmonds</v>
      </c>
    </row>
    <row r="112" spans="3:3" x14ac:dyDescent="0.2">
      <c r="C112" s="34" t="str">
        <f>+M$9</f>
        <v>Phillip Lindsay</v>
      </c>
    </row>
    <row r="113" spans="3:3" x14ac:dyDescent="0.2">
      <c r="C113" s="34" t="str">
        <f>+M$10</f>
        <v>Josh Gordon</v>
      </c>
    </row>
    <row r="114" spans="3:3" x14ac:dyDescent="0.2">
      <c r="C114" s="34" t="str">
        <f>+M$11</f>
        <v>Demarcus Robinson</v>
      </c>
    </row>
    <row r="115" spans="3:3" x14ac:dyDescent="0.2">
      <c r="C115" s="34" t="str">
        <f>+M$12</f>
        <v>Geronimo Allison</v>
      </c>
    </row>
    <row r="116" spans="3:3" x14ac:dyDescent="0.2">
      <c r="C116" s="34" t="str">
        <f>+M$13</f>
        <v>Gerald Everett</v>
      </c>
    </row>
    <row r="117" spans="3:3" x14ac:dyDescent="0.2">
      <c r="C117" s="34" t="str">
        <f>+M$14</f>
        <v>Ricky Seals-Jones</v>
      </c>
    </row>
    <row r="118" spans="3:3" x14ac:dyDescent="0.2">
      <c r="C118" s="34" t="str">
        <f>+M$15</f>
        <v>Washington Redskins</v>
      </c>
    </row>
    <row r="119" spans="3:3" x14ac:dyDescent="0.2">
      <c r="C119" s="34" t="str">
        <f>+M$16</f>
        <v>Miami Dolphins</v>
      </c>
    </row>
    <row r="120" spans="3:3" x14ac:dyDescent="0.2">
      <c r="C120" s="34" t="str">
        <f>+M$17</f>
        <v>Chase McLaughlin</v>
      </c>
    </row>
    <row r="121" spans="3:3" x14ac:dyDescent="0.2">
      <c r="C121" s="34" t="str">
        <f>+M$18</f>
        <v>Josh Lambo</v>
      </c>
    </row>
    <row r="122" spans="3:3" x14ac:dyDescent="0.2">
      <c r="C122" s="51" t="str">
        <f>+O$5</f>
        <v>Joe Flacco</v>
      </c>
    </row>
    <row r="123" spans="3:3" x14ac:dyDescent="0.2">
      <c r="C123" s="34" t="str">
        <f>+O$6</f>
        <v>Jared Goff</v>
      </c>
    </row>
    <row r="124" spans="3:3" x14ac:dyDescent="0.2">
      <c r="C124" s="34" t="str">
        <f>+O$7</f>
        <v>Jamaal Williams</v>
      </c>
    </row>
    <row r="125" spans="3:3" x14ac:dyDescent="0.2">
      <c r="C125" s="34" t="str">
        <f>+O$8</f>
        <v>Tevin Coleman</v>
      </c>
    </row>
    <row r="126" spans="3:3" x14ac:dyDescent="0.2">
      <c r="C126" s="34" t="str">
        <f>+O$9</f>
        <v>Josh Jacobs</v>
      </c>
    </row>
    <row r="127" spans="3:3" x14ac:dyDescent="0.2">
      <c r="C127" s="34" t="str">
        <f>+O$10</f>
        <v>T.Y. Hilton</v>
      </c>
    </row>
    <row r="128" spans="3:3" x14ac:dyDescent="0.2">
      <c r="C128" s="34" t="str">
        <f>+O$11</f>
        <v>Golden Tate</v>
      </c>
    </row>
    <row r="129" spans="3:3" x14ac:dyDescent="0.2">
      <c r="C129" s="34" t="str">
        <f>+O$12</f>
        <v>Dede Westbrook</v>
      </c>
    </row>
    <row r="130" spans="3:3" x14ac:dyDescent="0.2">
      <c r="C130" s="34" t="str">
        <f>+O$13</f>
        <v>Delanie Walker</v>
      </c>
    </row>
    <row r="131" spans="3:3" x14ac:dyDescent="0.2">
      <c r="C131" s="34" t="str">
        <f>+O$14</f>
        <v>Dawson Knox</v>
      </c>
    </row>
    <row r="132" spans="3:3" x14ac:dyDescent="0.2">
      <c r="C132" s="34" t="str">
        <f>+O$15</f>
        <v>Arizona Cardinals</v>
      </c>
    </row>
    <row r="133" spans="3:3" x14ac:dyDescent="0.2">
      <c r="C133" s="34" t="str">
        <f>+O$16</f>
        <v>New Orleans Saints</v>
      </c>
    </row>
    <row r="134" spans="3:3" x14ac:dyDescent="0.2">
      <c r="C134" s="34" t="str">
        <f>+O$17</f>
        <v>Aldrick Rosas</v>
      </c>
    </row>
    <row r="135" spans="3:3" x14ac:dyDescent="0.2">
      <c r="C135" s="34" t="str">
        <f>+O$18</f>
        <v>Brett Maher</v>
      </c>
    </row>
    <row r="136" spans="3:3" x14ac:dyDescent="0.2">
      <c r="C136" s="51" t="str">
        <f>+Q$5</f>
        <v>Ryan Tannehill</v>
      </c>
    </row>
    <row r="137" spans="3:3" x14ac:dyDescent="0.2">
      <c r="C137" s="34" t="str">
        <f>+Q$6</f>
        <v>Gardner Minshew</v>
      </c>
    </row>
    <row r="138" spans="3:3" x14ac:dyDescent="0.2">
      <c r="C138" s="34" t="str">
        <f>+Q$7</f>
        <v>Ty Johnson</v>
      </c>
    </row>
    <row r="139" spans="3:3" x14ac:dyDescent="0.2">
      <c r="C139" s="34" t="str">
        <f>+Q$8</f>
        <v>James Conner</v>
      </c>
    </row>
    <row r="140" spans="3:3" x14ac:dyDescent="0.2">
      <c r="C140" s="34" t="str">
        <f>+Q$9</f>
        <v>Latavius Murray</v>
      </c>
    </row>
    <row r="141" spans="3:3" x14ac:dyDescent="0.2">
      <c r="C141" s="34" t="str">
        <f>+Q$10</f>
        <v>Julian Edelman</v>
      </c>
    </row>
    <row r="142" spans="3:3" x14ac:dyDescent="0.2">
      <c r="C142" s="34" t="str">
        <f>+Q$11</f>
        <v>Calvin Ridley</v>
      </c>
    </row>
    <row r="143" spans="3:3" x14ac:dyDescent="0.2">
      <c r="C143" s="34" t="str">
        <f>+Q$12</f>
        <v>Marvin Jones</v>
      </c>
    </row>
    <row r="144" spans="3:3" x14ac:dyDescent="0.2">
      <c r="C144" s="34" t="str">
        <f>+Q$13</f>
        <v>T.J. Hockenson</v>
      </c>
    </row>
    <row r="145" spans="3:3" x14ac:dyDescent="0.2">
      <c r="C145" s="34" t="str">
        <f>+Q$14</f>
        <v>Darren Fells</v>
      </c>
    </row>
    <row r="146" spans="3:3" x14ac:dyDescent="0.2">
      <c r="C146" s="34" t="str">
        <f>+Q$15</f>
        <v>Detroit Lions</v>
      </c>
    </row>
    <row r="147" spans="3:3" x14ac:dyDescent="0.2">
      <c r="C147" s="34" t="str">
        <f>+Q$16</f>
        <v>Indianapolis Colts</v>
      </c>
    </row>
    <row r="148" spans="3:3" x14ac:dyDescent="0.2">
      <c r="C148" s="34" t="str">
        <f>+Q$17</f>
        <v>Dan Bailey</v>
      </c>
    </row>
    <row r="149" spans="3:3" x14ac:dyDescent="0.2">
      <c r="C149" s="34" t="str">
        <f>+Q$18</f>
        <v>Matt Bryant</v>
      </c>
    </row>
    <row r="150" spans="3:3" x14ac:dyDescent="0.2">
      <c r="C150" s="51" t="str">
        <f>+C$22</f>
        <v>Sam Darnold</v>
      </c>
    </row>
    <row r="151" spans="3:3" x14ac:dyDescent="0.2">
      <c r="C151" s="34" t="str">
        <f>+C$23</f>
        <v>Philip Rivers</v>
      </c>
    </row>
    <row r="152" spans="3:3" x14ac:dyDescent="0.2">
      <c r="C152" s="34" t="str">
        <f>+C$24</f>
        <v>Jordan Howard</v>
      </c>
    </row>
    <row r="153" spans="3:3" x14ac:dyDescent="0.2">
      <c r="C153" s="34" t="str">
        <f>+C$25</f>
        <v>Royce Freeman</v>
      </c>
    </row>
    <row r="154" spans="3:3" x14ac:dyDescent="0.2">
      <c r="C154" s="34" t="str">
        <f>+C$26</f>
        <v>Melvin Gordon</v>
      </c>
    </row>
    <row r="155" spans="3:3" x14ac:dyDescent="0.2">
      <c r="C155" s="34" t="str">
        <f>+C$27</f>
        <v>DK Metcalf</v>
      </c>
    </row>
    <row r="156" spans="3:3" x14ac:dyDescent="0.2">
      <c r="C156" s="34" t="str">
        <f>+C$28</f>
        <v>DJ Chark</v>
      </c>
    </row>
    <row r="157" spans="3:3" x14ac:dyDescent="0.2">
      <c r="C157" s="34" t="str">
        <f>+C$29</f>
        <v>Kenny Stills</v>
      </c>
    </row>
    <row r="158" spans="3:3" x14ac:dyDescent="0.2">
      <c r="C158" s="34" t="str">
        <f>+C$30</f>
        <v>Cameron Brate</v>
      </c>
    </row>
    <row r="159" spans="3:3" x14ac:dyDescent="0.2">
      <c r="C159" s="34" t="str">
        <f>+C$31</f>
        <v>Dallas Goedert</v>
      </c>
    </row>
    <row r="160" spans="3:3" x14ac:dyDescent="0.2">
      <c r="C160" s="34" t="str">
        <f>+C$32</f>
        <v>Seattle Seahawks</v>
      </c>
    </row>
    <row r="161" spans="3:3" x14ac:dyDescent="0.2">
      <c r="C161" s="34" t="str">
        <f>+C$33</f>
        <v>New York Jets</v>
      </c>
    </row>
    <row r="162" spans="3:3" x14ac:dyDescent="0.2">
      <c r="C162" s="34" t="str">
        <f>+C$34</f>
        <v>Matt Prater</v>
      </c>
    </row>
    <row r="163" spans="3:3" x14ac:dyDescent="0.2">
      <c r="C163" s="34" t="str">
        <f>+C$35</f>
        <v>Daniel Carlson</v>
      </c>
    </row>
    <row r="164" spans="3:3" x14ac:dyDescent="0.2">
      <c r="C164" s="51" t="str">
        <f>+E$22</f>
        <v>Jameis Winston</v>
      </c>
    </row>
    <row r="165" spans="3:3" x14ac:dyDescent="0.2">
      <c r="C165" s="34" t="str">
        <f>+E$23</f>
        <v>Ryan Fitzpatrick</v>
      </c>
    </row>
    <row r="166" spans="3:3" x14ac:dyDescent="0.2">
      <c r="C166" s="34" t="str">
        <f>+E$24</f>
        <v>Ronald Jones</v>
      </c>
    </row>
    <row r="167" spans="3:3" x14ac:dyDescent="0.2">
      <c r="C167" s="34" t="str">
        <f>+E$25</f>
        <v>David Montgomery</v>
      </c>
    </row>
    <row r="168" spans="3:3" x14ac:dyDescent="0.2">
      <c r="C168" s="34" t="str">
        <f>+E$26</f>
        <v>Kalen Ballage</v>
      </c>
    </row>
    <row r="169" spans="3:3" x14ac:dyDescent="0.2">
      <c r="C169" s="34" t="str">
        <f>+E$27</f>
        <v>Jamison Crowder</v>
      </c>
    </row>
    <row r="170" spans="3:3" x14ac:dyDescent="0.2">
      <c r="C170" s="34" t="str">
        <f>+E$28</f>
        <v>Mike Williams</v>
      </c>
    </row>
    <row r="171" spans="3:3" x14ac:dyDescent="0.2">
      <c r="C171" s="34" t="str">
        <f>+E$29</f>
        <v>Emmanuel Sanders</v>
      </c>
    </row>
    <row r="172" spans="3:3" x14ac:dyDescent="0.2">
      <c r="C172" s="34" t="str">
        <f>+E$30</f>
        <v>Kyle Rudolph</v>
      </c>
    </row>
    <row r="173" spans="3:3" x14ac:dyDescent="0.2">
      <c r="C173" s="34" t="str">
        <f>+E$31</f>
        <v>Eric Ebron</v>
      </c>
    </row>
    <row r="174" spans="3:3" x14ac:dyDescent="0.2">
      <c r="C174" s="34" t="str">
        <f>+E$32</f>
        <v>Cleveland Browns</v>
      </c>
    </row>
    <row r="175" spans="3:3" x14ac:dyDescent="0.2">
      <c r="C175" s="34" t="str">
        <f>+E$33</f>
        <v>Oakland Raiders</v>
      </c>
    </row>
    <row r="176" spans="3:3" x14ac:dyDescent="0.2">
      <c r="C176" s="34" t="str">
        <f>+E$34</f>
        <v>Matt Gay</v>
      </c>
    </row>
    <row r="177" spans="3:3" x14ac:dyDescent="0.2">
      <c r="C177" s="34" t="str">
        <f>+E$35</f>
        <v>Ryan Succop</v>
      </c>
    </row>
    <row r="178" spans="3:3" x14ac:dyDescent="0.2">
      <c r="C178" s="51" t="str">
        <f>+G$22</f>
        <v>Kyle Allen</v>
      </c>
    </row>
    <row r="179" spans="3:3" x14ac:dyDescent="0.2">
      <c r="C179" s="34" t="str">
        <f>+G$23</f>
        <v>Dak Prescott</v>
      </c>
    </row>
    <row r="180" spans="3:3" x14ac:dyDescent="0.2">
      <c r="C180" s="34" t="str">
        <f>+G$24</f>
        <v>Brian Hill</v>
      </c>
    </row>
    <row r="181" spans="3:3" x14ac:dyDescent="0.2">
      <c r="C181" s="34" t="str">
        <f>+G$25</f>
        <v>Devin Singletary</v>
      </c>
    </row>
    <row r="182" spans="3:3" x14ac:dyDescent="0.2">
      <c r="C182" s="34" t="str">
        <f>+G$26</f>
        <v>Le'Veon Bell</v>
      </c>
    </row>
    <row r="183" spans="3:3" x14ac:dyDescent="0.2">
      <c r="C183" s="34" t="str">
        <f>+G$27</f>
        <v>Mohamed Sanu</v>
      </c>
    </row>
    <row r="184" spans="3:3" x14ac:dyDescent="0.2">
      <c r="C184" s="34" t="str">
        <f>+G$28</f>
        <v>Courtland Sutton</v>
      </c>
    </row>
    <row r="185" spans="3:3" x14ac:dyDescent="0.2">
      <c r="C185" s="34" t="str">
        <f>+G$29</f>
        <v>Michael Thomas</v>
      </c>
    </row>
    <row r="186" spans="3:3" x14ac:dyDescent="0.2">
      <c r="C186" s="34" t="str">
        <f>+G$30</f>
        <v>Mike Gesicki</v>
      </c>
    </row>
    <row r="187" spans="3:3" x14ac:dyDescent="0.2">
      <c r="C187" s="34" t="str">
        <f>+G$31</f>
        <v>Zach Ertz</v>
      </c>
    </row>
    <row r="188" spans="3:3" x14ac:dyDescent="0.2">
      <c r="C188" s="34" t="str">
        <f>+G$32</f>
        <v>Nick Folk</v>
      </c>
    </row>
    <row r="189" spans="3:3" x14ac:dyDescent="0.2">
      <c r="C189" s="34" t="str">
        <f>+G$33</f>
        <v>Wil Lutz</v>
      </c>
    </row>
    <row r="190" spans="3:3" x14ac:dyDescent="0.2">
      <c r="C190" s="34" t="str">
        <f>+G$34</f>
        <v>Minnesota Vikings</v>
      </c>
    </row>
    <row r="191" spans="3:3" x14ac:dyDescent="0.2">
      <c r="C191" s="34" t="str">
        <f>+G$35</f>
        <v>Buffalo Bills</v>
      </c>
    </row>
    <row r="192" spans="3:3" x14ac:dyDescent="0.2">
      <c r="C192" s="51" t="str">
        <f>+I$22</f>
        <v>Matt Ryan</v>
      </c>
    </row>
    <row r="193" spans="3:3" x14ac:dyDescent="0.2">
      <c r="C193" s="34" t="str">
        <f>+I$23</f>
        <v>Baker Mayfield</v>
      </c>
    </row>
    <row r="194" spans="3:3" x14ac:dyDescent="0.2">
      <c r="C194" s="34" t="str">
        <f>+I$24</f>
        <v>Joe Mixon</v>
      </c>
    </row>
    <row r="195" spans="3:3" x14ac:dyDescent="0.2">
      <c r="C195" s="34" t="str">
        <f>+I$25</f>
        <v>Alvin Kamara</v>
      </c>
    </row>
    <row r="196" spans="3:3" x14ac:dyDescent="0.2">
      <c r="C196" s="34" t="str">
        <f>+I$26</f>
        <v>Miles Sanders</v>
      </c>
    </row>
    <row r="197" spans="3:3" x14ac:dyDescent="0.2">
      <c r="C197" s="34" t="str">
        <f>+I$27</f>
        <v>DeVante Parker</v>
      </c>
    </row>
    <row r="198" spans="3:3" x14ac:dyDescent="0.2">
      <c r="C198" s="34" t="str">
        <f>+I$28</f>
        <v>Tyrell Williams</v>
      </c>
    </row>
    <row r="199" spans="3:3" x14ac:dyDescent="0.2">
      <c r="C199" s="34" t="str">
        <f>+I$29</f>
        <v>Cooper Kupp</v>
      </c>
    </row>
    <row r="200" spans="3:3" x14ac:dyDescent="0.2">
      <c r="C200" s="34" t="str">
        <f>+I$30</f>
        <v>Jacob Hollister</v>
      </c>
    </row>
    <row r="201" spans="3:3" x14ac:dyDescent="0.2">
      <c r="C201" s="34" t="str">
        <f>+I$31</f>
        <v>Ryan Griffin</v>
      </c>
    </row>
    <row r="202" spans="3:3" x14ac:dyDescent="0.2">
      <c r="C202" s="34" t="str">
        <f>+I$32</f>
        <v>Chicago Bears</v>
      </c>
    </row>
    <row r="203" spans="3:3" x14ac:dyDescent="0.2">
      <c r="C203" s="34" t="str">
        <f>+I$33</f>
        <v>Atlanta Falcons</v>
      </c>
    </row>
    <row r="204" spans="3:3" x14ac:dyDescent="0.2">
      <c r="C204" s="34" t="str">
        <f>+I$34</f>
        <v>Jake Elliott</v>
      </c>
    </row>
    <row r="205" spans="3:3" x14ac:dyDescent="0.2">
      <c r="C205" s="34" t="str">
        <f>+I$35</f>
        <v>Joey Slye</v>
      </c>
    </row>
    <row r="206" spans="3:3" x14ac:dyDescent="0.2">
      <c r="C206" s="51" t="str">
        <f>+K$22</f>
        <v>Nick Foles</v>
      </c>
    </row>
    <row r="207" spans="3:3" x14ac:dyDescent="0.2">
      <c r="C207" s="34" t="str">
        <f>+K$23</f>
        <v>Aaron Rodgers</v>
      </c>
    </row>
    <row r="208" spans="3:3" x14ac:dyDescent="0.2">
      <c r="C208" s="34" t="str">
        <f>+K$24</f>
        <v>Jonathan Williams</v>
      </c>
    </row>
    <row r="209" spans="3:3" x14ac:dyDescent="0.2">
      <c r="C209" s="34" t="str">
        <f>+K$25</f>
        <v>Kenyan Drake</v>
      </c>
    </row>
    <row r="210" spans="3:3" x14ac:dyDescent="0.2">
      <c r="C210" s="34" t="str">
        <f>+K$26</f>
        <v>Ezekiel Elliott</v>
      </c>
    </row>
    <row r="211" spans="3:3" x14ac:dyDescent="0.2">
      <c r="C211" s="34" t="str">
        <f>+K$27</f>
        <v>Deebo Samuel</v>
      </c>
    </row>
    <row r="212" spans="3:3" x14ac:dyDescent="0.2">
      <c r="C212" s="34" t="str">
        <f>+K$28</f>
        <v>Michael Gallup</v>
      </c>
    </row>
    <row r="213" spans="3:3" x14ac:dyDescent="0.2">
      <c r="C213" s="34" t="str">
        <f>+K$29</f>
        <v>Jarvis Landry</v>
      </c>
    </row>
    <row r="214" spans="3:3" x14ac:dyDescent="0.2">
      <c r="C214" s="34" t="str">
        <f>+K$30</f>
        <v>Travis Kelce</v>
      </c>
    </row>
    <row r="215" spans="3:3" x14ac:dyDescent="0.2">
      <c r="C215" s="34" t="str">
        <f>+K$31</f>
        <v>Vance McDonald</v>
      </c>
    </row>
    <row r="216" spans="3:3" x14ac:dyDescent="0.2">
      <c r="C216" s="34" t="str">
        <f>+K$32</f>
        <v>Sam Ficken</v>
      </c>
    </row>
    <row r="217" spans="3:3" x14ac:dyDescent="0.2">
      <c r="C217" s="34" t="str">
        <f>+K$33</f>
        <v>Harrison Butker</v>
      </c>
    </row>
    <row r="218" spans="3:3" x14ac:dyDescent="0.2">
      <c r="C218" s="34" t="str">
        <f>+K$34</f>
        <v>Los Angeles Chargers</v>
      </c>
    </row>
    <row r="219" spans="3:3" x14ac:dyDescent="0.2">
      <c r="C219" s="34" t="str">
        <f>+K$35</f>
        <v>Green Bay Packers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72B0-BBB2-4DC6-9951-4862772E3CD9}">
  <dimension ref="B2:T261"/>
  <sheetViews>
    <sheetView showGridLines="0" workbookViewId="0">
      <selection activeCell="O27" sqref="O27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900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128</v>
      </c>
      <c r="D5" s="38"/>
      <c r="E5" s="37" t="s">
        <v>107</v>
      </c>
      <c r="F5" s="38"/>
      <c r="G5" s="37" t="s">
        <v>531</v>
      </c>
      <c r="H5" s="38"/>
      <c r="I5" s="37" t="s">
        <v>297</v>
      </c>
      <c r="J5" s="38"/>
      <c r="K5" s="37" t="s">
        <v>409</v>
      </c>
      <c r="L5" s="38"/>
      <c r="M5" s="37" t="s">
        <v>248</v>
      </c>
      <c r="N5" s="38"/>
      <c r="O5" s="37" t="s">
        <v>211</v>
      </c>
      <c r="P5" s="38"/>
      <c r="Q5" s="37" t="s">
        <v>537</v>
      </c>
      <c r="R5" s="38"/>
      <c r="S5" s="39"/>
    </row>
    <row r="6" spans="2:19" x14ac:dyDescent="0.2">
      <c r="B6" s="40" t="s">
        <v>881</v>
      </c>
      <c r="C6" s="41" t="s">
        <v>170</v>
      </c>
      <c r="D6" s="42"/>
      <c r="E6" s="41" t="s">
        <v>150</v>
      </c>
      <c r="F6" s="42"/>
      <c r="G6" s="41" t="s">
        <v>209</v>
      </c>
      <c r="H6" s="42"/>
      <c r="I6" s="41" t="s">
        <v>733</v>
      </c>
      <c r="J6" s="42"/>
      <c r="K6" s="41" t="s">
        <v>192</v>
      </c>
      <c r="L6" s="42"/>
      <c r="M6" s="41" t="s">
        <v>525</v>
      </c>
      <c r="N6" s="42"/>
      <c r="O6" s="41" t="s">
        <v>197</v>
      </c>
      <c r="P6" s="42"/>
      <c r="Q6" s="41" t="s">
        <v>766</v>
      </c>
      <c r="R6" s="42"/>
      <c r="S6" s="39"/>
    </row>
    <row r="7" spans="2:19" x14ac:dyDescent="0.2">
      <c r="B7" s="40" t="s">
        <v>882</v>
      </c>
      <c r="C7" s="41" t="s">
        <v>12</v>
      </c>
      <c r="D7" s="42"/>
      <c r="E7" s="41" t="s">
        <v>184</v>
      </c>
      <c r="F7" s="42"/>
      <c r="G7" s="41" t="s">
        <v>183</v>
      </c>
      <c r="H7" s="42"/>
      <c r="I7" s="41" t="s">
        <v>571</v>
      </c>
      <c r="J7" s="42"/>
      <c r="K7" s="41" t="s">
        <v>563</v>
      </c>
      <c r="L7" s="42"/>
      <c r="M7" s="41" t="s">
        <v>560</v>
      </c>
      <c r="N7" s="42"/>
      <c r="O7" s="41" t="s">
        <v>193</v>
      </c>
      <c r="P7" s="42"/>
      <c r="Q7" s="41" t="s">
        <v>757</v>
      </c>
      <c r="R7" s="42"/>
      <c r="S7" s="39"/>
    </row>
    <row r="8" spans="2:19" x14ac:dyDescent="0.2">
      <c r="B8" s="40" t="s">
        <v>883</v>
      </c>
      <c r="C8" s="41" t="s">
        <v>274</v>
      </c>
      <c r="D8" s="42"/>
      <c r="E8" s="41" t="s">
        <v>346</v>
      </c>
      <c r="F8" s="42"/>
      <c r="G8" s="41" t="s">
        <v>539</v>
      </c>
      <c r="H8" s="42"/>
      <c r="I8" s="41" t="s">
        <v>266</v>
      </c>
      <c r="J8" s="42"/>
      <c r="K8" s="41" t="s">
        <v>131</v>
      </c>
      <c r="L8" s="42"/>
      <c r="M8" s="41" t="s">
        <v>576</v>
      </c>
      <c r="N8" s="42"/>
      <c r="O8" s="41" t="s">
        <v>405</v>
      </c>
      <c r="P8" s="42"/>
      <c r="Q8" s="41" t="s">
        <v>310</v>
      </c>
      <c r="R8" s="42"/>
      <c r="S8" s="39"/>
    </row>
    <row r="9" spans="2:19" x14ac:dyDescent="0.2">
      <c r="B9" s="40" t="s">
        <v>884</v>
      </c>
      <c r="C9" s="41" t="s">
        <v>542</v>
      </c>
      <c r="D9" s="42"/>
      <c r="E9" s="41" t="s">
        <v>92</v>
      </c>
      <c r="F9" s="42"/>
      <c r="G9" s="41" t="s">
        <v>286</v>
      </c>
      <c r="H9" s="42"/>
      <c r="I9" s="41" t="s">
        <v>151</v>
      </c>
      <c r="J9" s="42"/>
      <c r="K9" s="41" t="s">
        <v>265</v>
      </c>
      <c r="L9" s="42"/>
      <c r="M9" s="41" t="s">
        <v>532</v>
      </c>
      <c r="N9" s="42"/>
      <c r="O9" s="41" t="s">
        <v>702</v>
      </c>
      <c r="P9" s="42"/>
      <c r="Q9" s="41" t="s">
        <v>258</v>
      </c>
      <c r="R9" s="42"/>
      <c r="S9" s="39"/>
    </row>
    <row r="10" spans="2:19" x14ac:dyDescent="0.2">
      <c r="B10" s="40" t="s">
        <v>885</v>
      </c>
      <c r="C10" s="41" t="s">
        <v>242</v>
      </c>
      <c r="D10" s="42"/>
      <c r="E10" s="41" t="s">
        <v>714</v>
      </c>
      <c r="F10" s="42"/>
      <c r="G10" s="41" t="s">
        <v>712</v>
      </c>
      <c r="H10" s="42"/>
      <c r="I10" s="41" t="s">
        <v>722</v>
      </c>
      <c r="J10" s="42"/>
      <c r="K10" s="41" t="s">
        <v>328</v>
      </c>
      <c r="L10" s="42"/>
      <c r="M10" s="41" t="s">
        <v>229</v>
      </c>
      <c r="N10" s="42"/>
      <c r="O10" s="41" t="s">
        <v>389</v>
      </c>
      <c r="P10" s="42"/>
      <c r="Q10" s="41" t="s">
        <v>538</v>
      </c>
      <c r="R10" s="42"/>
      <c r="S10" s="39"/>
    </row>
    <row r="11" spans="2:19" x14ac:dyDescent="0.2">
      <c r="B11" s="40" t="s">
        <v>886</v>
      </c>
      <c r="C11" s="41" t="s">
        <v>302</v>
      </c>
      <c r="D11" s="42"/>
      <c r="E11" s="41" t="s">
        <v>215</v>
      </c>
      <c r="F11" s="42"/>
      <c r="G11" s="41" t="s">
        <v>254</v>
      </c>
      <c r="H11" s="42"/>
      <c r="I11" s="41" t="s">
        <v>551</v>
      </c>
      <c r="J11" s="42"/>
      <c r="K11" s="41" t="s">
        <v>98</v>
      </c>
      <c r="L11" s="42"/>
      <c r="M11" s="41" t="s">
        <v>244</v>
      </c>
      <c r="N11" s="42"/>
      <c r="O11" s="41" t="s">
        <v>186</v>
      </c>
      <c r="P11" s="42"/>
      <c r="Q11" s="41" t="s">
        <v>536</v>
      </c>
      <c r="R11" s="42"/>
      <c r="S11" s="39"/>
    </row>
    <row r="12" spans="2:19" x14ac:dyDescent="0.2">
      <c r="B12" s="40" t="s">
        <v>887</v>
      </c>
      <c r="C12" s="41" t="s">
        <v>341</v>
      </c>
      <c r="D12" s="42"/>
      <c r="E12" s="41" t="s">
        <v>543</v>
      </c>
      <c r="F12" s="42"/>
      <c r="G12" s="41" t="s">
        <v>372</v>
      </c>
      <c r="H12" s="42"/>
      <c r="I12" s="41" t="s">
        <v>376</v>
      </c>
      <c r="J12" s="42"/>
      <c r="K12" s="41" t="s">
        <v>224</v>
      </c>
      <c r="L12" s="42"/>
      <c r="M12" s="41" t="s">
        <v>224</v>
      </c>
      <c r="N12" s="42"/>
      <c r="O12" s="41" t="s">
        <v>146</v>
      </c>
      <c r="P12" s="42"/>
      <c r="Q12" s="41" t="s">
        <v>284</v>
      </c>
      <c r="R12" s="42"/>
      <c r="S12" s="39"/>
    </row>
    <row r="13" spans="2:19" x14ac:dyDescent="0.2">
      <c r="B13" s="40" t="s">
        <v>888</v>
      </c>
      <c r="C13" s="41" t="s">
        <v>57</v>
      </c>
      <c r="D13" s="42"/>
      <c r="E13" s="41" t="s">
        <v>375</v>
      </c>
      <c r="F13" s="42"/>
      <c r="G13" s="41" t="s">
        <v>199</v>
      </c>
      <c r="H13" s="42"/>
      <c r="I13" s="41" t="s">
        <v>601</v>
      </c>
      <c r="J13" s="42"/>
      <c r="K13" s="41" t="s">
        <v>190</v>
      </c>
      <c r="L13" s="42"/>
      <c r="M13" s="41" t="s">
        <v>113</v>
      </c>
      <c r="N13" s="42"/>
      <c r="O13" s="41" t="s">
        <v>147</v>
      </c>
      <c r="P13" s="42"/>
      <c r="Q13" s="41" t="s">
        <v>710</v>
      </c>
      <c r="R13" s="42"/>
      <c r="S13" s="39"/>
    </row>
    <row r="14" spans="2:19" x14ac:dyDescent="0.2">
      <c r="B14" s="40" t="s">
        <v>889</v>
      </c>
      <c r="C14" s="41" t="s">
        <v>556</v>
      </c>
      <c r="D14" s="42"/>
      <c r="E14" s="41" t="s">
        <v>291</v>
      </c>
      <c r="F14" s="42"/>
      <c r="G14" s="41" t="s">
        <v>51</v>
      </c>
      <c r="H14" s="42"/>
      <c r="I14" s="41" t="s">
        <v>592</v>
      </c>
      <c r="J14" s="42"/>
      <c r="K14" s="41" t="s">
        <v>715</v>
      </c>
      <c r="L14" s="42"/>
      <c r="M14" s="41" t="s">
        <v>72</v>
      </c>
      <c r="N14" s="42"/>
      <c r="O14" s="41" t="s">
        <v>734</v>
      </c>
      <c r="P14" s="42"/>
      <c r="Q14" s="41" t="s">
        <v>114</v>
      </c>
      <c r="R14" s="42"/>
      <c r="S14" s="39"/>
    </row>
    <row r="15" spans="2:19" x14ac:dyDescent="0.2">
      <c r="B15" s="40" t="s">
        <v>890</v>
      </c>
      <c r="C15" s="41" t="s">
        <v>784</v>
      </c>
      <c r="D15" s="42"/>
      <c r="E15" s="41" t="s">
        <v>797</v>
      </c>
      <c r="F15" s="42"/>
      <c r="G15" s="41" t="s">
        <v>790</v>
      </c>
      <c r="H15" s="42"/>
      <c r="I15" s="41" t="s">
        <v>808</v>
      </c>
      <c r="J15" s="42"/>
      <c r="K15" s="41" t="s">
        <v>788</v>
      </c>
      <c r="L15" s="42"/>
      <c r="M15" s="41" t="s">
        <v>813</v>
      </c>
      <c r="N15" s="42"/>
      <c r="O15" s="41" t="s">
        <v>781</v>
      </c>
      <c r="P15" s="42"/>
      <c r="Q15" s="41" t="s">
        <v>792</v>
      </c>
      <c r="R15" s="42"/>
      <c r="S15" s="39"/>
    </row>
    <row r="16" spans="2:19" x14ac:dyDescent="0.2">
      <c r="B16" s="40" t="s">
        <v>891</v>
      </c>
      <c r="C16" s="41" t="s">
        <v>807</v>
      </c>
      <c r="D16" s="42"/>
      <c r="E16" s="41" t="s">
        <v>804</v>
      </c>
      <c r="F16" s="42"/>
      <c r="G16" s="41" t="s">
        <v>809</v>
      </c>
      <c r="H16" s="42"/>
      <c r="I16" s="41" t="s">
        <v>794</v>
      </c>
      <c r="J16" s="42"/>
      <c r="K16" s="41" t="s">
        <v>812</v>
      </c>
      <c r="L16" s="42"/>
      <c r="M16" s="41" t="s">
        <v>800</v>
      </c>
      <c r="N16" s="42"/>
      <c r="O16" s="41" t="s">
        <v>803</v>
      </c>
      <c r="P16" s="42"/>
      <c r="Q16" s="41" t="s">
        <v>795</v>
      </c>
      <c r="R16" s="42"/>
      <c r="S16" s="39"/>
    </row>
    <row r="17" spans="2:20" x14ac:dyDescent="0.2">
      <c r="B17" s="40" t="s">
        <v>892</v>
      </c>
      <c r="C17" s="41" t="s">
        <v>814</v>
      </c>
      <c r="D17" s="42"/>
      <c r="E17" s="41" t="s">
        <v>835</v>
      </c>
      <c r="F17" s="42"/>
      <c r="G17" s="41" t="s">
        <v>832</v>
      </c>
      <c r="H17" s="42"/>
      <c r="I17" s="41" t="s">
        <v>819</v>
      </c>
      <c r="J17" s="42"/>
      <c r="K17" s="41" t="s">
        <v>857</v>
      </c>
      <c r="L17" s="42"/>
      <c r="M17" s="41" t="s">
        <v>844</v>
      </c>
      <c r="N17" s="42"/>
      <c r="O17" s="41" t="s">
        <v>850</v>
      </c>
      <c r="P17" s="42"/>
      <c r="Q17" s="41" t="s">
        <v>816</v>
      </c>
      <c r="R17" s="42"/>
      <c r="S17" s="39"/>
    </row>
    <row r="18" spans="2:20" x14ac:dyDescent="0.2">
      <c r="B18" s="43" t="s">
        <v>893</v>
      </c>
      <c r="C18" s="44" t="s">
        <v>834</v>
      </c>
      <c r="D18" s="45"/>
      <c r="E18" s="44" t="s">
        <v>853</v>
      </c>
      <c r="F18" s="45"/>
      <c r="G18" s="44" t="s">
        <v>826</v>
      </c>
      <c r="H18" s="45"/>
      <c r="I18" s="44" t="s">
        <v>847</v>
      </c>
      <c r="J18" s="45"/>
      <c r="K18" s="44" t="s">
        <v>828</v>
      </c>
      <c r="L18" s="45"/>
      <c r="M18" s="44" t="s">
        <v>840</v>
      </c>
      <c r="N18" s="45"/>
      <c r="O18" s="44" t="s">
        <v>842</v>
      </c>
      <c r="P18" s="45"/>
      <c r="Q18" s="44" t="s">
        <v>821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534</v>
      </c>
      <c r="D22" s="38"/>
      <c r="E22" s="37" t="s">
        <v>194</v>
      </c>
      <c r="F22" s="38"/>
      <c r="G22" s="37" t="s">
        <v>594</v>
      </c>
      <c r="H22" s="38"/>
      <c r="I22" s="37" t="s">
        <v>330</v>
      </c>
      <c r="J22" s="38"/>
      <c r="K22" s="37" t="s">
        <v>89</v>
      </c>
      <c r="L22" s="38"/>
      <c r="M22" s="87" t="s">
        <v>530</v>
      </c>
      <c r="N22" s="38"/>
      <c r="O22" s="87" t="s">
        <v>315</v>
      </c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343</v>
      </c>
      <c r="D23" s="42"/>
      <c r="E23" s="41" t="s">
        <v>361</v>
      </c>
      <c r="F23" s="42"/>
      <c r="G23" s="41" t="s">
        <v>138</v>
      </c>
      <c r="H23" s="42"/>
      <c r="I23" s="41" t="s">
        <v>294</v>
      </c>
      <c r="J23" s="42"/>
      <c r="K23" s="41" t="s">
        <v>334</v>
      </c>
      <c r="L23" s="42"/>
      <c r="M23" s="87" t="s">
        <v>155</v>
      </c>
      <c r="N23" s="42"/>
      <c r="O23" s="87" t="s">
        <v>709</v>
      </c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217</v>
      </c>
      <c r="D24" s="42"/>
      <c r="E24" s="41" t="s">
        <v>623</v>
      </c>
      <c r="F24" s="42"/>
      <c r="G24" s="41" t="s">
        <v>34</v>
      </c>
      <c r="H24" s="42"/>
      <c r="I24" s="41" t="s">
        <v>267</v>
      </c>
      <c r="J24" s="42"/>
      <c r="K24" s="41" t="s">
        <v>99</v>
      </c>
      <c r="L24" s="42"/>
      <c r="M24" s="87" t="s">
        <v>533</v>
      </c>
      <c r="N24" s="42"/>
      <c r="O24" s="21" t="s">
        <v>510</v>
      </c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548</v>
      </c>
      <c r="D25" s="42"/>
      <c r="E25" s="41" t="s">
        <v>704</v>
      </c>
      <c r="F25" s="42"/>
      <c r="G25" s="41" t="s">
        <v>717</v>
      </c>
      <c r="H25" s="42"/>
      <c r="I25" s="41" t="s">
        <v>705</v>
      </c>
      <c r="J25" s="42"/>
      <c r="K25" s="41" t="s">
        <v>182</v>
      </c>
      <c r="L25" s="42"/>
      <c r="M25" s="87" t="s">
        <v>160</v>
      </c>
      <c r="N25" s="42"/>
      <c r="O25" s="21" t="s">
        <v>529</v>
      </c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298</v>
      </c>
      <c r="D26" s="42"/>
      <c r="E26" s="41" t="s">
        <v>589</v>
      </c>
      <c r="F26" s="42"/>
      <c r="G26" s="41" t="s">
        <v>275</v>
      </c>
      <c r="H26" s="42"/>
      <c r="I26" s="41" t="s">
        <v>408</v>
      </c>
      <c r="J26" s="42"/>
      <c r="K26" s="41" t="s">
        <v>623</v>
      </c>
      <c r="L26" s="42"/>
      <c r="M26" s="87" t="s">
        <v>195</v>
      </c>
      <c r="N26" s="42"/>
      <c r="O26" s="87" t="s">
        <v>214</v>
      </c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708</v>
      </c>
      <c r="D27" s="42"/>
      <c r="E27" s="41" t="s">
        <v>196</v>
      </c>
      <c r="F27" s="42"/>
      <c r="G27" s="41" t="s">
        <v>614</v>
      </c>
      <c r="H27" s="42"/>
      <c r="I27" s="41" t="s">
        <v>332</v>
      </c>
      <c r="J27" s="42"/>
      <c r="K27" s="41" t="s">
        <v>135</v>
      </c>
      <c r="L27" s="42"/>
      <c r="M27" s="87" t="s">
        <v>141</v>
      </c>
      <c r="N27" s="42"/>
      <c r="O27" s="21" t="s">
        <v>300</v>
      </c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614</v>
      </c>
      <c r="D28" s="42"/>
      <c r="E28" s="41" t="s">
        <v>367</v>
      </c>
      <c r="F28" s="42"/>
      <c r="G28" s="41" t="s">
        <v>24</v>
      </c>
      <c r="H28" s="42"/>
      <c r="I28" s="41" t="s">
        <v>501</v>
      </c>
      <c r="J28" s="42"/>
      <c r="K28" s="41" t="s">
        <v>374</v>
      </c>
      <c r="L28" s="42"/>
      <c r="M28" s="87" t="s">
        <v>198</v>
      </c>
      <c r="N28" s="42"/>
      <c r="O28" s="21" t="s">
        <v>933</v>
      </c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243</v>
      </c>
      <c r="D29" s="42"/>
      <c r="E29" s="41" t="s">
        <v>176</v>
      </c>
      <c r="F29" s="42"/>
      <c r="G29" s="41" t="s">
        <v>240</v>
      </c>
      <c r="H29" s="42"/>
      <c r="I29" s="41" t="s">
        <v>545</v>
      </c>
      <c r="J29" s="42"/>
      <c r="K29" s="41" t="s">
        <v>713</v>
      </c>
      <c r="L29" s="42"/>
      <c r="M29" s="87" t="s">
        <v>934</v>
      </c>
      <c r="N29" s="42"/>
      <c r="O29" s="87" t="s">
        <v>359</v>
      </c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125</v>
      </c>
      <c r="D30" s="42"/>
      <c r="E30" s="41" t="s">
        <v>249</v>
      </c>
      <c r="F30" s="42"/>
      <c r="G30" s="41" t="s">
        <v>187</v>
      </c>
      <c r="H30" s="42"/>
      <c r="I30" s="41" t="s">
        <v>633</v>
      </c>
      <c r="J30" s="42"/>
      <c r="K30" s="41" t="s">
        <v>467</v>
      </c>
      <c r="L30" s="42"/>
      <c r="M30" s="87" t="s">
        <v>608</v>
      </c>
      <c r="N30" s="42"/>
      <c r="O30" s="87" t="s">
        <v>110</v>
      </c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566</v>
      </c>
      <c r="D31" s="42"/>
      <c r="E31" s="41" t="s">
        <v>46</v>
      </c>
      <c r="F31" s="42"/>
      <c r="G31" s="41" t="s">
        <v>331</v>
      </c>
      <c r="H31" s="42"/>
      <c r="I31" s="41" t="s">
        <v>82</v>
      </c>
      <c r="J31" s="42"/>
      <c r="K31" s="41" t="s">
        <v>445</v>
      </c>
      <c r="L31" s="42"/>
      <c r="M31" s="87" t="s">
        <v>13</v>
      </c>
      <c r="N31" s="42"/>
      <c r="O31" s="21" t="s">
        <v>574</v>
      </c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810</v>
      </c>
      <c r="D32" s="42"/>
      <c r="E32" s="41" t="s">
        <v>789</v>
      </c>
      <c r="F32" s="42"/>
      <c r="G32" s="41" t="s">
        <v>854</v>
      </c>
      <c r="H32" s="42"/>
      <c r="I32" s="41" t="s">
        <v>785</v>
      </c>
      <c r="J32" s="42"/>
      <c r="K32" s="41" t="s">
        <v>856</v>
      </c>
      <c r="L32" s="42"/>
      <c r="M32" s="87" t="s">
        <v>924</v>
      </c>
      <c r="N32" s="42"/>
      <c r="O32" s="21" t="s">
        <v>921</v>
      </c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805</v>
      </c>
      <c r="D33" s="42"/>
      <c r="E33" s="41" t="s">
        <v>806</v>
      </c>
      <c r="F33" s="42"/>
      <c r="G33" s="41" t="s">
        <v>829</v>
      </c>
      <c r="H33" s="42"/>
      <c r="I33" s="41" t="s">
        <v>783</v>
      </c>
      <c r="J33" s="42"/>
      <c r="K33" s="41" t="s">
        <v>841</v>
      </c>
      <c r="L33" s="42"/>
      <c r="M33" s="87" t="s">
        <v>851</v>
      </c>
      <c r="N33" s="42"/>
      <c r="O33" s="87" t="s">
        <v>859</v>
      </c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849</v>
      </c>
      <c r="D34" s="42"/>
      <c r="E34" s="41" t="s">
        <v>831</v>
      </c>
      <c r="F34" s="42"/>
      <c r="G34" s="41" t="s">
        <v>801</v>
      </c>
      <c r="H34" s="42"/>
      <c r="I34" s="41" t="s">
        <v>848</v>
      </c>
      <c r="J34" s="42"/>
      <c r="K34" s="41" t="s">
        <v>787</v>
      </c>
      <c r="L34" s="42"/>
      <c r="M34" s="87" t="s">
        <v>793</v>
      </c>
      <c r="N34" s="42"/>
      <c r="O34" s="87" t="s">
        <v>802</v>
      </c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824</v>
      </c>
      <c r="D35" s="45"/>
      <c r="E35" s="44" t="s">
        <v>855</v>
      </c>
      <c r="F35" s="45"/>
      <c r="G35" s="44" t="s">
        <v>791</v>
      </c>
      <c r="H35" s="45"/>
      <c r="I35" s="44" t="s">
        <v>827</v>
      </c>
      <c r="J35" s="45"/>
      <c r="K35" s="44" t="s">
        <v>798</v>
      </c>
      <c r="L35" s="45"/>
      <c r="M35" s="87" t="s">
        <v>811</v>
      </c>
      <c r="N35" s="45"/>
      <c r="O35" s="87" t="s">
        <v>799</v>
      </c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Carson Wentz</v>
      </c>
      <c r="G38" s="87"/>
    </row>
    <row r="39" spans="2:20" x14ac:dyDescent="0.2">
      <c r="C39" s="34" t="str">
        <f>+C$6</f>
        <v>Drew Brees</v>
      </c>
      <c r="G39" s="87"/>
    </row>
    <row r="40" spans="2:20" x14ac:dyDescent="0.2">
      <c r="C40" s="34" t="str">
        <f>+C$7</f>
        <v>Austin Ekeler</v>
      </c>
      <c r="G40" s="87"/>
    </row>
    <row r="41" spans="2:20" x14ac:dyDescent="0.2">
      <c r="C41" s="34" t="str">
        <f>+C$8</f>
        <v>Mark Ingram</v>
      </c>
      <c r="G41" s="87"/>
    </row>
    <row r="42" spans="2:20" x14ac:dyDescent="0.2">
      <c r="C42" s="34" t="str">
        <f>+C$9</f>
        <v>Kerryon Johnson</v>
      </c>
      <c r="G42" s="87"/>
    </row>
    <row r="43" spans="2:20" x14ac:dyDescent="0.2">
      <c r="C43" s="34" t="str">
        <f>+C$10</f>
        <v>Kenny Golladay</v>
      </c>
      <c r="G43" s="87"/>
    </row>
    <row r="44" spans="2:20" x14ac:dyDescent="0.2">
      <c r="C44" s="34" t="str">
        <f>+C$11</f>
        <v>Mike Evans</v>
      </c>
      <c r="G44" s="87"/>
    </row>
    <row r="45" spans="2:20" x14ac:dyDescent="0.2">
      <c r="C45" s="34" t="str">
        <f>+C$12</f>
        <v>Tyler Lockett</v>
      </c>
      <c r="G45" s="87"/>
    </row>
    <row r="46" spans="2:20" x14ac:dyDescent="0.2">
      <c r="C46" s="34" t="str">
        <f>+C$13</f>
        <v>Jared Cook</v>
      </c>
      <c r="G46" s="87"/>
    </row>
    <row r="47" spans="2:20" x14ac:dyDescent="0.2">
      <c r="C47" s="34" t="str">
        <f>+C$14</f>
        <v>Mark Andrews</v>
      </c>
      <c r="G47" s="87"/>
    </row>
    <row r="48" spans="2:20" x14ac:dyDescent="0.2">
      <c r="C48" s="34" t="str">
        <f>+C$15</f>
        <v>Baltimore Ravens</v>
      </c>
      <c r="G48" s="87"/>
    </row>
    <row r="49" spans="3:7" x14ac:dyDescent="0.2">
      <c r="C49" s="34" t="str">
        <f>+C$16</f>
        <v>Philadelphia Eagles</v>
      </c>
      <c r="G49" s="87"/>
    </row>
    <row r="50" spans="3:7" x14ac:dyDescent="0.2">
      <c r="C50" s="34" t="str">
        <f>+C$17</f>
        <v>Mike Badgley</v>
      </c>
      <c r="G50" s="87"/>
    </row>
    <row r="51" spans="3:7" x14ac:dyDescent="0.2">
      <c r="C51" s="34" t="str">
        <f>+C$18</f>
        <v>Robbie Gould</v>
      </c>
      <c r="G51" s="87"/>
    </row>
    <row r="52" spans="3:7" x14ac:dyDescent="0.2">
      <c r="C52" s="51" t="str">
        <f>+E$5</f>
        <v>Ben Roethlisberger</v>
      </c>
    </row>
    <row r="53" spans="3:7" x14ac:dyDescent="0.2">
      <c r="C53" s="34" t="str">
        <f>+E$6</f>
        <v>Derek Carr</v>
      </c>
    </row>
    <row r="54" spans="3:7" x14ac:dyDescent="0.2">
      <c r="C54" s="34" t="str">
        <f>+E$7</f>
        <v>Giovani Bernard</v>
      </c>
    </row>
    <row r="55" spans="3:7" x14ac:dyDescent="0.2">
      <c r="C55" s="34" t="str">
        <f>+E$8</f>
        <v>Rex Burkhead</v>
      </c>
    </row>
    <row r="56" spans="3:7" x14ac:dyDescent="0.2">
      <c r="C56" s="34" t="str">
        <f>+E$9</f>
        <v>Adrian Peterson</v>
      </c>
    </row>
    <row r="57" spans="3:7" x14ac:dyDescent="0.2">
      <c r="C57" s="34" t="str">
        <f>+E$10</f>
        <v>Mecole Hardman</v>
      </c>
    </row>
    <row r="58" spans="3:7" x14ac:dyDescent="0.2">
      <c r="C58" s="34" t="str">
        <f>+E$11</f>
        <v>John Brown</v>
      </c>
    </row>
    <row r="59" spans="3:7" x14ac:dyDescent="0.2">
      <c r="C59" s="34" t="str">
        <f>+E$12</f>
        <v>D.J. Moore</v>
      </c>
    </row>
    <row r="60" spans="3:7" x14ac:dyDescent="0.2">
      <c r="C60" s="34" t="str">
        <f>+E$13</f>
        <v>Vernon Davis</v>
      </c>
    </row>
    <row r="61" spans="3:7" x14ac:dyDescent="0.2">
      <c r="C61" s="34" t="str">
        <f>+E$14</f>
        <v>C.J. Uzomah</v>
      </c>
    </row>
    <row r="62" spans="3:7" x14ac:dyDescent="0.2">
      <c r="C62" s="34" t="str">
        <f>+E$15</f>
        <v>Kansas City Chiefs</v>
      </c>
    </row>
    <row r="63" spans="3:7" x14ac:dyDescent="0.2">
      <c r="C63" s="34" t="str">
        <f>+E$16</f>
        <v>New York Giants</v>
      </c>
    </row>
    <row r="64" spans="3:7" x14ac:dyDescent="0.2">
      <c r="C64" s="34" t="str">
        <f>+E$17</f>
        <v>Steven Hauschka</v>
      </c>
    </row>
    <row r="65" spans="3:3" x14ac:dyDescent="0.2">
      <c r="C65" s="34" t="str">
        <f>+E$18</f>
        <v>Austin Seibert</v>
      </c>
    </row>
    <row r="66" spans="3:3" x14ac:dyDescent="0.2">
      <c r="C66" s="51" t="str">
        <f>+G$5</f>
        <v>Josh Allen</v>
      </c>
    </row>
    <row r="67" spans="3:3" x14ac:dyDescent="0.2">
      <c r="C67" s="34" t="str">
        <f>+G$6</f>
        <v>Jimmy Garoppolo</v>
      </c>
    </row>
    <row r="68" spans="3:3" x14ac:dyDescent="0.2">
      <c r="C68" s="34" t="str">
        <f>+G$7</f>
        <v>Frank Gore</v>
      </c>
    </row>
    <row r="69" spans="3:3" x14ac:dyDescent="0.2">
      <c r="C69" s="34" t="str">
        <f>+G$8</f>
        <v>Sony Michel</v>
      </c>
    </row>
    <row r="70" spans="3:3" x14ac:dyDescent="0.2">
      <c r="C70" s="34" t="str">
        <f>+G$9</f>
        <v>Matt Breida</v>
      </c>
    </row>
    <row r="71" spans="3:3" x14ac:dyDescent="0.2">
      <c r="C71" s="34" t="str">
        <f>+G$10</f>
        <v>Marquise Brown</v>
      </c>
    </row>
    <row r="72" spans="3:3" x14ac:dyDescent="0.2">
      <c r="C72" s="34" t="str">
        <f>+G$11</f>
        <v>Larry Fitzgerald</v>
      </c>
    </row>
    <row r="73" spans="3:3" x14ac:dyDescent="0.2">
      <c r="C73" s="34" t="str">
        <f>+G$12</f>
        <v>Sammy Watkins</v>
      </c>
    </row>
    <row r="74" spans="3:3" x14ac:dyDescent="0.2">
      <c r="C74" s="34" t="str">
        <f>+G$13</f>
        <v>Jason Witten</v>
      </c>
    </row>
    <row r="75" spans="3:3" x14ac:dyDescent="0.2">
      <c r="C75" s="34" t="str">
        <f>+G$14</f>
        <v>Greg Olsen</v>
      </c>
    </row>
    <row r="76" spans="3:3" x14ac:dyDescent="0.2">
      <c r="C76" s="34" t="str">
        <f>+G$15</f>
        <v>Dallas Cowboys</v>
      </c>
    </row>
    <row r="77" spans="3:3" x14ac:dyDescent="0.2">
      <c r="C77" s="34" t="str">
        <f>+G$16</f>
        <v>San Francisco 49ers</v>
      </c>
    </row>
    <row r="78" spans="3:3" x14ac:dyDescent="0.2">
      <c r="C78" s="34" t="str">
        <f>+G$17</f>
        <v>Zane Gonzalez</v>
      </c>
    </row>
    <row r="79" spans="3:3" x14ac:dyDescent="0.2">
      <c r="C79" s="34" t="str">
        <f>+G$18</f>
        <v>Mason Crosby</v>
      </c>
    </row>
    <row r="80" spans="3:3" x14ac:dyDescent="0.2">
      <c r="C80" s="51" t="str">
        <f>+I$5</f>
        <v>Matthew Stafford</v>
      </c>
    </row>
    <row r="81" spans="3:3" x14ac:dyDescent="0.2">
      <c r="C81" s="34" t="str">
        <f>+I$6</f>
        <v>Daniel Jones</v>
      </c>
    </row>
    <row r="82" spans="3:3" x14ac:dyDescent="0.2">
      <c r="C82" s="34" t="str">
        <f>+I$7</f>
        <v>Justin Jackson</v>
      </c>
    </row>
    <row r="83" spans="3:3" x14ac:dyDescent="0.2">
      <c r="C83" s="34" t="str">
        <f>+I$8</f>
        <v>LeSean McCoy</v>
      </c>
    </row>
    <row r="84" spans="3:3" x14ac:dyDescent="0.2">
      <c r="C84" s="34" t="str">
        <f>+I$9</f>
        <v>Derrick Henry</v>
      </c>
    </row>
    <row r="85" spans="3:3" x14ac:dyDescent="0.2">
      <c r="C85" s="34" t="str">
        <f>+I$10</f>
        <v>Terry McLaurin</v>
      </c>
    </row>
    <row r="86" spans="3:3" x14ac:dyDescent="0.2">
      <c r="C86" s="34" t="str">
        <f>+I$11</f>
        <v>Christian Kirk</v>
      </c>
    </row>
    <row r="87" spans="3:3" x14ac:dyDescent="0.2">
      <c r="C87" s="34" t="str">
        <f>+I$12</f>
        <v>Sterling Shepard</v>
      </c>
    </row>
    <row r="88" spans="3:3" x14ac:dyDescent="0.2">
      <c r="C88" s="34" t="str">
        <f>+I$13</f>
        <v>Jordan Akins</v>
      </c>
    </row>
    <row r="89" spans="3:3" x14ac:dyDescent="0.2">
      <c r="C89" s="34" t="str">
        <f>+I$14</f>
        <v>Will Dissly</v>
      </c>
    </row>
    <row r="90" spans="3:3" x14ac:dyDescent="0.2">
      <c r="C90" s="34" t="str">
        <f>+I$15</f>
        <v>Pittsburgh Steelers</v>
      </c>
    </row>
    <row r="91" spans="3:3" x14ac:dyDescent="0.2">
      <c r="C91" s="34" t="str">
        <f>+I$16</f>
        <v>Houston Texans</v>
      </c>
    </row>
    <row r="92" spans="3:3" x14ac:dyDescent="0.2">
      <c r="C92" s="34" t="str">
        <f>+I$17</f>
        <v>Chris Boswell</v>
      </c>
    </row>
    <row r="93" spans="3:3" x14ac:dyDescent="0.2">
      <c r="C93" s="34" t="str">
        <f>+I$18</f>
        <v>Jason Myers</v>
      </c>
    </row>
    <row r="94" spans="3:3" x14ac:dyDescent="0.2">
      <c r="C94" s="51" t="str">
        <f>+K$5</f>
        <v>Tom Brady</v>
      </c>
    </row>
    <row r="95" spans="3:3" x14ac:dyDescent="0.2">
      <c r="C95" s="34" t="str">
        <f>+K$6</f>
        <v>Jacoby Brissett</v>
      </c>
    </row>
    <row r="96" spans="3:3" x14ac:dyDescent="0.2">
      <c r="C96" s="34" t="str">
        <f>+K$7</f>
        <v>Jaylen Samuels</v>
      </c>
    </row>
    <row r="97" spans="3:3" x14ac:dyDescent="0.2">
      <c r="C97" s="34" t="str">
        <f>+K$8</f>
        <v>Chris Carson</v>
      </c>
    </row>
    <row r="98" spans="3:3" x14ac:dyDescent="0.2">
      <c r="C98" s="34" t="str">
        <f>+K$9</f>
        <v>Leonard Fournette</v>
      </c>
    </row>
    <row r="99" spans="3:3" x14ac:dyDescent="0.2">
      <c r="C99" s="34" t="str">
        <f>+K$10</f>
        <v>Tyler Boyd</v>
      </c>
    </row>
    <row r="100" spans="3:3" x14ac:dyDescent="0.2">
      <c r="C100" s="34" t="str">
        <f>+K$11</f>
        <v>Alshon Jeffery</v>
      </c>
    </row>
    <row r="101" spans="3:3" x14ac:dyDescent="0.2">
      <c r="C101" s="34" t="str">
        <f>+K$12</f>
        <v>Geronimo Allison</v>
      </c>
    </row>
    <row r="102" spans="3:3" x14ac:dyDescent="0.2">
      <c r="C102" s="34" t="str">
        <f>+K$13</f>
        <v>Jack Doyle</v>
      </c>
    </row>
    <row r="103" spans="3:3" x14ac:dyDescent="0.2">
      <c r="C103" s="34" t="str">
        <f>+K$14</f>
        <v>Noah Fant</v>
      </c>
    </row>
    <row r="104" spans="3:3" x14ac:dyDescent="0.2">
      <c r="C104" s="34" t="str">
        <f>+K$15</f>
        <v>Cincinnati Bengals</v>
      </c>
    </row>
    <row r="105" spans="3:3" x14ac:dyDescent="0.2">
      <c r="C105" s="34" t="str">
        <f>+K$16</f>
        <v>Tennessee Titans</v>
      </c>
    </row>
    <row r="106" spans="3:3" x14ac:dyDescent="0.2">
      <c r="C106" s="34" t="str">
        <f>+K$17</f>
        <v>Adam Vinatieri</v>
      </c>
    </row>
    <row r="107" spans="3:3" x14ac:dyDescent="0.2">
      <c r="C107" s="34" t="str">
        <f>+K$18</f>
        <v>Ka'imi Fairbairn</v>
      </c>
    </row>
    <row r="108" spans="3:3" x14ac:dyDescent="0.2">
      <c r="C108" s="51" t="str">
        <f>+M$5</f>
        <v>Kirk Cousins</v>
      </c>
    </row>
    <row r="109" spans="3:3" x14ac:dyDescent="0.2">
      <c r="C109" s="34" t="str">
        <f>+M$6</f>
        <v>Teddy Bridgewater</v>
      </c>
    </row>
    <row r="110" spans="3:3" x14ac:dyDescent="0.2">
      <c r="C110" s="34" t="str">
        <f>+M$7</f>
        <v>Ito Smith</v>
      </c>
    </row>
    <row r="111" spans="3:3" x14ac:dyDescent="0.2">
      <c r="C111" s="34" t="str">
        <f>+M$8</f>
        <v>Chase Edmonds</v>
      </c>
    </row>
    <row r="112" spans="3:3" x14ac:dyDescent="0.2">
      <c r="C112" s="34" t="str">
        <f>+M$9</f>
        <v>Phillip Lindsay</v>
      </c>
    </row>
    <row r="113" spans="3:3" x14ac:dyDescent="0.2">
      <c r="C113" s="34" t="str">
        <f>+M$10</f>
        <v>Josh Gordon</v>
      </c>
    </row>
    <row r="114" spans="3:3" x14ac:dyDescent="0.2">
      <c r="C114" s="34" t="str">
        <f>+M$11</f>
        <v>Demarcus Robinson</v>
      </c>
    </row>
    <row r="115" spans="3:3" x14ac:dyDescent="0.2">
      <c r="C115" s="34" t="str">
        <f>+M$12</f>
        <v>Geronimo Allison</v>
      </c>
    </row>
    <row r="116" spans="3:3" x14ac:dyDescent="0.2">
      <c r="C116" s="34" t="str">
        <f>+M$13</f>
        <v>Gerald Everett</v>
      </c>
    </row>
    <row r="117" spans="3:3" x14ac:dyDescent="0.2">
      <c r="C117" s="34" t="str">
        <f>+M$14</f>
        <v>Ricky Seals-Jones</v>
      </c>
    </row>
    <row r="118" spans="3:3" x14ac:dyDescent="0.2">
      <c r="C118" s="34" t="str">
        <f>+M$15</f>
        <v>Washington Redskins</v>
      </c>
    </row>
    <row r="119" spans="3:3" x14ac:dyDescent="0.2">
      <c r="C119" s="34" t="str">
        <f>+M$16</f>
        <v>Miami Dolphins</v>
      </c>
    </row>
    <row r="120" spans="3:3" x14ac:dyDescent="0.2">
      <c r="C120" s="34" t="str">
        <f>+M$17</f>
        <v>Chase McLaughlin</v>
      </c>
    </row>
    <row r="121" spans="3:3" x14ac:dyDescent="0.2">
      <c r="C121" s="34" t="str">
        <f>+M$18</f>
        <v>Josh Lambo</v>
      </c>
    </row>
    <row r="122" spans="3:3" x14ac:dyDescent="0.2">
      <c r="C122" s="51" t="str">
        <f>+O$5</f>
        <v>Joe Flacco</v>
      </c>
    </row>
    <row r="123" spans="3:3" x14ac:dyDescent="0.2">
      <c r="C123" s="34" t="str">
        <f>+O$6</f>
        <v>Jared Goff</v>
      </c>
    </row>
    <row r="124" spans="3:3" x14ac:dyDescent="0.2">
      <c r="C124" s="34" t="str">
        <f>+O$7</f>
        <v>Jamaal Williams</v>
      </c>
    </row>
    <row r="125" spans="3:3" x14ac:dyDescent="0.2">
      <c r="C125" s="34" t="str">
        <f>+O$8</f>
        <v>Tevin Coleman</v>
      </c>
    </row>
    <row r="126" spans="3:3" x14ac:dyDescent="0.2">
      <c r="C126" s="34" t="str">
        <f>+O$9</f>
        <v>Josh Jacobs</v>
      </c>
    </row>
    <row r="127" spans="3:3" x14ac:dyDescent="0.2">
      <c r="C127" s="34" t="str">
        <f>+O$10</f>
        <v>T.Y. Hilton</v>
      </c>
    </row>
    <row r="128" spans="3:3" x14ac:dyDescent="0.2">
      <c r="C128" s="34" t="str">
        <f>+O$11</f>
        <v>Golden Tate</v>
      </c>
    </row>
    <row r="129" spans="3:3" x14ac:dyDescent="0.2">
      <c r="C129" s="34" t="str">
        <f>+O$12</f>
        <v>Dede Westbrook</v>
      </c>
    </row>
    <row r="130" spans="3:3" x14ac:dyDescent="0.2">
      <c r="C130" s="34" t="str">
        <f>+O$13</f>
        <v>Delanie Walker</v>
      </c>
    </row>
    <row r="131" spans="3:3" x14ac:dyDescent="0.2">
      <c r="C131" s="34" t="str">
        <f>+O$14</f>
        <v>Dawson Knox</v>
      </c>
    </row>
    <row r="132" spans="3:3" x14ac:dyDescent="0.2">
      <c r="C132" s="34" t="str">
        <f>+O$15</f>
        <v>Arizona Cardinals</v>
      </c>
    </row>
    <row r="133" spans="3:3" x14ac:dyDescent="0.2">
      <c r="C133" s="34" t="str">
        <f>+O$16</f>
        <v>New Orleans Saints</v>
      </c>
    </row>
    <row r="134" spans="3:3" x14ac:dyDescent="0.2">
      <c r="C134" s="34" t="str">
        <f>+O$17</f>
        <v>Aldrick Rosas</v>
      </c>
    </row>
    <row r="135" spans="3:3" x14ac:dyDescent="0.2">
      <c r="C135" s="34" t="str">
        <f>+O$18</f>
        <v>Brett Maher</v>
      </c>
    </row>
    <row r="136" spans="3:3" x14ac:dyDescent="0.2">
      <c r="C136" s="51" t="str">
        <f>+Q$5</f>
        <v>Ryan Tannehill</v>
      </c>
    </row>
    <row r="137" spans="3:3" x14ac:dyDescent="0.2">
      <c r="C137" s="34" t="str">
        <f>+Q$6</f>
        <v>Gardner Minshew</v>
      </c>
    </row>
    <row r="138" spans="3:3" x14ac:dyDescent="0.2">
      <c r="C138" s="34" t="str">
        <f>+Q$7</f>
        <v>Ty Johnson</v>
      </c>
    </row>
    <row r="139" spans="3:3" x14ac:dyDescent="0.2">
      <c r="C139" s="34" t="str">
        <f>+Q$8</f>
        <v>James Conner</v>
      </c>
    </row>
    <row r="140" spans="3:3" x14ac:dyDescent="0.2">
      <c r="C140" s="34" t="str">
        <f>+Q$9</f>
        <v>Latavius Murray</v>
      </c>
    </row>
    <row r="141" spans="3:3" x14ac:dyDescent="0.2">
      <c r="C141" s="34" t="str">
        <f>+Q$10</f>
        <v>Julian Edelman</v>
      </c>
    </row>
    <row r="142" spans="3:3" x14ac:dyDescent="0.2">
      <c r="C142" s="34" t="str">
        <f>+Q$11</f>
        <v>Calvin Ridley</v>
      </c>
    </row>
    <row r="143" spans="3:3" x14ac:dyDescent="0.2">
      <c r="C143" s="34" t="str">
        <f>+Q$12</f>
        <v>Marvin Jones</v>
      </c>
    </row>
    <row r="144" spans="3:3" x14ac:dyDescent="0.2">
      <c r="C144" s="34" t="str">
        <f>+Q$13</f>
        <v>T.J. Hockenson</v>
      </c>
    </row>
    <row r="145" spans="3:3" x14ac:dyDescent="0.2">
      <c r="C145" s="34" t="str">
        <f>+Q$14</f>
        <v>Darren Fells</v>
      </c>
    </row>
    <row r="146" spans="3:3" x14ac:dyDescent="0.2">
      <c r="C146" s="34" t="str">
        <f>+Q$15</f>
        <v>Detroit Lions</v>
      </c>
    </row>
    <row r="147" spans="3:3" x14ac:dyDescent="0.2">
      <c r="C147" s="34" t="str">
        <f>+Q$16</f>
        <v>Indianapolis Colts</v>
      </c>
    </row>
    <row r="148" spans="3:3" x14ac:dyDescent="0.2">
      <c r="C148" s="34" t="str">
        <f>+Q$17</f>
        <v>Dan Bailey</v>
      </c>
    </row>
    <row r="149" spans="3:3" x14ac:dyDescent="0.2">
      <c r="C149" s="34" t="str">
        <f>+Q$18</f>
        <v>Matt Bryant</v>
      </c>
    </row>
    <row r="150" spans="3:3" x14ac:dyDescent="0.2">
      <c r="C150" s="51" t="str">
        <f>+C$22</f>
        <v>Sam Darnold</v>
      </c>
    </row>
    <row r="151" spans="3:3" x14ac:dyDescent="0.2">
      <c r="C151" s="34" t="str">
        <f>+C$23</f>
        <v>Philip Rivers</v>
      </c>
    </row>
    <row r="152" spans="3:3" x14ac:dyDescent="0.2">
      <c r="C152" s="34" t="str">
        <f>+C$24</f>
        <v>Jordan Howard</v>
      </c>
    </row>
    <row r="153" spans="3:3" x14ac:dyDescent="0.2">
      <c r="C153" s="34" t="str">
        <f>+C$25</f>
        <v>Royce Freeman</v>
      </c>
    </row>
    <row r="154" spans="3:3" x14ac:dyDescent="0.2">
      <c r="C154" s="34" t="str">
        <f>+C$26</f>
        <v>Melvin Gordon</v>
      </c>
    </row>
    <row r="155" spans="3:3" x14ac:dyDescent="0.2">
      <c r="C155" s="34" t="str">
        <f>+C$27</f>
        <v>DK Metcalf</v>
      </c>
    </row>
    <row r="156" spans="3:3" x14ac:dyDescent="0.2">
      <c r="C156" s="34" t="str">
        <f>+C$28</f>
        <v>DJ Chark</v>
      </c>
    </row>
    <row r="157" spans="3:3" x14ac:dyDescent="0.2">
      <c r="C157" s="34" t="str">
        <f>+C$29</f>
        <v>Kenny Stills</v>
      </c>
    </row>
    <row r="158" spans="3:3" x14ac:dyDescent="0.2">
      <c r="C158" s="34" t="str">
        <f>+C$30</f>
        <v>Cameron Brate</v>
      </c>
    </row>
    <row r="159" spans="3:3" x14ac:dyDescent="0.2">
      <c r="C159" s="34" t="str">
        <f>+C$31</f>
        <v>Dallas Goedert</v>
      </c>
    </row>
    <row r="160" spans="3:3" x14ac:dyDescent="0.2">
      <c r="C160" s="34" t="str">
        <f>+C$32</f>
        <v>Seattle Seahawks</v>
      </c>
    </row>
    <row r="161" spans="3:3" x14ac:dyDescent="0.2">
      <c r="C161" s="34" t="str">
        <f>+C$33</f>
        <v>New York Jets</v>
      </c>
    </row>
    <row r="162" spans="3:3" x14ac:dyDescent="0.2">
      <c r="C162" s="34" t="str">
        <f>+C$34</f>
        <v>Matt Prater</v>
      </c>
    </row>
    <row r="163" spans="3:3" x14ac:dyDescent="0.2">
      <c r="C163" s="34" t="str">
        <f>+C$35</f>
        <v>Daniel Carlson</v>
      </c>
    </row>
    <row r="164" spans="3:3" x14ac:dyDescent="0.2">
      <c r="C164" s="51" t="str">
        <f>+E$22</f>
        <v>Jameis Winston</v>
      </c>
    </row>
    <row r="165" spans="3:3" x14ac:dyDescent="0.2">
      <c r="C165" s="34" t="str">
        <f>+E$23</f>
        <v>Ryan Fitzpatrick</v>
      </c>
    </row>
    <row r="166" spans="3:3" x14ac:dyDescent="0.2">
      <c r="C166" s="34" t="str">
        <f>+E$24</f>
        <v>Ronald Jones</v>
      </c>
    </row>
    <row r="167" spans="3:3" x14ac:dyDescent="0.2">
      <c r="C167" s="34" t="str">
        <f>+E$25</f>
        <v>David Montgomery</v>
      </c>
    </row>
    <row r="168" spans="3:3" x14ac:dyDescent="0.2">
      <c r="C168" s="34" t="str">
        <f>+E$26</f>
        <v>Kalen Ballage</v>
      </c>
    </row>
    <row r="169" spans="3:3" x14ac:dyDescent="0.2">
      <c r="C169" s="34" t="str">
        <f>+E$27</f>
        <v>Jamison Crowder</v>
      </c>
    </row>
    <row r="170" spans="3:3" x14ac:dyDescent="0.2">
      <c r="C170" s="34" t="str">
        <f>+E$28</f>
        <v>Mike Williams</v>
      </c>
    </row>
    <row r="171" spans="3:3" x14ac:dyDescent="0.2">
      <c r="C171" s="34" t="str">
        <f>+E$29</f>
        <v>Emmanuel Sanders</v>
      </c>
    </row>
    <row r="172" spans="3:3" x14ac:dyDescent="0.2">
      <c r="C172" s="34" t="str">
        <f>+E$30</f>
        <v>Kyle Rudolph</v>
      </c>
    </row>
    <row r="173" spans="3:3" x14ac:dyDescent="0.2">
      <c r="C173" s="34" t="str">
        <f>+E$31</f>
        <v>Eric Ebron</v>
      </c>
    </row>
    <row r="174" spans="3:3" x14ac:dyDescent="0.2">
      <c r="C174" s="34" t="str">
        <f>+E$32</f>
        <v>Cleveland Browns</v>
      </c>
    </row>
    <row r="175" spans="3:3" x14ac:dyDescent="0.2">
      <c r="C175" s="34" t="str">
        <f>+E$33</f>
        <v>Oakland Raiders</v>
      </c>
    </row>
    <row r="176" spans="3:3" x14ac:dyDescent="0.2">
      <c r="C176" s="34" t="str">
        <f>+E$34</f>
        <v>Matt Gay</v>
      </c>
    </row>
    <row r="177" spans="3:3" x14ac:dyDescent="0.2">
      <c r="C177" s="34" t="str">
        <f>+E$35</f>
        <v>Ryan Succop</v>
      </c>
    </row>
    <row r="178" spans="3:3" x14ac:dyDescent="0.2">
      <c r="C178" s="51" t="str">
        <f>+G$22</f>
        <v>Kyle Allen</v>
      </c>
    </row>
    <row r="179" spans="3:3" x14ac:dyDescent="0.2">
      <c r="C179" s="34" t="str">
        <f>+G$23</f>
        <v>Dak Prescott</v>
      </c>
    </row>
    <row r="180" spans="3:3" x14ac:dyDescent="0.2">
      <c r="C180" s="34" t="str">
        <f>+G$24</f>
        <v>Damien Williams</v>
      </c>
    </row>
    <row r="181" spans="3:3" x14ac:dyDescent="0.2">
      <c r="C181" s="34" t="str">
        <f>+G$25</f>
        <v>Devin Singletary</v>
      </c>
    </row>
    <row r="182" spans="3:3" x14ac:dyDescent="0.2">
      <c r="C182" s="34" t="str">
        <f>+G$26</f>
        <v>Marlon Mack</v>
      </c>
    </row>
    <row r="183" spans="3:3" x14ac:dyDescent="0.2">
      <c r="C183" s="34" t="str">
        <f>+G$27</f>
        <v>DJ Chark</v>
      </c>
    </row>
    <row r="184" spans="3:3" x14ac:dyDescent="0.2">
      <c r="C184" s="34" t="str">
        <f>+G$28</f>
        <v>Chris Godwin</v>
      </c>
    </row>
    <row r="185" spans="3:3" x14ac:dyDescent="0.2">
      <c r="C185" s="34" t="str">
        <f>+G$29</f>
        <v>Keenan Allen</v>
      </c>
    </row>
    <row r="186" spans="3:3" x14ac:dyDescent="0.2">
      <c r="C186" s="34" t="str">
        <f>+G$30</f>
        <v>Hunter Henry</v>
      </c>
    </row>
    <row r="187" spans="3:3" x14ac:dyDescent="0.2">
      <c r="C187" s="34" t="str">
        <f>+G$31</f>
        <v>O.J. Howard</v>
      </c>
    </row>
    <row r="188" spans="3:3" x14ac:dyDescent="0.2">
      <c r="C188" s="34" t="str">
        <f>+G$32</f>
        <v>Joey Slye</v>
      </c>
    </row>
    <row r="189" spans="3:3" x14ac:dyDescent="0.2">
      <c r="C189" s="34" t="str">
        <f>+G$33</f>
        <v>Sam Ficken</v>
      </c>
    </row>
    <row r="190" spans="3:3" x14ac:dyDescent="0.2">
      <c r="C190" s="34" t="str">
        <f>+G$34</f>
        <v>Minnesota Vikings</v>
      </c>
    </row>
    <row r="191" spans="3:3" x14ac:dyDescent="0.2">
      <c r="C191" s="34" t="str">
        <f>+G$35</f>
        <v>Denver Broncos</v>
      </c>
    </row>
    <row r="192" spans="3:3" x14ac:dyDescent="0.2">
      <c r="C192" s="51" t="str">
        <f>+I$22</f>
        <v>Nick Foles</v>
      </c>
    </row>
    <row r="193" spans="3:3" x14ac:dyDescent="0.2">
      <c r="C193" s="34" t="str">
        <f>+I$23</f>
        <v>Matt Ryan</v>
      </c>
    </row>
    <row r="194" spans="3:3" x14ac:dyDescent="0.2">
      <c r="C194" s="34" t="str">
        <f>+I$24</f>
        <v>Le'Veon Bell</v>
      </c>
    </row>
    <row r="195" spans="3:3" x14ac:dyDescent="0.2">
      <c r="C195" s="34" t="str">
        <f>+I$25</f>
        <v>Miles Sanders</v>
      </c>
    </row>
    <row r="196" spans="3:3" x14ac:dyDescent="0.2">
      <c r="C196" s="34" t="str">
        <f>+I$26</f>
        <v>Todd Gurley</v>
      </c>
    </row>
    <row r="197" spans="3:3" x14ac:dyDescent="0.2">
      <c r="C197" s="34" t="str">
        <f>+I$27</f>
        <v>Odell Beckham</v>
      </c>
    </row>
    <row r="198" spans="3:3" x14ac:dyDescent="0.2">
      <c r="C198" s="34" t="str">
        <f>+I$28</f>
        <v>Allen Robinson</v>
      </c>
    </row>
    <row r="199" spans="3:3" x14ac:dyDescent="0.2">
      <c r="C199" s="34" t="str">
        <f>+I$29</f>
        <v>Courtland Sutton</v>
      </c>
    </row>
    <row r="200" spans="3:3" x14ac:dyDescent="0.2">
      <c r="C200" s="34" t="str">
        <f>+I$30</f>
        <v>Darren Waller</v>
      </c>
    </row>
    <row r="201" spans="3:3" x14ac:dyDescent="0.2">
      <c r="C201" s="34" t="str">
        <f>+I$31</f>
        <v>Ryan Griffin</v>
      </c>
    </row>
    <row r="202" spans="3:3" x14ac:dyDescent="0.2">
      <c r="C202" s="34" t="str">
        <f>+I$32</f>
        <v>Buffalo Bills</v>
      </c>
    </row>
    <row r="203" spans="3:3" x14ac:dyDescent="0.2">
      <c r="C203" s="34" t="str">
        <f>+I$33</f>
        <v>Atlanta Falcons</v>
      </c>
    </row>
    <row r="204" spans="3:3" x14ac:dyDescent="0.2">
      <c r="C204" s="34" t="str">
        <f>+I$34</f>
        <v>Eddy Pineiro</v>
      </c>
    </row>
    <row r="205" spans="3:3" x14ac:dyDescent="0.2">
      <c r="C205" s="34" t="str">
        <f>+I$35</f>
        <v>Jake Elliott</v>
      </c>
    </row>
    <row r="206" spans="3:3" x14ac:dyDescent="0.2">
      <c r="C206" s="51" t="str">
        <f>+K$22</f>
        <v>Aaron Rodgers</v>
      </c>
    </row>
    <row r="207" spans="3:3" x14ac:dyDescent="0.2">
      <c r="C207" s="34" t="str">
        <f>+K$23</f>
        <v>Patrick Mahomes</v>
      </c>
    </row>
    <row r="208" spans="3:3" x14ac:dyDescent="0.2">
      <c r="C208" s="34" t="str">
        <f>+K$24</f>
        <v>Alvin Kamara</v>
      </c>
    </row>
    <row r="209" spans="3:3" x14ac:dyDescent="0.2">
      <c r="C209" s="34" t="str">
        <f>+K$25</f>
        <v>Ezekiel Elliott</v>
      </c>
    </row>
    <row r="210" spans="3:3" x14ac:dyDescent="0.2">
      <c r="C210" s="34" t="str">
        <f>+K$26</f>
        <v>Ronald Jones</v>
      </c>
    </row>
    <row r="211" spans="3:3" x14ac:dyDescent="0.2">
      <c r="C211" s="34" t="str">
        <f>+K$27</f>
        <v>Cooper Kupp</v>
      </c>
    </row>
    <row r="212" spans="3:3" x14ac:dyDescent="0.2">
      <c r="C212" s="34" t="str">
        <f>+K$28</f>
        <v>Stefon Diggs</v>
      </c>
    </row>
    <row r="213" spans="3:3" x14ac:dyDescent="0.2">
      <c r="C213" s="34" t="str">
        <f>+K$29</f>
        <v>Deebo Samuel</v>
      </c>
    </row>
    <row r="214" spans="3:3" x14ac:dyDescent="0.2">
      <c r="C214" s="34" t="str">
        <f>+K$30</f>
        <v>Zach Ertz</v>
      </c>
    </row>
    <row r="215" spans="3:3" x14ac:dyDescent="0.2">
      <c r="C215" s="34" t="str">
        <f>+K$31</f>
        <v>Jacob Hollister</v>
      </c>
    </row>
    <row r="216" spans="3:3" x14ac:dyDescent="0.2">
      <c r="C216" s="34" t="str">
        <f>+K$32</f>
        <v>Justin Tucker</v>
      </c>
    </row>
    <row r="217" spans="3:3" x14ac:dyDescent="0.2">
      <c r="C217" s="34" t="str">
        <f>+K$33</f>
        <v>Wil Lutz</v>
      </c>
    </row>
    <row r="218" spans="3:3" x14ac:dyDescent="0.2">
      <c r="C218" s="34" t="str">
        <f>+K$34</f>
        <v>Chicago Bears</v>
      </c>
    </row>
    <row r="219" spans="3:3" x14ac:dyDescent="0.2">
      <c r="C219" s="34" t="str">
        <f>+K$35</f>
        <v>Los Angeles Chargers</v>
      </c>
    </row>
    <row r="220" spans="3:3" x14ac:dyDescent="0.2">
      <c r="C220" s="51" t="str">
        <f>+M$22</f>
        <v>Baker Mayfield</v>
      </c>
    </row>
    <row r="221" spans="3:3" x14ac:dyDescent="0.2">
      <c r="C221" s="34" t="str">
        <f>+M$23</f>
        <v>Deshaun Watson</v>
      </c>
    </row>
    <row r="222" spans="3:3" x14ac:dyDescent="0.2">
      <c r="C222" s="34" t="str">
        <f>+M$24</f>
        <v>Nick Chubb</v>
      </c>
    </row>
    <row r="223" spans="3:3" x14ac:dyDescent="0.2">
      <c r="C223" s="34" t="str">
        <f>+M$25</f>
        <v>Devonta Freeman</v>
      </c>
    </row>
    <row r="224" spans="3:3" x14ac:dyDescent="0.2">
      <c r="C224" s="34" t="str">
        <f>+M$26</f>
        <v>James White</v>
      </c>
    </row>
    <row r="225" spans="3:3" x14ac:dyDescent="0.2">
      <c r="C225" s="34" t="str">
        <f>+M$27</f>
        <v>Davante Adams</v>
      </c>
    </row>
    <row r="226" spans="3:3" x14ac:dyDescent="0.2">
      <c r="C226" s="34" t="str">
        <f>+M$28</f>
        <v>Jarvis Landry</v>
      </c>
    </row>
    <row r="227" spans="3:3" x14ac:dyDescent="0.2">
      <c r="C227" s="34" t="str">
        <f>+M$29</f>
        <v>Devante Parker</v>
      </c>
    </row>
    <row r="228" spans="3:3" x14ac:dyDescent="0.2">
      <c r="C228" s="34" t="str">
        <f>+M$30</f>
        <v>Mike Gesicki</v>
      </c>
    </row>
    <row r="229" spans="3:3" x14ac:dyDescent="0.2">
      <c r="C229" s="34" t="str">
        <f>+M$31</f>
        <v>Austin Hooper</v>
      </c>
    </row>
    <row r="230" spans="3:3" x14ac:dyDescent="0.2">
      <c r="C230" s="34" t="str">
        <f>+M$32</f>
        <v>Younghoe Koo</v>
      </c>
    </row>
    <row r="231" spans="3:3" x14ac:dyDescent="0.2">
      <c r="C231" s="34" t="str">
        <f>+M$33</f>
        <v>Jason Sanders</v>
      </c>
    </row>
    <row r="232" spans="3:3" x14ac:dyDescent="0.2">
      <c r="C232" s="34" t="str">
        <f>+M$34</f>
        <v>Green Bay Packers</v>
      </c>
    </row>
    <row r="233" spans="3:3" x14ac:dyDescent="0.2">
      <c r="C233" s="34" t="str">
        <f>+M$35</f>
        <v>Tampa Bay Buccaneers</v>
      </c>
    </row>
    <row r="234" spans="3:3" x14ac:dyDescent="0.2">
      <c r="C234" s="51" t="str">
        <f>+O$22</f>
        <v>Mitch Trubisky</v>
      </c>
    </row>
    <row r="235" spans="3:3" x14ac:dyDescent="0.2">
      <c r="C235" s="34" t="str">
        <f>+O$23</f>
        <v>Kyler Murray</v>
      </c>
    </row>
    <row r="236" spans="3:3" x14ac:dyDescent="0.2">
      <c r="C236" s="34" t="str">
        <f>+O$24</f>
        <v>Raheem Mostert</v>
      </c>
    </row>
    <row r="237" spans="3:3" x14ac:dyDescent="0.2">
      <c r="C237" s="34" t="str">
        <f>+O$25</f>
        <v>Saquon Barkley</v>
      </c>
    </row>
    <row r="238" spans="3:3" x14ac:dyDescent="0.2">
      <c r="C238" s="34" t="str">
        <f>+O$26</f>
        <v>Joe Mixon</v>
      </c>
    </row>
    <row r="239" spans="3:3" x14ac:dyDescent="0.2">
      <c r="C239" s="34" t="str">
        <f>+O$27</f>
        <v>Michael Thomas</v>
      </c>
    </row>
    <row r="240" spans="3:3" x14ac:dyDescent="0.2">
      <c r="C240" s="34" t="str">
        <f>+O$28</f>
        <v>Deandre Hopkins</v>
      </c>
    </row>
    <row r="241" spans="3:3" x14ac:dyDescent="0.2">
      <c r="C241" s="34" t="str">
        <f>+O$29</f>
        <v>Robert Woods</v>
      </c>
    </row>
    <row r="242" spans="3:3" x14ac:dyDescent="0.2">
      <c r="C242" s="34" t="str">
        <f>+O$30</f>
        <v>Tyler Higbee</v>
      </c>
    </row>
    <row r="243" spans="3:3" x14ac:dyDescent="0.2">
      <c r="C243" s="34" t="str">
        <f>+O$31</f>
        <v>Ian Thomas</v>
      </c>
    </row>
    <row r="244" spans="3:3" x14ac:dyDescent="0.2">
      <c r="C244" s="34" t="str">
        <f>+O$32</f>
        <v>Nick Folk</v>
      </c>
    </row>
    <row r="245" spans="3:3" x14ac:dyDescent="0.2">
      <c r="C245" s="34" t="str">
        <f>+O$33</f>
        <v>Greg Zuerlein</v>
      </c>
    </row>
    <row r="246" spans="3:3" x14ac:dyDescent="0.2">
      <c r="C246" s="34" t="str">
        <f>+O$34</f>
        <v>New England Patriots</v>
      </c>
    </row>
    <row r="247" spans="3:3" x14ac:dyDescent="0.2">
      <c r="C247" s="34" t="str">
        <f>+O$35</f>
        <v>Los Angeles Rams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DEA0-67E0-F745-922D-C0AF0BD8C431}">
  <dimension ref="B2:T261"/>
  <sheetViews>
    <sheetView showGridLines="0" topLeftCell="A11" workbookViewId="0">
      <selection activeCell="G61" sqref="G61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898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248</v>
      </c>
      <c r="D5" s="38"/>
      <c r="E5" s="37" t="s">
        <v>197</v>
      </c>
      <c r="F5" s="38"/>
      <c r="G5" s="37" t="s">
        <v>194</v>
      </c>
      <c r="H5" s="38"/>
      <c r="I5" s="37" t="s">
        <v>343</v>
      </c>
      <c r="J5" s="38"/>
      <c r="K5" s="37" t="s">
        <v>105</v>
      </c>
      <c r="L5" s="38"/>
      <c r="M5" s="37" t="s">
        <v>541</v>
      </c>
      <c r="N5" s="38"/>
      <c r="O5" s="37" t="s">
        <v>709</v>
      </c>
      <c r="P5" s="38"/>
      <c r="Q5" s="37" t="s">
        <v>288</v>
      </c>
      <c r="R5" s="38"/>
      <c r="S5" s="39"/>
    </row>
    <row r="6" spans="2:19" x14ac:dyDescent="0.2">
      <c r="B6" s="40" t="s">
        <v>881</v>
      </c>
      <c r="C6" s="41" t="s">
        <v>297</v>
      </c>
      <c r="D6" s="42"/>
      <c r="E6" s="41" t="s">
        <v>531</v>
      </c>
      <c r="F6" s="42"/>
      <c r="G6" s="41" t="s">
        <v>209</v>
      </c>
      <c r="H6" s="42"/>
      <c r="I6" s="41" t="s">
        <v>129</v>
      </c>
      <c r="J6" s="42"/>
      <c r="K6" s="41" t="s">
        <v>588</v>
      </c>
      <c r="L6" s="42"/>
      <c r="M6" s="41" t="s">
        <v>594</v>
      </c>
      <c r="N6" s="42"/>
      <c r="O6" s="41" t="s">
        <v>766</v>
      </c>
      <c r="P6" s="42"/>
      <c r="Q6" s="41" t="s">
        <v>89</v>
      </c>
      <c r="R6" s="42"/>
      <c r="S6" s="39"/>
    </row>
    <row r="7" spans="2:19" x14ac:dyDescent="0.2">
      <c r="B7" s="40" t="s">
        <v>882</v>
      </c>
      <c r="C7" s="41" t="s">
        <v>548</v>
      </c>
      <c r="D7" s="42"/>
      <c r="E7" s="41" t="s">
        <v>286</v>
      </c>
      <c r="F7" s="42"/>
      <c r="G7" s="41" t="s">
        <v>131</v>
      </c>
      <c r="H7" s="42"/>
      <c r="I7" s="41" t="s">
        <v>12</v>
      </c>
      <c r="J7" s="42"/>
      <c r="K7" s="41" t="s">
        <v>440</v>
      </c>
      <c r="L7" s="42"/>
      <c r="M7" s="41" t="s">
        <v>542</v>
      </c>
      <c r="N7" s="42"/>
      <c r="O7" s="41" t="s">
        <v>532</v>
      </c>
      <c r="P7" s="42"/>
      <c r="Q7" s="41" t="s">
        <v>88</v>
      </c>
      <c r="R7" s="42"/>
      <c r="S7" s="39"/>
    </row>
    <row r="8" spans="2:19" x14ac:dyDescent="0.2">
      <c r="B8" s="40" t="s">
        <v>883</v>
      </c>
      <c r="C8" s="41" t="s">
        <v>246</v>
      </c>
      <c r="D8" s="42"/>
      <c r="E8" s="41" t="s">
        <v>195</v>
      </c>
      <c r="F8" s="42"/>
      <c r="G8" s="41" t="s">
        <v>510</v>
      </c>
      <c r="H8" s="42"/>
      <c r="I8" s="41" t="s">
        <v>67</v>
      </c>
      <c r="J8" s="42"/>
      <c r="K8" s="41" t="s">
        <v>160</v>
      </c>
      <c r="L8" s="42"/>
      <c r="M8" s="41" t="s">
        <v>133</v>
      </c>
      <c r="N8" s="42"/>
      <c r="O8" s="41" t="s">
        <v>217</v>
      </c>
      <c r="P8" s="42"/>
      <c r="Q8" s="41" t="s">
        <v>576</v>
      </c>
      <c r="R8" s="42"/>
      <c r="S8" s="39"/>
    </row>
    <row r="9" spans="2:19" x14ac:dyDescent="0.2">
      <c r="B9" s="40" t="s">
        <v>884</v>
      </c>
      <c r="C9" s="41" t="s">
        <v>391</v>
      </c>
      <c r="D9" s="42"/>
      <c r="E9" s="41" t="s">
        <v>571</v>
      </c>
      <c r="F9" s="42"/>
      <c r="G9" s="41" t="s">
        <v>705</v>
      </c>
      <c r="H9" s="42"/>
      <c r="I9" s="41" t="s">
        <v>92</v>
      </c>
      <c r="J9" s="42"/>
      <c r="K9" s="41" t="s">
        <v>266</v>
      </c>
      <c r="L9" s="42"/>
      <c r="M9" s="41" t="s">
        <v>310</v>
      </c>
      <c r="N9" s="42"/>
      <c r="O9" s="41" t="s">
        <v>405</v>
      </c>
      <c r="P9" s="42"/>
      <c r="Q9" s="41" t="s">
        <v>539</v>
      </c>
      <c r="R9" s="42"/>
      <c r="S9" s="39"/>
    </row>
    <row r="10" spans="2:19" x14ac:dyDescent="0.2">
      <c r="B10" s="40" t="s">
        <v>885</v>
      </c>
      <c r="C10" s="41" t="s">
        <v>254</v>
      </c>
      <c r="D10" s="42"/>
      <c r="E10" s="41" t="s">
        <v>106</v>
      </c>
      <c r="F10" s="42"/>
      <c r="G10" s="41" t="s">
        <v>24</v>
      </c>
      <c r="H10" s="42"/>
      <c r="I10" s="41" t="s">
        <v>367</v>
      </c>
      <c r="J10" s="42"/>
      <c r="K10" s="41" t="s">
        <v>558</v>
      </c>
      <c r="L10" s="42"/>
      <c r="M10" s="41" t="s">
        <v>614</v>
      </c>
      <c r="N10" s="42"/>
      <c r="O10" s="41" t="s">
        <v>359</v>
      </c>
      <c r="P10" s="42"/>
      <c r="Q10" s="41" t="s">
        <v>243</v>
      </c>
      <c r="R10" s="42"/>
      <c r="S10" s="39"/>
    </row>
    <row r="11" spans="2:19" x14ac:dyDescent="0.2">
      <c r="B11" s="40" t="s">
        <v>886</v>
      </c>
      <c r="C11" s="41" t="s">
        <v>176</v>
      </c>
      <c r="D11" s="42"/>
      <c r="E11" s="41" t="s">
        <v>328</v>
      </c>
      <c r="F11" s="42"/>
      <c r="G11" s="41" t="s">
        <v>712</v>
      </c>
      <c r="H11" s="42"/>
      <c r="I11" s="41" t="s">
        <v>117</v>
      </c>
      <c r="J11" s="42"/>
      <c r="K11" s="41" t="s">
        <v>538</v>
      </c>
      <c r="L11" s="42"/>
      <c r="M11" s="41" t="s">
        <v>316</v>
      </c>
      <c r="N11" s="42"/>
      <c r="O11" s="41" t="s">
        <v>215</v>
      </c>
      <c r="P11" s="42"/>
      <c r="Q11" s="41" t="s">
        <v>242</v>
      </c>
      <c r="R11" s="42"/>
      <c r="S11" s="39"/>
    </row>
    <row r="12" spans="2:19" x14ac:dyDescent="0.2">
      <c r="B12" s="40" t="s">
        <v>887</v>
      </c>
      <c r="C12" s="41" t="s">
        <v>901</v>
      </c>
      <c r="D12" s="42"/>
      <c r="E12" s="41" t="s">
        <v>708</v>
      </c>
      <c r="F12" s="42"/>
      <c r="G12" s="41" t="s">
        <v>536</v>
      </c>
      <c r="H12" s="42"/>
      <c r="I12" s="41" t="s">
        <v>376</v>
      </c>
      <c r="J12" s="42"/>
      <c r="K12" s="41" t="s">
        <v>545</v>
      </c>
      <c r="L12" s="42"/>
      <c r="M12" s="41" t="s">
        <v>745</v>
      </c>
      <c r="N12" s="42"/>
      <c r="O12" s="41" t="s">
        <v>658</v>
      </c>
      <c r="P12" s="42"/>
      <c r="Q12" s="41" t="s">
        <v>186</v>
      </c>
      <c r="R12" s="42"/>
      <c r="S12" s="39"/>
    </row>
    <row r="13" spans="2:19" x14ac:dyDescent="0.2">
      <c r="B13" s="40" t="s">
        <v>888</v>
      </c>
      <c r="C13" s="41" t="s">
        <v>633</v>
      </c>
      <c r="D13" s="42"/>
      <c r="E13" s="41" t="s">
        <v>212</v>
      </c>
      <c r="F13" s="42"/>
      <c r="G13" s="41" t="s">
        <v>51</v>
      </c>
      <c r="H13" s="42"/>
      <c r="I13" s="41" t="s">
        <v>190</v>
      </c>
      <c r="J13" s="42"/>
      <c r="K13" s="41" t="s">
        <v>13</v>
      </c>
      <c r="L13" s="42"/>
      <c r="M13" s="41" t="s">
        <v>715</v>
      </c>
      <c r="N13" s="42"/>
      <c r="O13" s="41" t="s">
        <v>114</v>
      </c>
      <c r="P13" s="42"/>
      <c r="Q13" s="41" t="s">
        <v>177</v>
      </c>
      <c r="R13" s="42"/>
      <c r="S13" s="39"/>
    </row>
    <row r="14" spans="2:19" x14ac:dyDescent="0.2">
      <c r="B14" s="40" t="s">
        <v>889</v>
      </c>
      <c r="C14" s="41" t="s">
        <v>113</v>
      </c>
      <c r="D14" s="42"/>
      <c r="E14" s="41" t="s">
        <v>556</v>
      </c>
      <c r="F14" s="42"/>
      <c r="G14" s="41" t="s">
        <v>375</v>
      </c>
      <c r="H14" s="42"/>
      <c r="I14" s="41" t="s">
        <v>592</v>
      </c>
      <c r="J14" s="42"/>
      <c r="K14" s="41" t="s">
        <v>210</v>
      </c>
      <c r="L14" s="42"/>
      <c r="M14" s="41" t="s">
        <v>72</v>
      </c>
      <c r="N14" s="42"/>
      <c r="O14" s="41" t="s">
        <v>734</v>
      </c>
      <c r="P14" s="42"/>
      <c r="Q14" s="41" t="s">
        <v>179</v>
      </c>
      <c r="R14" s="42"/>
      <c r="S14" s="39"/>
    </row>
    <row r="15" spans="2:19" x14ac:dyDescent="0.2">
      <c r="B15" s="40" t="s">
        <v>890</v>
      </c>
      <c r="C15" s="41" t="s">
        <v>784</v>
      </c>
      <c r="D15" s="42"/>
      <c r="E15" s="41" t="s">
        <v>802</v>
      </c>
      <c r="F15" s="42"/>
      <c r="G15" s="41" t="s">
        <v>811</v>
      </c>
      <c r="H15" s="42"/>
      <c r="I15" s="41" t="s">
        <v>798</v>
      </c>
      <c r="J15" s="42"/>
      <c r="K15" s="41" t="s">
        <v>781</v>
      </c>
      <c r="L15" s="42"/>
      <c r="M15" s="41" t="s">
        <v>813</v>
      </c>
      <c r="N15" s="42"/>
      <c r="O15" s="41" t="s">
        <v>812</v>
      </c>
      <c r="P15" s="42"/>
      <c r="Q15" s="41" t="s">
        <v>799</v>
      </c>
      <c r="R15" s="42"/>
      <c r="S15" s="39"/>
    </row>
    <row r="16" spans="2:19" x14ac:dyDescent="0.2">
      <c r="B16" s="40" t="s">
        <v>891</v>
      </c>
      <c r="C16" s="41" t="s">
        <v>785</v>
      </c>
      <c r="D16" s="42"/>
      <c r="E16" s="41" t="s">
        <v>809</v>
      </c>
      <c r="F16" s="42"/>
      <c r="G16" s="41" t="s">
        <v>793</v>
      </c>
      <c r="H16" s="42"/>
      <c r="I16" s="41" t="s">
        <v>783</v>
      </c>
      <c r="J16" s="42"/>
      <c r="K16" s="41" t="s">
        <v>786</v>
      </c>
      <c r="L16" s="42"/>
      <c r="M16" s="41" t="s">
        <v>800</v>
      </c>
      <c r="N16" s="42"/>
      <c r="O16" s="41" t="s">
        <v>797</v>
      </c>
      <c r="P16" s="42"/>
      <c r="Q16" s="41" t="s">
        <v>808</v>
      </c>
      <c r="R16" s="42"/>
      <c r="S16" s="39"/>
    </row>
    <row r="17" spans="2:20" x14ac:dyDescent="0.2">
      <c r="B17" s="40" t="s">
        <v>892</v>
      </c>
      <c r="C17" s="41" t="s">
        <v>840</v>
      </c>
      <c r="D17" s="42"/>
      <c r="E17" s="41" t="s">
        <v>823</v>
      </c>
      <c r="F17" s="42"/>
      <c r="G17" s="41" t="s">
        <v>834</v>
      </c>
      <c r="H17" s="42"/>
      <c r="I17" s="41" t="s">
        <v>847</v>
      </c>
      <c r="J17" s="42"/>
      <c r="K17" s="41" t="s">
        <v>844</v>
      </c>
      <c r="L17" s="42"/>
      <c r="M17" s="41" t="s">
        <v>828</v>
      </c>
      <c r="N17" s="42"/>
      <c r="O17" s="41" t="s">
        <v>832</v>
      </c>
      <c r="P17" s="42"/>
      <c r="Q17" s="41" t="s">
        <v>849</v>
      </c>
      <c r="R17" s="42"/>
      <c r="S17" s="39"/>
    </row>
    <row r="18" spans="2:20" x14ac:dyDescent="0.2">
      <c r="B18" s="43" t="s">
        <v>893</v>
      </c>
      <c r="C18" s="44" t="s">
        <v>842</v>
      </c>
      <c r="D18" s="45"/>
      <c r="E18" s="44" t="s">
        <v>827</v>
      </c>
      <c r="F18" s="45"/>
      <c r="G18" s="44" t="s">
        <v>854</v>
      </c>
      <c r="H18" s="45"/>
      <c r="I18" s="44" t="s">
        <v>826</v>
      </c>
      <c r="J18" s="45"/>
      <c r="K18" s="44" t="s">
        <v>848</v>
      </c>
      <c r="L18" s="45"/>
      <c r="M18" s="44" t="s">
        <v>831</v>
      </c>
      <c r="N18" s="45"/>
      <c r="O18" s="44" t="s">
        <v>821</v>
      </c>
      <c r="P18" s="45"/>
      <c r="Q18" s="44" t="s">
        <v>914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534</v>
      </c>
      <c r="D22" s="38"/>
      <c r="E22" s="37" t="s">
        <v>537</v>
      </c>
      <c r="F22" s="38"/>
      <c r="G22" s="37" t="s">
        <v>105</v>
      </c>
      <c r="H22" s="38"/>
      <c r="I22" s="37" t="s">
        <v>535</v>
      </c>
      <c r="J22" s="38"/>
      <c r="K22" s="37" t="s">
        <v>89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138</v>
      </c>
      <c r="D23" s="42"/>
      <c r="E23" s="41" t="s">
        <v>733</v>
      </c>
      <c r="F23" s="42"/>
      <c r="G23" s="41" t="s">
        <v>409</v>
      </c>
      <c r="H23" s="42"/>
      <c r="I23" s="41" t="s">
        <v>550</v>
      </c>
      <c r="J23" s="42"/>
      <c r="K23" s="41" t="s">
        <v>537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639</v>
      </c>
      <c r="D24" s="42"/>
      <c r="E24" s="41" t="s">
        <v>563</v>
      </c>
      <c r="F24" s="42"/>
      <c r="G24" s="41" t="s">
        <v>422</v>
      </c>
      <c r="H24" s="42"/>
      <c r="I24" s="41" t="s">
        <v>563</v>
      </c>
      <c r="J24" s="42"/>
      <c r="K24" s="41" t="s">
        <v>134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151</v>
      </c>
      <c r="D25" s="42"/>
      <c r="E25" s="41" t="s">
        <v>274</v>
      </c>
      <c r="F25" s="42"/>
      <c r="G25" s="41" t="s">
        <v>298</v>
      </c>
      <c r="H25" s="42"/>
      <c r="I25" s="41" t="s">
        <v>99</v>
      </c>
      <c r="J25" s="42"/>
      <c r="K25" s="41" t="s">
        <v>623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139</v>
      </c>
      <c r="D26" s="42"/>
      <c r="E26" s="41" t="s">
        <v>704</v>
      </c>
      <c r="F26" s="42"/>
      <c r="G26" s="41" t="s">
        <v>405</v>
      </c>
      <c r="H26" s="42"/>
      <c r="I26" s="41" t="s">
        <v>533</v>
      </c>
      <c r="J26" s="42"/>
      <c r="K26" s="41" t="s">
        <v>246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501</v>
      </c>
      <c r="D27" s="42"/>
      <c r="E27" s="41" t="s">
        <v>551</v>
      </c>
      <c r="F27" s="42"/>
      <c r="G27" s="41" t="s">
        <v>30</v>
      </c>
      <c r="H27" s="42"/>
      <c r="I27" s="41" t="s">
        <v>232</v>
      </c>
      <c r="J27" s="42"/>
      <c r="K27" s="41" t="s">
        <v>359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196</v>
      </c>
      <c r="D28" s="42"/>
      <c r="E28" s="41" t="s">
        <v>577</v>
      </c>
      <c r="F28" s="42"/>
      <c r="G28" s="41" t="s">
        <v>658</v>
      </c>
      <c r="H28" s="42"/>
      <c r="I28" s="41" t="s">
        <v>708</v>
      </c>
      <c r="J28" s="42"/>
      <c r="K28" s="41" t="s">
        <v>349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438</v>
      </c>
      <c r="D29" s="42"/>
      <c r="E29" s="41" t="s">
        <v>543</v>
      </c>
      <c r="F29" s="42"/>
      <c r="G29" s="41" t="s">
        <v>261</v>
      </c>
      <c r="H29" s="42"/>
      <c r="I29" s="41" t="s">
        <v>198</v>
      </c>
      <c r="J29" s="42"/>
      <c r="K29" s="41" t="s">
        <v>929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710</v>
      </c>
      <c r="D30" s="42"/>
      <c r="E30" s="41" t="s">
        <v>331</v>
      </c>
      <c r="F30" s="42"/>
      <c r="G30" s="41" t="s">
        <v>57</v>
      </c>
      <c r="H30" s="42"/>
      <c r="I30" s="41" t="s">
        <v>566</v>
      </c>
      <c r="J30" s="42"/>
      <c r="K30" s="41" t="s">
        <v>930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566</v>
      </c>
      <c r="D31" s="42"/>
      <c r="E31" s="41" t="s">
        <v>249</v>
      </c>
      <c r="F31" s="42"/>
      <c r="G31" s="41" t="s">
        <v>734</v>
      </c>
      <c r="H31" s="42"/>
      <c r="I31" s="41" t="s">
        <v>125</v>
      </c>
      <c r="J31" s="42"/>
      <c r="K31" s="41" t="s">
        <v>68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805</v>
      </c>
      <c r="D32" s="42"/>
      <c r="E32" s="41" t="s">
        <v>795</v>
      </c>
      <c r="F32" s="42"/>
      <c r="G32" s="41" t="s">
        <v>845</v>
      </c>
      <c r="H32" s="42"/>
      <c r="I32" s="41" t="s">
        <v>784</v>
      </c>
      <c r="J32" s="42"/>
      <c r="K32" s="41" t="s">
        <v>847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790</v>
      </c>
      <c r="D33" s="42"/>
      <c r="E33" s="41" t="s">
        <v>804</v>
      </c>
      <c r="F33" s="42"/>
      <c r="G33" s="41" t="s">
        <v>844</v>
      </c>
      <c r="H33" s="42"/>
      <c r="I33" s="41" t="s">
        <v>813</v>
      </c>
      <c r="J33" s="42"/>
      <c r="K33" s="41" t="s">
        <v>921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853</v>
      </c>
      <c r="D34" s="42"/>
      <c r="E34" s="41" t="s">
        <v>841</v>
      </c>
      <c r="F34" s="42"/>
      <c r="G34" s="41" t="s">
        <v>796</v>
      </c>
      <c r="H34" s="42"/>
      <c r="I34" s="41" t="s">
        <v>924</v>
      </c>
      <c r="J34" s="42"/>
      <c r="K34" s="41" t="s">
        <v>800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921</v>
      </c>
      <c r="D35" s="45"/>
      <c r="E35" s="44" t="s">
        <v>857</v>
      </c>
      <c r="F35" s="45"/>
      <c r="G35" s="44" t="s">
        <v>805</v>
      </c>
      <c r="H35" s="45"/>
      <c r="I35" s="44" t="s">
        <v>826</v>
      </c>
      <c r="J35" s="45"/>
      <c r="K35" s="44" t="s">
        <v>798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Kirk Cousins</v>
      </c>
    </row>
    <row r="39" spans="2:20" x14ac:dyDescent="0.2">
      <c r="C39" s="34" t="str">
        <f>+C$6</f>
        <v>Matthew Stafford</v>
      </c>
    </row>
    <row r="40" spans="2:20" x14ac:dyDescent="0.2">
      <c r="C40" s="34" t="str">
        <f>+C$7</f>
        <v>Royce Freeman</v>
      </c>
    </row>
    <row r="41" spans="2:20" x14ac:dyDescent="0.2">
      <c r="C41" s="34" t="str">
        <f>+C$8</f>
        <v>Kenyan Drake</v>
      </c>
    </row>
    <row r="42" spans="2:20" x14ac:dyDescent="0.2">
      <c r="C42" s="34" t="str">
        <f>+C$9</f>
        <v>Tarik Cohen</v>
      </c>
    </row>
    <row r="43" spans="2:20" x14ac:dyDescent="0.2">
      <c r="C43" s="34" t="str">
        <f>+C$10</f>
        <v>Larry Fitzgerald</v>
      </c>
      <c r="G43" s="87"/>
    </row>
    <row r="44" spans="2:20" x14ac:dyDescent="0.2">
      <c r="C44" s="34" t="str">
        <f>+C$11</f>
        <v>Emmanuel Sanders</v>
      </c>
      <c r="G44" s="87"/>
    </row>
    <row r="45" spans="2:20" x14ac:dyDescent="0.2">
      <c r="C45" s="34" t="str">
        <f>+C$12</f>
        <v>Miachel Gallup</v>
      </c>
      <c r="G45" s="87"/>
    </row>
    <row r="46" spans="2:20" x14ac:dyDescent="0.2">
      <c r="C46" s="34" t="str">
        <f>+C$13</f>
        <v>Darren Waller</v>
      </c>
      <c r="G46" s="87"/>
    </row>
    <row r="47" spans="2:20" x14ac:dyDescent="0.2">
      <c r="C47" s="34" t="str">
        <f>+C$14</f>
        <v>Gerald Everett</v>
      </c>
      <c r="G47" s="87"/>
    </row>
    <row r="48" spans="2:20" x14ac:dyDescent="0.2">
      <c r="C48" s="34" t="str">
        <f>+C$15</f>
        <v>Baltimore Ravens</v>
      </c>
      <c r="G48" s="87"/>
    </row>
    <row r="49" spans="3:7" x14ac:dyDescent="0.2">
      <c r="C49" s="34" t="str">
        <f>+C$16</f>
        <v>Buffalo Bills</v>
      </c>
      <c r="G49" s="87"/>
    </row>
    <row r="50" spans="3:7" x14ac:dyDescent="0.2">
      <c r="C50" s="34" t="str">
        <f>+C$17</f>
        <v>Josh Lambo</v>
      </c>
      <c r="G50" s="87"/>
    </row>
    <row r="51" spans="3:7" x14ac:dyDescent="0.2">
      <c r="C51" s="34" t="str">
        <f>+C$18</f>
        <v>Brett Maher</v>
      </c>
      <c r="G51" s="87"/>
    </row>
    <row r="52" spans="3:7" x14ac:dyDescent="0.2">
      <c r="C52" s="51" t="str">
        <f>+E$5</f>
        <v>Jared Goff</v>
      </c>
      <c r="G52" s="87"/>
    </row>
    <row r="53" spans="3:7" x14ac:dyDescent="0.2">
      <c r="C53" s="34" t="str">
        <f>+E$6</f>
        <v>Josh Allen</v>
      </c>
      <c r="G53" s="87"/>
    </row>
    <row r="54" spans="3:7" x14ac:dyDescent="0.2">
      <c r="C54" s="34" t="str">
        <f>+E$7</f>
        <v>Matt Breida</v>
      </c>
      <c r="G54" s="87"/>
    </row>
    <row r="55" spans="3:7" x14ac:dyDescent="0.2">
      <c r="C55" s="34" t="str">
        <f>+E$8</f>
        <v>James White</v>
      </c>
      <c r="G55" s="87"/>
    </row>
    <row r="56" spans="3:7" x14ac:dyDescent="0.2">
      <c r="C56" s="34" t="str">
        <f>+E$9</f>
        <v>Justin Jackson</v>
      </c>
      <c r="G56" s="87"/>
    </row>
    <row r="57" spans="3:7" x14ac:dyDescent="0.2">
      <c r="C57" s="34" t="str">
        <f>+E$10</f>
        <v>Antonio Brown</v>
      </c>
    </row>
    <row r="58" spans="3:7" x14ac:dyDescent="0.2">
      <c r="C58" s="34" t="str">
        <f>+E$11</f>
        <v>Tyler Boyd</v>
      </c>
    </row>
    <row r="59" spans="3:7" x14ac:dyDescent="0.2">
      <c r="C59" s="34" t="str">
        <f>+E$12</f>
        <v>DK Metcalf</v>
      </c>
    </row>
    <row r="60" spans="3:7" x14ac:dyDescent="0.2">
      <c r="C60" s="34" t="str">
        <f>+E$13</f>
        <v>Virgil Green</v>
      </c>
    </row>
    <row r="61" spans="3:7" x14ac:dyDescent="0.2">
      <c r="C61" s="34" t="str">
        <f>+E$14</f>
        <v>Mark Andrews</v>
      </c>
    </row>
    <row r="62" spans="3:7" x14ac:dyDescent="0.2">
      <c r="C62" s="34" t="str">
        <f>+E$15</f>
        <v>New England Patriots</v>
      </c>
    </row>
    <row r="63" spans="3:7" x14ac:dyDescent="0.2">
      <c r="C63" s="34" t="str">
        <f>+E$16</f>
        <v>San Francisco 49ers</v>
      </c>
    </row>
    <row r="64" spans="3:7" x14ac:dyDescent="0.2">
      <c r="C64" s="34" t="str">
        <f>+E$17</f>
        <v>Harrison Butker</v>
      </c>
    </row>
    <row r="65" spans="3:3" x14ac:dyDescent="0.2">
      <c r="C65" s="34" t="str">
        <f>+E$18</f>
        <v>Jake Elliott</v>
      </c>
    </row>
    <row r="66" spans="3:3" x14ac:dyDescent="0.2">
      <c r="C66" s="51" t="str">
        <f>+G$5</f>
        <v>Jameis Winston</v>
      </c>
    </row>
    <row r="67" spans="3:3" x14ac:dyDescent="0.2">
      <c r="C67" s="34" t="str">
        <f>+G$6</f>
        <v>Jimmy Garoppolo</v>
      </c>
    </row>
    <row r="68" spans="3:3" x14ac:dyDescent="0.2">
      <c r="C68" s="34" t="str">
        <f>+G$7</f>
        <v>Chris Carson</v>
      </c>
    </row>
    <row r="69" spans="3:3" x14ac:dyDescent="0.2">
      <c r="C69" s="34" t="str">
        <f>+G$8</f>
        <v>Raheem Mostert</v>
      </c>
    </row>
    <row r="70" spans="3:3" x14ac:dyDescent="0.2">
      <c r="C70" s="34" t="str">
        <f>+G$9</f>
        <v>Miles Sanders</v>
      </c>
    </row>
    <row r="71" spans="3:3" x14ac:dyDescent="0.2">
      <c r="C71" s="34" t="str">
        <f>+G$10</f>
        <v>Chris Godwin</v>
      </c>
    </row>
    <row r="72" spans="3:3" x14ac:dyDescent="0.2">
      <c r="C72" s="34" t="str">
        <f>+G$11</f>
        <v>Marquise Brown</v>
      </c>
    </row>
    <row r="73" spans="3:3" x14ac:dyDescent="0.2">
      <c r="C73" s="34" t="str">
        <f>+G$12</f>
        <v>Calvin Ridley</v>
      </c>
    </row>
    <row r="74" spans="3:3" x14ac:dyDescent="0.2">
      <c r="C74" s="34" t="str">
        <f>+G$13</f>
        <v>Greg Olsen</v>
      </c>
    </row>
    <row r="75" spans="3:3" x14ac:dyDescent="0.2">
      <c r="C75" s="34" t="str">
        <f>+G$14</f>
        <v>Vernon Davis</v>
      </c>
    </row>
    <row r="76" spans="3:3" x14ac:dyDescent="0.2">
      <c r="C76" s="34" t="str">
        <f>+G$15</f>
        <v>Tampa Bay Buccaneers</v>
      </c>
    </row>
    <row r="77" spans="3:3" x14ac:dyDescent="0.2">
      <c r="C77" s="34" t="str">
        <f>+G$16</f>
        <v>Green Bay Packers</v>
      </c>
    </row>
    <row r="78" spans="3:3" x14ac:dyDescent="0.2">
      <c r="C78" s="34" t="str">
        <f>+G$17</f>
        <v>Robbie Gould</v>
      </c>
    </row>
    <row r="79" spans="3:3" x14ac:dyDescent="0.2">
      <c r="C79" s="34" t="str">
        <f>+G$18</f>
        <v>Joey Slye</v>
      </c>
    </row>
    <row r="80" spans="3:3" x14ac:dyDescent="0.2">
      <c r="C80" s="51" t="str">
        <f>+I$5</f>
        <v>Philip Rivers</v>
      </c>
    </row>
    <row r="81" spans="3:3" x14ac:dyDescent="0.2">
      <c r="C81" s="34" t="str">
        <f>+I$6</f>
        <v>Case Keenum</v>
      </c>
    </row>
    <row r="82" spans="3:3" x14ac:dyDescent="0.2">
      <c r="C82" s="34" t="str">
        <f>+I$7</f>
        <v>Austin Ekeler</v>
      </c>
    </row>
    <row r="83" spans="3:3" x14ac:dyDescent="0.2">
      <c r="C83" s="34" t="str">
        <f>+I$8</f>
        <v>Malcolm Brown</v>
      </c>
    </row>
    <row r="84" spans="3:3" x14ac:dyDescent="0.2">
      <c r="C84" s="34" t="str">
        <f>+I$9</f>
        <v>Adrian Peterson</v>
      </c>
    </row>
    <row r="85" spans="3:3" x14ac:dyDescent="0.2">
      <c r="C85" s="34" t="str">
        <f>+I$10</f>
        <v>Mike Williams</v>
      </c>
    </row>
    <row r="86" spans="3:3" x14ac:dyDescent="0.2">
      <c r="C86" s="34" t="str">
        <f>+I$11</f>
        <v>Brandin Cooks</v>
      </c>
    </row>
    <row r="87" spans="3:3" x14ac:dyDescent="0.2">
      <c r="C87" s="34" t="str">
        <f>+I$12</f>
        <v>Sterling Shepard</v>
      </c>
    </row>
    <row r="88" spans="3:3" x14ac:dyDescent="0.2">
      <c r="C88" s="34" t="str">
        <f>+I$13</f>
        <v>Jack Doyle</v>
      </c>
    </row>
    <row r="89" spans="3:3" x14ac:dyDescent="0.2">
      <c r="C89" s="34" t="str">
        <f>+I$14</f>
        <v>Will Dissly</v>
      </c>
    </row>
    <row r="90" spans="3:3" x14ac:dyDescent="0.2">
      <c r="C90" s="34" t="str">
        <f>+I$15</f>
        <v>Los Angeles Chargers</v>
      </c>
    </row>
    <row r="91" spans="3:3" x14ac:dyDescent="0.2">
      <c r="C91" s="34" t="str">
        <f>+I$16</f>
        <v>Atlanta Falcons</v>
      </c>
    </row>
    <row r="92" spans="3:3" x14ac:dyDescent="0.2">
      <c r="C92" s="34" t="str">
        <f>+I$17</f>
        <v>Jason Myers</v>
      </c>
    </row>
    <row r="93" spans="3:3" x14ac:dyDescent="0.2">
      <c r="C93" s="34" t="str">
        <f>+I$18</f>
        <v>Mason Crosby</v>
      </c>
    </row>
    <row r="94" spans="3:3" x14ac:dyDescent="0.2">
      <c r="C94" s="51" t="str">
        <f>+K$5</f>
        <v>Andy Dalton</v>
      </c>
    </row>
    <row r="95" spans="3:3" x14ac:dyDescent="0.2">
      <c r="C95" s="34" t="str">
        <f>+K$6</f>
        <v>Chase Daniel</v>
      </c>
    </row>
    <row r="96" spans="3:3" x14ac:dyDescent="0.2">
      <c r="C96" s="34" t="str">
        <f>+K$7</f>
        <v>Wayne Gallman</v>
      </c>
    </row>
    <row r="97" spans="3:3" x14ac:dyDescent="0.2">
      <c r="C97" s="34" t="str">
        <f>+K$8</f>
        <v>Devonta Freeman</v>
      </c>
    </row>
    <row r="98" spans="3:3" x14ac:dyDescent="0.2">
      <c r="C98" s="34" t="str">
        <f>+K$9</f>
        <v>LeSean McCoy</v>
      </c>
    </row>
    <row r="99" spans="3:3" x14ac:dyDescent="0.2">
      <c r="C99" s="34" t="str">
        <f>+K$10</f>
        <v>Marquez Valdes-Scantling</v>
      </c>
    </row>
    <row r="100" spans="3:3" x14ac:dyDescent="0.2">
      <c r="C100" s="34" t="str">
        <f>+K$11</f>
        <v>Julian Edelman</v>
      </c>
    </row>
    <row r="101" spans="3:3" x14ac:dyDescent="0.2">
      <c r="C101" s="34" t="str">
        <f>+K$12</f>
        <v>Courtland Sutton</v>
      </c>
    </row>
    <row r="102" spans="3:3" x14ac:dyDescent="0.2">
      <c r="C102" s="34" t="str">
        <f>+K$13</f>
        <v>Austin Hooper</v>
      </c>
    </row>
    <row r="103" spans="3:3" x14ac:dyDescent="0.2">
      <c r="C103" s="34" t="str">
        <f>+K$14</f>
        <v>Jimmy Graham</v>
      </c>
    </row>
    <row r="104" spans="3:3" x14ac:dyDescent="0.2">
      <c r="C104" s="34" t="str">
        <f>+K$15</f>
        <v>Arizona Cardinals</v>
      </c>
    </row>
    <row r="105" spans="3:3" x14ac:dyDescent="0.2">
      <c r="C105" s="34" t="str">
        <f>+K$16</f>
        <v>Carolina Panthers</v>
      </c>
    </row>
    <row r="106" spans="3:3" x14ac:dyDescent="0.2">
      <c r="C106" s="34" t="str">
        <f>+K$17</f>
        <v>Chase McLaughlin</v>
      </c>
    </row>
    <row r="107" spans="3:3" x14ac:dyDescent="0.2">
      <c r="C107" s="34" t="str">
        <f>+K$18</f>
        <v>Eddy Pineiro</v>
      </c>
    </row>
    <row r="108" spans="3:3" x14ac:dyDescent="0.2">
      <c r="C108" s="51" t="str">
        <f>+M$5</f>
        <v>Josh Rosen</v>
      </c>
    </row>
    <row r="109" spans="3:3" x14ac:dyDescent="0.2">
      <c r="C109" s="34" t="str">
        <f>+M$6</f>
        <v>Kyle Allen</v>
      </c>
    </row>
    <row r="110" spans="3:3" x14ac:dyDescent="0.2">
      <c r="C110" s="34" t="str">
        <f>+M$7</f>
        <v>Kerryon Johnson</v>
      </c>
    </row>
    <row r="111" spans="3:3" x14ac:dyDescent="0.2">
      <c r="C111" s="34" t="str">
        <f>+M$8</f>
        <v>Chris Thompson</v>
      </c>
    </row>
    <row r="112" spans="3:3" x14ac:dyDescent="0.2">
      <c r="C112" s="34" t="str">
        <f>+M$9</f>
        <v>James Conner</v>
      </c>
    </row>
    <row r="113" spans="3:3" x14ac:dyDescent="0.2">
      <c r="C113" s="34" t="str">
        <f>+M$10</f>
        <v>DJ Chark</v>
      </c>
    </row>
    <row r="114" spans="3:3" x14ac:dyDescent="0.2">
      <c r="C114" s="34" t="str">
        <f>+M$11</f>
        <v>Mohamed Sanu</v>
      </c>
    </row>
    <row r="115" spans="3:3" x14ac:dyDescent="0.2">
      <c r="C115" s="34" t="str">
        <f>+M$12</f>
        <v>Preston Williams</v>
      </c>
    </row>
    <row r="116" spans="3:3" x14ac:dyDescent="0.2">
      <c r="C116" s="34" t="str">
        <f>+M$13</f>
        <v>Noah Fant</v>
      </c>
    </row>
    <row r="117" spans="3:3" x14ac:dyDescent="0.2">
      <c r="C117" s="34" t="str">
        <f>+M$14</f>
        <v>Ricky Seals-Jones</v>
      </c>
    </row>
    <row r="118" spans="3:3" x14ac:dyDescent="0.2">
      <c r="C118" s="34" t="str">
        <f>+M$15</f>
        <v>Washington Redskins</v>
      </c>
    </row>
    <row r="119" spans="3:3" x14ac:dyDescent="0.2">
      <c r="C119" s="34" t="str">
        <f>+M$16</f>
        <v>Miami Dolphins</v>
      </c>
    </row>
    <row r="120" spans="3:3" x14ac:dyDescent="0.2">
      <c r="C120" s="34" t="str">
        <f>+M$17</f>
        <v>Ka'imi Fairbairn</v>
      </c>
    </row>
    <row r="121" spans="3:3" x14ac:dyDescent="0.2">
      <c r="C121" s="34" t="str">
        <f>+M$18</f>
        <v>Matt Gay</v>
      </c>
    </row>
    <row r="122" spans="3:3" x14ac:dyDescent="0.2">
      <c r="C122" s="51" t="str">
        <f>+O$5</f>
        <v>Kyler Murray</v>
      </c>
    </row>
    <row r="123" spans="3:3" x14ac:dyDescent="0.2">
      <c r="C123" s="34" t="str">
        <f>+O$6</f>
        <v>Gardner Minshew</v>
      </c>
    </row>
    <row r="124" spans="3:3" x14ac:dyDescent="0.2">
      <c r="C124" s="34" t="str">
        <f>+O$7</f>
        <v>Phillip Lindsay</v>
      </c>
    </row>
    <row r="125" spans="3:3" x14ac:dyDescent="0.2">
      <c r="C125" s="34" t="str">
        <f>+O$8</f>
        <v>Jordan Howard</v>
      </c>
    </row>
    <row r="126" spans="3:3" x14ac:dyDescent="0.2">
      <c r="C126" s="34" t="str">
        <f>+O$9</f>
        <v>Tevin Coleman</v>
      </c>
    </row>
    <row r="127" spans="3:3" x14ac:dyDescent="0.2">
      <c r="C127" s="34" t="str">
        <f>+O$10</f>
        <v>Robert Woods</v>
      </c>
    </row>
    <row r="128" spans="3:3" x14ac:dyDescent="0.2">
      <c r="C128" s="34" t="str">
        <f>+O$11</f>
        <v>John Brown</v>
      </c>
    </row>
    <row r="129" spans="3:3" x14ac:dyDescent="0.2">
      <c r="C129" s="34" t="str">
        <f>+O$12</f>
        <v>Auden Tate</v>
      </c>
    </row>
    <row r="130" spans="3:3" x14ac:dyDescent="0.2">
      <c r="C130" s="34" t="str">
        <f>+O$13</f>
        <v>Darren Fells</v>
      </c>
    </row>
    <row r="131" spans="3:3" x14ac:dyDescent="0.2">
      <c r="C131" s="34" t="str">
        <f>+O$14</f>
        <v>Dawson Knox</v>
      </c>
    </row>
    <row r="132" spans="3:3" x14ac:dyDescent="0.2">
      <c r="C132" s="34" t="str">
        <f>+O$15</f>
        <v>Tennessee Titans</v>
      </c>
    </row>
    <row r="133" spans="3:3" x14ac:dyDescent="0.2">
      <c r="C133" s="34" t="str">
        <f>+O$16</f>
        <v>Kansas City Chiefs</v>
      </c>
    </row>
    <row r="134" spans="3:3" x14ac:dyDescent="0.2">
      <c r="C134" s="34" t="str">
        <f>+O$17</f>
        <v>Zane Gonzalez</v>
      </c>
    </row>
    <row r="135" spans="3:3" x14ac:dyDescent="0.2">
      <c r="C135" s="34" t="str">
        <f>+O$18</f>
        <v>Matt Bryant</v>
      </c>
    </row>
    <row r="136" spans="3:3" x14ac:dyDescent="0.2">
      <c r="C136" s="51" t="str">
        <f>+Q$5</f>
        <v>Matt Moore</v>
      </c>
    </row>
    <row r="137" spans="3:3" x14ac:dyDescent="0.2">
      <c r="C137" s="34" t="str">
        <f>+Q$6</f>
        <v>Aaron Rodgers</v>
      </c>
    </row>
    <row r="138" spans="3:3" x14ac:dyDescent="0.2">
      <c r="C138" s="34" t="str">
        <f>+Q$7</f>
        <v>Aaron Jones</v>
      </c>
    </row>
    <row r="139" spans="3:3" x14ac:dyDescent="0.2">
      <c r="C139" s="34" t="str">
        <f>+Q$8</f>
        <v>Chase Edmonds</v>
      </c>
    </row>
    <row r="140" spans="3:3" x14ac:dyDescent="0.2">
      <c r="C140" s="34" t="str">
        <f>+Q$9</f>
        <v>Sony Michel</v>
      </c>
    </row>
    <row r="141" spans="3:3" x14ac:dyDescent="0.2">
      <c r="C141" s="34" t="str">
        <f>+Q$10</f>
        <v>Kenny Stills</v>
      </c>
    </row>
    <row r="142" spans="3:3" x14ac:dyDescent="0.2">
      <c r="C142" s="34" t="str">
        <f>+Q$11</f>
        <v>Kenny Golladay</v>
      </c>
    </row>
    <row r="143" spans="3:3" x14ac:dyDescent="0.2">
      <c r="C143" s="34" t="str">
        <f>+Q$12</f>
        <v>Golden Tate</v>
      </c>
    </row>
    <row r="144" spans="3:3" x14ac:dyDescent="0.2">
      <c r="C144" s="34" t="str">
        <f>+Q$13</f>
        <v>Evan Engram</v>
      </c>
    </row>
    <row r="145" spans="3:3" x14ac:dyDescent="0.2">
      <c r="C145" s="34" t="str">
        <f>+Q$14</f>
        <v>Jonnu Smith</v>
      </c>
    </row>
    <row r="146" spans="3:3" x14ac:dyDescent="0.2">
      <c r="C146" s="34" t="str">
        <f>+Q$15</f>
        <v>Los Angeles Rams</v>
      </c>
    </row>
    <row r="147" spans="3:3" x14ac:dyDescent="0.2">
      <c r="C147" s="34" t="str">
        <f>+Q$16</f>
        <v>Pittsburgh Steelers</v>
      </c>
    </row>
    <row r="148" spans="3:3" x14ac:dyDescent="0.2">
      <c r="C148" s="34" t="str">
        <f>+Q$17</f>
        <v>Matt Prater</v>
      </c>
    </row>
    <row r="149" spans="3:3" x14ac:dyDescent="0.2">
      <c r="C149" s="34" t="str">
        <f>+Q$18</f>
        <v>Mike Nugent</v>
      </c>
    </row>
    <row r="150" spans="3:3" x14ac:dyDescent="0.2">
      <c r="C150" s="51" t="str">
        <f>+C$22</f>
        <v>Sam Darnold</v>
      </c>
    </row>
    <row r="151" spans="3:3" x14ac:dyDescent="0.2">
      <c r="C151" s="34" t="str">
        <f>+C$23</f>
        <v>Dak Prescott</v>
      </c>
    </row>
    <row r="152" spans="3:3" x14ac:dyDescent="0.2">
      <c r="C152" s="34" t="str">
        <f>+C$24</f>
        <v>Mark Walton</v>
      </c>
    </row>
    <row r="153" spans="3:3" x14ac:dyDescent="0.2">
      <c r="C153" s="34" t="str">
        <f>+C$25</f>
        <v>Derrick Henry</v>
      </c>
    </row>
    <row r="154" spans="3:3" x14ac:dyDescent="0.2">
      <c r="C154" s="34" t="str">
        <f>+C$26</f>
        <v>Dalvin Cook</v>
      </c>
    </row>
    <row r="155" spans="3:3" x14ac:dyDescent="0.2">
      <c r="C155" s="34" t="str">
        <f>+C$27</f>
        <v>Allen Robinson</v>
      </c>
    </row>
    <row r="156" spans="3:3" x14ac:dyDescent="0.2">
      <c r="C156" s="34" t="str">
        <f>+C$28</f>
        <v>Jamison Crowder</v>
      </c>
    </row>
    <row r="157" spans="3:3" x14ac:dyDescent="0.2">
      <c r="C157" s="34" t="str">
        <f>+C$29</f>
        <v>Tyrell Williams</v>
      </c>
    </row>
    <row r="158" spans="3:3" x14ac:dyDescent="0.2">
      <c r="C158" s="34" t="str">
        <f>+C$30</f>
        <v>T.J. Hockenson</v>
      </c>
    </row>
    <row r="159" spans="3:3" x14ac:dyDescent="0.2">
      <c r="C159" s="34" t="str">
        <f>+C$31</f>
        <v>Dallas Goedert</v>
      </c>
    </row>
    <row r="160" spans="3:3" x14ac:dyDescent="0.2">
      <c r="C160" s="34" t="str">
        <f>+C$32</f>
        <v>New York Jets</v>
      </c>
    </row>
    <row r="161" spans="3:3" x14ac:dyDescent="0.2">
      <c r="C161" s="34" t="str">
        <f>+C$33</f>
        <v>Dallas Cowboys</v>
      </c>
    </row>
    <row r="162" spans="3:3" x14ac:dyDescent="0.2">
      <c r="C162" s="34" t="str">
        <f>+C$34</f>
        <v>Austin Seibert</v>
      </c>
    </row>
    <row r="163" spans="3:3" x14ac:dyDescent="0.2">
      <c r="C163" s="34" t="str">
        <f>+C$35</f>
        <v>Nick Folk</v>
      </c>
    </row>
    <row r="164" spans="3:3" x14ac:dyDescent="0.2">
      <c r="C164" s="51" t="str">
        <f>+E$22</f>
        <v>Ryan Tannehill</v>
      </c>
    </row>
    <row r="165" spans="3:3" x14ac:dyDescent="0.2">
      <c r="C165" s="34" t="str">
        <f>+E$23</f>
        <v>Daniel Jones</v>
      </c>
    </row>
    <row r="166" spans="3:3" x14ac:dyDescent="0.2">
      <c r="C166" s="34" t="str">
        <f>+E$24</f>
        <v>Jaylen Samuels</v>
      </c>
    </row>
    <row r="167" spans="3:3" x14ac:dyDescent="0.2">
      <c r="C167" s="34" t="str">
        <f>+E$25</f>
        <v>Mark Ingram</v>
      </c>
    </row>
    <row r="168" spans="3:3" x14ac:dyDescent="0.2">
      <c r="C168" s="34" t="str">
        <f>+E$26</f>
        <v>David Montgomery</v>
      </c>
    </row>
    <row r="169" spans="3:3" x14ac:dyDescent="0.2">
      <c r="C169" s="34" t="str">
        <f>+E$27</f>
        <v>Christian Kirk</v>
      </c>
    </row>
    <row r="170" spans="3:3" x14ac:dyDescent="0.2">
      <c r="C170" s="34" t="str">
        <f>+E$28</f>
        <v>Zach Pascal</v>
      </c>
    </row>
    <row r="171" spans="3:3" x14ac:dyDescent="0.2">
      <c r="C171" s="34" t="str">
        <f>+E$29</f>
        <v>D.J. Moore</v>
      </c>
    </row>
    <row r="172" spans="3:3" x14ac:dyDescent="0.2">
      <c r="C172" s="34" t="str">
        <f>+E$30</f>
        <v>O.J. Howard</v>
      </c>
    </row>
    <row r="173" spans="3:3" x14ac:dyDescent="0.2">
      <c r="C173" s="34" t="str">
        <f>+E$31</f>
        <v>Kyle Rudolph</v>
      </c>
    </row>
    <row r="174" spans="3:3" x14ac:dyDescent="0.2">
      <c r="C174" s="34" t="str">
        <f>+E$32</f>
        <v>Indianapolis Colts</v>
      </c>
    </row>
    <row r="175" spans="3:3" x14ac:dyDescent="0.2">
      <c r="C175" s="34" t="str">
        <f>+E$33</f>
        <v>New York Giants</v>
      </c>
    </row>
    <row r="176" spans="3:3" x14ac:dyDescent="0.2">
      <c r="C176" s="34" t="str">
        <f>+E$34</f>
        <v>Wil Lutz</v>
      </c>
    </row>
    <row r="177" spans="3:3" x14ac:dyDescent="0.2">
      <c r="C177" s="34" t="str">
        <f>+E$35</f>
        <v>Adam Vinatieri</v>
      </c>
    </row>
    <row r="178" spans="3:3" x14ac:dyDescent="0.2">
      <c r="C178" s="51" t="str">
        <f>+G$22</f>
        <v>Andy Dalton</v>
      </c>
    </row>
    <row r="179" spans="3:3" x14ac:dyDescent="0.2">
      <c r="C179" s="34" t="str">
        <f>+G$23</f>
        <v>Tom Brady</v>
      </c>
    </row>
    <row r="180" spans="3:3" x14ac:dyDescent="0.2">
      <c r="C180" s="34" t="str">
        <f>+G$24</f>
        <v>Brian Hill</v>
      </c>
    </row>
    <row r="181" spans="3:3" x14ac:dyDescent="0.2">
      <c r="C181" s="34" t="str">
        <f>+G$25</f>
        <v>Melvin Gordon</v>
      </c>
    </row>
    <row r="182" spans="3:3" x14ac:dyDescent="0.2">
      <c r="C182" s="34" t="str">
        <f>+G$26</f>
        <v>Tevin Coleman</v>
      </c>
    </row>
    <row r="183" spans="3:3" x14ac:dyDescent="0.2">
      <c r="C183" s="34" t="str">
        <f>+G$27</f>
        <v>Cole Beasley</v>
      </c>
    </row>
    <row r="184" spans="3:3" x14ac:dyDescent="0.2">
      <c r="C184" s="34" t="str">
        <f>+G$28</f>
        <v>Auden Tate</v>
      </c>
    </row>
    <row r="185" spans="3:3" x14ac:dyDescent="0.2">
      <c r="C185" s="34" t="str">
        <f>+G$29</f>
        <v>Curtis Samuel</v>
      </c>
    </row>
    <row r="186" spans="3:3" x14ac:dyDescent="0.2">
      <c r="C186" s="34" t="str">
        <f>+G$30</f>
        <v>Jared Cook</v>
      </c>
    </row>
    <row r="187" spans="3:3" x14ac:dyDescent="0.2">
      <c r="C187" s="34" t="str">
        <f>+G$31</f>
        <v>Dawson Knox</v>
      </c>
    </row>
    <row r="188" spans="3:3" x14ac:dyDescent="0.2">
      <c r="C188" s="34" t="str">
        <f>+G$32</f>
        <v>Brandon McManus</v>
      </c>
    </row>
    <row r="189" spans="3:3" x14ac:dyDescent="0.2">
      <c r="C189" s="34" t="str">
        <f>+G$33</f>
        <v>Chase McLaughlin</v>
      </c>
    </row>
    <row r="190" spans="3:3" x14ac:dyDescent="0.2">
      <c r="C190" s="34" t="str">
        <f>+G$34</f>
        <v>Jacksonville Jaguars</v>
      </c>
    </row>
    <row r="191" spans="3:3" x14ac:dyDescent="0.2">
      <c r="C191" s="34" t="str">
        <f>+G$35</f>
        <v>New York Jets</v>
      </c>
    </row>
    <row r="192" spans="3:3" x14ac:dyDescent="0.2">
      <c r="C192" s="51" t="str">
        <f>+I$22</f>
        <v>Lamar Jackson</v>
      </c>
    </row>
    <row r="193" spans="3:3" x14ac:dyDescent="0.2">
      <c r="C193" s="34" t="str">
        <f>+I$23</f>
        <v>Jeff Driskel</v>
      </c>
    </row>
    <row r="194" spans="3:3" x14ac:dyDescent="0.2">
      <c r="C194" s="34" t="str">
        <f>+I$24</f>
        <v>Jaylen Samuels</v>
      </c>
    </row>
    <row r="195" spans="3:3" x14ac:dyDescent="0.2">
      <c r="C195" s="34" t="str">
        <f>+I$25</f>
        <v>Alvin Kamara</v>
      </c>
    </row>
    <row r="196" spans="3:3" x14ac:dyDescent="0.2">
      <c r="C196" s="34" t="str">
        <f>+I$26</f>
        <v>Nick Chubb</v>
      </c>
    </row>
    <row r="197" spans="3:3" x14ac:dyDescent="0.2">
      <c r="C197" s="34" t="str">
        <f>+I$27</f>
        <v>Julio Jones</v>
      </c>
    </row>
    <row r="198" spans="3:3" x14ac:dyDescent="0.2">
      <c r="C198" s="34" t="str">
        <f>+I$28</f>
        <v>DK Metcalf</v>
      </c>
    </row>
    <row r="199" spans="3:3" x14ac:dyDescent="0.2">
      <c r="C199" s="34" t="str">
        <f>+I$29</f>
        <v>Jarvis Landry</v>
      </c>
    </row>
    <row r="200" spans="3:3" x14ac:dyDescent="0.2">
      <c r="C200" s="34" t="str">
        <f>+I$30</f>
        <v>Dallas Goedert</v>
      </c>
    </row>
    <row r="201" spans="3:3" x14ac:dyDescent="0.2">
      <c r="C201" s="34" t="str">
        <f>+I$31</f>
        <v>Cameron Brate</v>
      </c>
    </row>
    <row r="202" spans="3:3" x14ac:dyDescent="0.2">
      <c r="C202" s="34" t="str">
        <f>+I$32</f>
        <v>Baltimore Ravens</v>
      </c>
    </row>
    <row r="203" spans="3:3" x14ac:dyDescent="0.2">
      <c r="C203" s="34" t="str">
        <f>+I$33</f>
        <v>Washington Redskins</v>
      </c>
    </row>
    <row r="204" spans="3:3" x14ac:dyDescent="0.2">
      <c r="C204" s="34" t="str">
        <f>+I$34</f>
        <v>Younghoe Koo</v>
      </c>
    </row>
    <row r="205" spans="3:3" x14ac:dyDescent="0.2">
      <c r="C205" s="34" t="str">
        <f>+I$35</f>
        <v>Mason Crosby</v>
      </c>
    </row>
    <row r="206" spans="3:3" x14ac:dyDescent="0.2">
      <c r="C206" s="51" t="str">
        <f>+K$22</f>
        <v>Aaron Rodgers</v>
      </c>
    </row>
    <row r="207" spans="3:3" x14ac:dyDescent="0.2">
      <c r="C207" s="34" t="str">
        <f>+K$23</f>
        <v>Ryan Tannehill</v>
      </c>
    </row>
    <row r="208" spans="3:3" x14ac:dyDescent="0.2">
      <c r="C208" s="34" t="str">
        <f>+K$24</f>
        <v>Christian McCaffrey</v>
      </c>
    </row>
    <row r="209" spans="3:3" x14ac:dyDescent="0.2">
      <c r="C209" s="34" t="str">
        <f>+K$25</f>
        <v>Ronald Jones</v>
      </c>
    </row>
    <row r="210" spans="3:3" x14ac:dyDescent="0.2">
      <c r="C210" s="34" t="str">
        <f>+K$26</f>
        <v>Kenyan Drake</v>
      </c>
    </row>
    <row r="211" spans="3:3" x14ac:dyDescent="0.2">
      <c r="C211" s="34" t="str">
        <f>+K$27</f>
        <v>Robert Woods</v>
      </c>
    </row>
    <row r="212" spans="3:3" x14ac:dyDescent="0.2">
      <c r="C212" s="34" t="str">
        <f>+K$28</f>
        <v>Robby Anderson</v>
      </c>
    </row>
    <row r="213" spans="3:3" x14ac:dyDescent="0.2">
      <c r="C213" s="34" t="str">
        <f>+K$29</f>
        <v>Nkeal Harry</v>
      </c>
    </row>
    <row r="214" spans="3:3" x14ac:dyDescent="0.2">
      <c r="C214" s="34" t="str">
        <f>+K$30</f>
        <v>OJ Howard</v>
      </c>
    </row>
    <row r="215" spans="3:3" x14ac:dyDescent="0.2">
      <c r="C215" s="34" t="str">
        <f>+K$31</f>
        <v>Marcedes Lewis</v>
      </c>
    </row>
    <row r="216" spans="3:3" x14ac:dyDescent="0.2">
      <c r="C216" s="34" t="str">
        <f>+K$32</f>
        <v>Jason Myers</v>
      </c>
    </row>
    <row r="217" spans="3:3" x14ac:dyDescent="0.2">
      <c r="C217" s="34" t="str">
        <f>+K$33</f>
        <v>Nick Folk</v>
      </c>
    </row>
    <row r="218" spans="3:3" x14ac:dyDescent="0.2">
      <c r="C218" s="34" t="str">
        <f>+K$34</f>
        <v>Miami Dolphins</v>
      </c>
    </row>
    <row r="219" spans="3:3" x14ac:dyDescent="0.2">
      <c r="C219" s="34" t="str">
        <f>+K$35</f>
        <v>Los Angeles Chargers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46D6-77ED-2641-9E9F-4ABCA2C20420}">
  <dimension ref="A1:A29"/>
  <sheetViews>
    <sheetView tabSelected="1" workbookViewId="0">
      <selection activeCell="C12" sqref="C12"/>
    </sheetView>
  </sheetViews>
  <sheetFormatPr baseColWidth="10" defaultRowHeight="13" x14ac:dyDescent="0.15"/>
  <sheetData>
    <row r="1" spans="1:1" x14ac:dyDescent="0.15">
      <c r="A1" t="s">
        <v>936</v>
      </c>
    </row>
    <row r="2" spans="1:1" x14ac:dyDescent="0.15">
      <c r="A2" t="s">
        <v>248</v>
      </c>
    </row>
    <row r="3" spans="1:1" x14ac:dyDescent="0.15">
      <c r="A3" t="s">
        <v>297</v>
      </c>
    </row>
    <row r="4" spans="1:1" x14ac:dyDescent="0.15">
      <c r="A4" t="s">
        <v>548</v>
      </c>
    </row>
    <row r="5" spans="1:1" x14ac:dyDescent="0.15">
      <c r="A5" t="s">
        <v>246</v>
      </c>
    </row>
    <row r="6" spans="1:1" x14ac:dyDescent="0.15">
      <c r="A6" t="s">
        <v>391</v>
      </c>
    </row>
    <row r="7" spans="1:1" x14ac:dyDescent="0.15">
      <c r="A7" t="s">
        <v>254</v>
      </c>
    </row>
    <row r="8" spans="1:1" x14ac:dyDescent="0.15">
      <c r="A8" t="s">
        <v>176</v>
      </c>
    </row>
    <row r="9" spans="1:1" x14ac:dyDescent="0.15">
      <c r="A9" t="s">
        <v>901</v>
      </c>
    </row>
    <row r="10" spans="1:1" x14ac:dyDescent="0.15">
      <c r="A10" t="s">
        <v>633</v>
      </c>
    </row>
    <row r="11" spans="1:1" x14ac:dyDescent="0.15">
      <c r="A11" t="s">
        <v>113</v>
      </c>
    </row>
    <row r="12" spans="1:1" x14ac:dyDescent="0.15">
      <c r="A12" t="s">
        <v>784</v>
      </c>
    </row>
    <row r="13" spans="1:1" x14ac:dyDescent="0.15">
      <c r="A13" t="s">
        <v>785</v>
      </c>
    </row>
    <row r="14" spans="1:1" x14ac:dyDescent="0.15">
      <c r="A14" t="s">
        <v>840</v>
      </c>
    </row>
    <row r="15" spans="1:1" x14ac:dyDescent="0.15">
      <c r="A15" t="s">
        <v>842</v>
      </c>
    </row>
    <row r="16" spans="1:1" x14ac:dyDescent="0.15">
      <c r="A16" t="s">
        <v>197</v>
      </c>
    </row>
    <row r="17" spans="1:1" x14ac:dyDescent="0.15">
      <c r="A17" t="s">
        <v>531</v>
      </c>
    </row>
    <row r="18" spans="1:1" x14ac:dyDescent="0.15">
      <c r="A18" t="s">
        <v>286</v>
      </c>
    </row>
    <row r="19" spans="1:1" x14ac:dyDescent="0.15">
      <c r="A19" t="s">
        <v>195</v>
      </c>
    </row>
    <row r="20" spans="1:1" x14ac:dyDescent="0.15">
      <c r="A20" t="s">
        <v>571</v>
      </c>
    </row>
    <row r="21" spans="1:1" x14ac:dyDescent="0.15">
      <c r="A21" t="s">
        <v>106</v>
      </c>
    </row>
    <row r="22" spans="1:1" x14ac:dyDescent="0.15">
      <c r="A22" t="s">
        <v>328</v>
      </c>
    </row>
    <row r="23" spans="1:1" x14ac:dyDescent="0.15">
      <c r="A23" t="s">
        <v>708</v>
      </c>
    </row>
    <row r="24" spans="1:1" x14ac:dyDescent="0.15">
      <c r="A24" t="s">
        <v>212</v>
      </c>
    </row>
    <row r="25" spans="1:1" x14ac:dyDescent="0.15">
      <c r="A25" t="s">
        <v>556</v>
      </c>
    </row>
    <row r="26" spans="1:1" x14ac:dyDescent="0.15">
      <c r="A26" t="s">
        <v>802</v>
      </c>
    </row>
    <row r="27" spans="1:1" x14ac:dyDescent="0.15">
      <c r="A27" t="s">
        <v>809</v>
      </c>
    </row>
    <row r="28" spans="1:1" x14ac:dyDescent="0.15">
      <c r="A28" t="s">
        <v>823</v>
      </c>
    </row>
    <row r="29" spans="1:1" x14ac:dyDescent="0.15">
      <c r="A29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F062-C2BC-4C6F-BD1E-8FB25285C0AB}">
  <dimension ref="B2:T261"/>
  <sheetViews>
    <sheetView showGridLines="0" topLeftCell="A17" workbookViewId="0">
      <selection activeCell="C38" sqref="C38:C65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898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248</v>
      </c>
      <c r="D5" s="38"/>
      <c r="E5" s="37" t="s">
        <v>197</v>
      </c>
      <c r="F5" s="38"/>
      <c r="G5" s="37" t="s">
        <v>194</v>
      </c>
      <c r="H5" s="38"/>
      <c r="I5" s="37" t="s">
        <v>343</v>
      </c>
      <c r="J5" s="38"/>
      <c r="K5" s="37" t="s">
        <v>105</v>
      </c>
      <c r="L5" s="38"/>
      <c r="M5" s="37" t="s">
        <v>541</v>
      </c>
      <c r="N5" s="38"/>
      <c r="O5" s="37" t="s">
        <v>709</v>
      </c>
      <c r="P5" s="38"/>
      <c r="Q5" s="37" t="s">
        <v>288</v>
      </c>
      <c r="R5" s="38"/>
      <c r="S5" s="39"/>
    </row>
    <row r="6" spans="2:19" x14ac:dyDescent="0.2">
      <c r="B6" s="40" t="s">
        <v>881</v>
      </c>
      <c r="C6" s="41" t="s">
        <v>297</v>
      </c>
      <c r="D6" s="42"/>
      <c r="E6" s="41" t="s">
        <v>531</v>
      </c>
      <c r="F6" s="42"/>
      <c r="G6" s="41" t="s">
        <v>209</v>
      </c>
      <c r="H6" s="42"/>
      <c r="I6" s="41" t="s">
        <v>129</v>
      </c>
      <c r="J6" s="42"/>
      <c r="K6" s="41" t="s">
        <v>588</v>
      </c>
      <c r="L6" s="42"/>
      <c r="M6" s="41" t="s">
        <v>594</v>
      </c>
      <c r="N6" s="42"/>
      <c r="O6" s="41" t="s">
        <v>766</v>
      </c>
      <c r="P6" s="42"/>
      <c r="Q6" s="41" t="s">
        <v>89</v>
      </c>
      <c r="R6" s="42"/>
      <c r="S6" s="39"/>
    </row>
    <row r="7" spans="2:19" x14ac:dyDescent="0.2">
      <c r="B7" s="40" t="s">
        <v>882</v>
      </c>
      <c r="C7" s="41" t="s">
        <v>548</v>
      </c>
      <c r="D7" s="42"/>
      <c r="E7" s="41" t="s">
        <v>286</v>
      </c>
      <c r="F7" s="42"/>
      <c r="G7" s="41" t="s">
        <v>131</v>
      </c>
      <c r="H7" s="42"/>
      <c r="I7" s="41" t="s">
        <v>12</v>
      </c>
      <c r="J7" s="42"/>
      <c r="K7" s="41" t="s">
        <v>440</v>
      </c>
      <c r="L7" s="42"/>
      <c r="M7" s="41" t="s">
        <v>542</v>
      </c>
      <c r="N7" s="42"/>
      <c r="O7" s="41" t="s">
        <v>532</v>
      </c>
      <c r="P7" s="42"/>
      <c r="Q7" s="41" t="s">
        <v>88</v>
      </c>
      <c r="R7" s="42"/>
      <c r="S7" s="39"/>
    </row>
    <row r="8" spans="2:19" x14ac:dyDescent="0.2">
      <c r="B8" s="40" t="s">
        <v>883</v>
      </c>
      <c r="C8" s="41" t="s">
        <v>246</v>
      </c>
      <c r="D8" s="42"/>
      <c r="E8" s="41" t="s">
        <v>195</v>
      </c>
      <c r="F8" s="42"/>
      <c r="G8" s="41" t="s">
        <v>510</v>
      </c>
      <c r="H8" s="42"/>
      <c r="I8" s="41" t="s">
        <v>67</v>
      </c>
      <c r="J8" s="42"/>
      <c r="K8" s="41" t="s">
        <v>160</v>
      </c>
      <c r="L8" s="42"/>
      <c r="M8" s="41" t="s">
        <v>133</v>
      </c>
      <c r="N8" s="42"/>
      <c r="O8" s="41" t="s">
        <v>217</v>
      </c>
      <c r="P8" s="42"/>
      <c r="Q8" s="41" t="s">
        <v>576</v>
      </c>
      <c r="R8" s="42"/>
      <c r="S8" s="39"/>
    </row>
    <row r="9" spans="2:19" x14ac:dyDescent="0.2">
      <c r="B9" s="40" t="s">
        <v>884</v>
      </c>
      <c r="C9" s="41" t="s">
        <v>391</v>
      </c>
      <c r="D9" s="42"/>
      <c r="E9" s="41" t="s">
        <v>571</v>
      </c>
      <c r="F9" s="42"/>
      <c r="G9" s="41" t="s">
        <v>705</v>
      </c>
      <c r="H9" s="42"/>
      <c r="I9" s="41" t="s">
        <v>92</v>
      </c>
      <c r="J9" s="42"/>
      <c r="K9" s="41" t="s">
        <v>266</v>
      </c>
      <c r="L9" s="42"/>
      <c r="M9" s="41" t="s">
        <v>310</v>
      </c>
      <c r="N9" s="42"/>
      <c r="O9" s="41" t="s">
        <v>405</v>
      </c>
      <c r="P9" s="42"/>
      <c r="Q9" s="41" t="s">
        <v>539</v>
      </c>
      <c r="R9" s="42"/>
      <c r="S9" s="39"/>
    </row>
    <row r="10" spans="2:19" x14ac:dyDescent="0.2">
      <c r="B10" s="40" t="s">
        <v>885</v>
      </c>
      <c r="C10" s="41" t="s">
        <v>254</v>
      </c>
      <c r="D10" s="42"/>
      <c r="E10" s="41" t="s">
        <v>106</v>
      </c>
      <c r="F10" s="42"/>
      <c r="G10" s="41" t="s">
        <v>24</v>
      </c>
      <c r="H10" s="42"/>
      <c r="I10" s="41" t="s">
        <v>367</v>
      </c>
      <c r="J10" s="42"/>
      <c r="K10" s="41" t="s">
        <v>558</v>
      </c>
      <c r="L10" s="42"/>
      <c r="M10" s="41" t="s">
        <v>614</v>
      </c>
      <c r="N10" s="42"/>
      <c r="O10" s="41" t="s">
        <v>359</v>
      </c>
      <c r="P10" s="42"/>
      <c r="Q10" s="41" t="s">
        <v>243</v>
      </c>
      <c r="R10" s="42"/>
      <c r="S10" s="39"/>
    </row>
    <row r="11" spans="2:19" x14ac:dyDescent="0.2">
      <c r="B11" s="40" t="s">
        <v>886</v>
      </c>
      <c r="C11" s="41" t="s">
        <v>176</v>
      </c>
      <c r="D11" s="42"/>
      <c r="E11" s="41" t="s">
        <v>328</v>
      </c>
      <c r="F11" s="42"/>
      <c r="G11" s="41" t="s">
        <v>712</v>
      </c>
      <c r="H11" s="42"/>
      <c r="I11" s="41" t="s">
        <v>117</v>
      </c>
      <c r="J11" s="42"/>
      <c r="K11" s="41" t="s">
        <v>538</v>
      </c>
      <c r="L11" s="42"/>
      <c r="M11" s="41" t="s">
        <v>316</v>
      </c>
      <c r="N11" s="42"/>
      <c r="O11" s="41" t="s">
        <v>215</v>
      </c>
      <c r="P11" s="42"/>
      <c r="Q11" s="41" t="s">
        <v>242</v>
      </c>
      <c r="R11" s="42"/>
      <c r="S11" s="39"/>
    </row>
    <row r="12" spans="2:19" x14ac:dyDescent="0.2">
      <c r="B12" s="40" t="s">
        <v>887</v>
      </c>
      <c r="C12" s="41" t="s">
        <v>901</v>
      </c>
      <c r="D12" s="42"/>
      <c r="E12" s="41" t="s">
        <v>708</v>
      </c>
      <c r="F12" s="42"/>
      <c r="G12" s="41" t="s">
        <v>536</v>
      </c>
      <c r="H12" s="42"/>
      <c r="I12" s="41" t="s">
        <v>376</v>
      </c>
      <c r="J12" s="42"/>
      <c r="K12" s="41" t="s">
        <v>545</v>
      </c>
      <c r="L12" s="42"/>
      <c r="M12" s="41" t="s">
        <v>745</v>
      </c>
      <c r="N12" s="42"/>
      <c r="O12" s="41" t="s">
        <v>658</v>
      </c>
      <c r="P12" s="42"/>
      <c r="Q12" s="41" t="s">
        <v>186</v>
      </c>
      <c r="R12" s="42"/>
      <c r="S12" s="39"/>
    </row>
    <row r="13" spans="2:19" x14ac:dyDescent="0.2">
      <c r="B13" s="40" t="s">
        <v>888</v>
      </c>
      <c r="C13" s="41" t="s">
        <v>633</v>
      </c>
      <c r="D13" s="42"/>
      <c r="E13" s="41" t="s">
        <v>212</v>
      </c>
      <c r="F13" s="42"/>
      <c r="G13" s="41" t="s">
        <v>51</v>
      </c>
      <c r="H13" s="42"/>
      <c r="I13" s="41" t="s">
        <v>190</v>
      </c>
      <c r="J13" s="42"/>
      <c r="K13" s="41" t="s">
        <v>13</v>
      </c>
      <c r="L13" s="42"/>
      <c r="M13" s="41" t="s">
        <v>715</v>
      </c>
      <c r="N13" s="42"/>
      <c r="O13" s="41" t="s">
        <v>114</v>
      </c>
      <c r="P13" s="42"/>
      <c r="Q13" s="41" t="s">
        <v>177</v>
      </c>
      <c r="R13" s="42"/>
      <c r="S13" s="39"/>
    </row>
    <row r="14" spans="2:19" x14ac:dyDescent="0.2">
      <c r="B14" s="40" t="s">
        <v>889</v>
      </c>
      <c r="C14" s="41" t="s">
        <v>113</v>
      </c>
      <c r="D14" s="42"/>
      <c r="E14" s="41" t="s">
        <v>556</v>
      </c>
      <c r="F14" s="42"/>
      <c r="G14" s="41" t="s">
        <v>375</v>
      </c>
      <c r="H14" s="42"/>
      <c r="I14" s="41" t="s">
        <v>592</v>
      </c>
      <c r="J14" s="42"/>
      <c r="K14" s="41" t="s">
        <v>210</v>
      </c>
      <c r="L14" s="42"/>
      <c r="M14" s="41" t="s">
        <v>72</v>
      </c>
      <c r="N14" s="42"/>
      <c r="O14" s="41" t="s">
        <v>734</v>
      </c>
      <c r="P14" s="42"/>
      <c r="Q14" s="41" t="s">
        <v>179</v>
      </c>
      <c r="R14" s="42"/>
      <c r="S14" s="39"/>
    </row>
    <row r="15" spans="2:19" x14ac:dyDescent="0.2">
      <c r="B15" s="40" t="s">
        <v>890</v>
      </c>
      <c r="C15" s="41" t="s">
        <v>784</v>
      </c>
      <c r="D15" s="42"/>
      <c r="E15" s="41" t="s">
        <v>802</v>
      </c>
      <c r="F15" s="42"/>
      <c r="G15" s="41" t="s">
        <v>811</v>
      </c>
      <c r="H15" s="42"/>
      <c r="I15" s="41" t="s">
        <v>798</v>
      </c>
      <c r="J15" s="42"/>
      <c r="K15" s="41" t="s">
        <v>781</v>
      </c>
      <c r="L15" s="42"/>
      <c r="M15" s="41" t="s">
        <v>813</v>
      </c>
      <c r="N15" s="42"/>
      <c r="O15" s="41" t="s">
        <v>812</v>
      </c>
      <c r="P15" s="42"/>
      <c r="Q15" s="41" t="s">
        <v>799</v>
      </c>
      <c r="R15" s="42"/>
      <c r="S15" s="39"/>
    </row>
    <row r="16" spans="2:19" x14ac:dyDescent="0.2">
      <c r="B16" s="40" t="s">
        <v>891</v>
      </c>
      <c r="C16" s="41" t="s">
        <v>785</v>
      </c>
      <c r="D16" s="42"/>
      <c r="E16" s="41" t="s">
        <v>809</v>
      </c>
      <c r="F16" s="42"/>
      <c r="G16" s="41" t="s">
        <v>793</v>
      </c>
      <c r="H16" s="42"/>
      <c r="I16" s="41" t="s">
        <v>783</v>
      </c>
      <c r="J16" s="42"/>
      <c r="K16" s="41" t="s">
        <v>786</v>
      </c>
      <c r="L16" s="42"/>
      <c r="M16" s="41" t="s">
        <v>800</v>
      </c>
      <c r="N16" s="42"/>
      <c r="O16" s="41" t="s">
        <v>797</v>
      </c>
      <c r="P16" s="42"/>
      <c r="Q16" s="41" t="s">
        <v>808</v>
      </c>
      <c r="R16" s="42"/>
      <c r="S16" s="39"/>
    </row>
    <row r="17" spans="2:20" x14ac:dyDescent="0.2">
      <c r="B17" s="40" t="s">
        <v>892</v>
      </c>
      <c r="C17" s="41" t="s">
        <v>840</v>
      </c>
      <c r="D17" s="42"/>
      <c r="E17" s="41" t="s">
        <v>823</v>
      </c>
      <c r="F17" s="42"/>
      <c r="G17" s="41" t="s">
        <v>834</v>
      </c>
      <c r="H17" s="42"/>
      <c r="I17" s="41" t="s">
        <v>847</v>
      </c>
      <c r="J17" s="42"/>
      <c r="K17" s="41" t="s">
        <v>844</v>
      </c>
      <c r="L17" s="42"/>
      <c r="M17" s="41" t="s">
        <v>828</v>
      </c>
      <c r="N17" s="42"/>
      <c r="O17" s="41" t="s">
        <v>832</v>
      </c>
      <c r="P17" s="42"/>
      <c r="Q17" s="41" t="s">
        <v>849</v>
      </c>
      <c r="R17" s="42"/>
      <c r="S17" s="39"/>
    </row>
    <row r="18" spans="2:20" x14ac:dyDescent="0.2">
      <c r="B18" s="43" t="s">
        <v>893</v>
      </c>
      <c r="C18" s="44" t="s">
        <v>842</v>
      </c>
      <c r="D18" s="45"/>
      <c r="E18" s="44" t="s">
        <v>827</v>
      </c>
      <c r="F18" s="45"/>
      <c r="G18" s="44" t="s">
        <v>854</v>
      </c>
      <c r="H18" s="45"/>
      <c r="I18" s="44" t="s">
        <v>826</v>
      </c>
      <c r="J18" s="45"/>
      <c r="K18" s="44" t="s">
        <v>848</v>
      </c>
      <c r="L18" s="45"/>
      <c r="M18" s="44" t="s">
        <v>831</v>
      </c>
      <c r="N18" s="45"/>
      <c r="O18" s="44" t="s">
        <v>821</v>
      </c>
      <c r="P18" s="45"/>
      <c r="Q18" s="44" t="s">
        <v>914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534</v>
      </c>
      <c r="D22" s="38"/>
      <c r="E22" s="37" t="s">
        <v>537</v>
      </c>
      <c r="F22" s="38"/>
      <c r="G22" s="37" t="s">
        <v>150</v>
      </c>
      <c r="H22" s="38"/>
      <c r="I22" s="37" t="s">
        <v>535</v>
      </c>
      <c r="J22" s="38"/>
      <c r="K22" s="37" t="s">
        <v>334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138</v>
      </c>
      <c r="D23" s="42"/>
      <c r="E23" s="41" t="s">
        <v>733</v>
      </c>
      <c r="F23" s="42"/>
      <c r="G23" s="41" t="s">
        <v>170</v>
      </c>
      <c r="H23" s="42"/>
      <c r="I23" s="41" t="s">
        <v>294</v>
      </c>
      <c r="J23" s="42"/>
      <c r="K23" s="41" t="s">
        <v>360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639</v>
      </c>
      <c r="D24" s="42"/>
      <c r="E24" s="41" t="s">
        <v>563</v>
      </c>
      <c r="F24" s="42"/>
      <c r="G24" s="41" t="s">
        <v>34</v>
      </c>
      <c r="H24" s="42"/>
      <c r="I24" s="41" t="s">
        <v>923</v>
      </c>
      <c r="J24" s="42"/>
      <c r="K24" s="41" t="s">
        <v>717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151</v>
      </c>
      <c r="D25" s="42"/>
      <c r="E25" s="41" t="s">
        <v>274</v>
      </c>
      <c r="F25" s="42"/>
      <c r="G25" s="41" t="s">
        <v>702</v>
      </c>
      <c r="H25" s="42"/>
      <c r="I25" s="41" t="s">
        <v>99</v>
      </c>
      <c r="J25" s="42"/>
      <c r="K25" s="41" t="s">
        <v>408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139</v>
      </c>
      <c r="D26" s="42"/>
      <c r="E26" s="41" t="s">
        <v>704</v>
      </c>
      <c r="F26" s="42"/>
      <c r="G26" s="41" t="s">
        <v>298</v>
      </c>
      <c r="H26" s="42"/>
      <c r="I26" s="41" t="s">
        <v>214</v>
      </c>
      <c r="J26" s="42"/>
      <c r="K26" s="41" t="s">
        <v>267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501</v>
      </c>
      <c r="D27" s="42"/>
      <c r="E27" s="41" t="s">
        <v>551</v>
      </c>
      <c r="F27" s="42"/>
      <c r="G27" s="41" t="s">
        <v>240</v>
      </c>
      <c r="H27" s="42"/>
      <c r="I27" s="41" t="s">
        <v>341</v>
      </c>
      <c r="J27" s="42"/>
      <c r="K27" s="41" t="s">
        <v>430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196</v>
      </c>
      <c r="D28" s="42"/>
      <c r="E28" s="41" t="s">
        <v>577</v>
      </c>
      <c r="F28" s="42"/>
      <c r="G28" s="41" t="s">
        <v>261</v>
      </c>
      <c r="H28" s="42"/>
      <c r="I28" s="41" t="s">
        <v>232</v>
      </c>
      <c r="J28" s="42"/>
      <c r="K28" s="41" t="s">
        <v>141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438</v>
      </c>
      <c r="D29" s="42"/>
      <c r="E29" s="41" t="s">
        <v>543</v>
      </c>
      <c r="F29" s="42"/>
      <c r="G29" s="41" t="s">
        <v>722</v>
      </c>
      <c r="H29" s="42"/>
      <c r="I29" s="41" t="s">
        <v>302</v>
      </c>
      <c r="J29" s="42"/>
      <c r="K29" s="41" t="s">
        <v>135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710</v>
      </c>
      <c r="D30" s="42"/>
      <c r="E30" s="41" t="s">
        <v>331</v>
      </c>
      <c r="F30" s="42"/>
      <c r="G30" s="41" t="s">
        <v>57</v>
      </c>
      <c r="H30" s="42"/>
      <c r="I30" s="41" t="s">
        <v>467</v>
      </c>
      <c r="J30" s="42"/>
      <c r="K30" s="41" t="s">
        <v>426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566</v>
      </c>
      <c r="D31" s="42"/>
      <c r="E31" s="41" t="s">
        <v>249</v>
      </c>
      <c r="F31" s="42"/>
      <c r="G31" s="41" t="s">
        <v>46</v>
      </c>
      <c r="H31" s="42"/>
      <c r="I31" s="41" t="s">
        <v>82</v>
      </c>
      <c r="J31" s="42"/>
      <c r="K31" s="41" t="s">
        <v>445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805</v>
      </c>
      <c r="D32" s="42"/>
      <c r="E32" s="41" t="s">
        <v>795</v>
      </c>
      <c r="F32" s="42"/>
      <c r="G32" s="41" t="s">
        <v>824</v>
      </c>
      <c r="H32" s="42"/>
      <c r="I32" s="41" t="s">
        <v>787</v>
      </c>
      <c r="J32" s="42"/>
      <c r="K32" s="41" t="s">
        <v>829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790</v>
      </c>
      <c r="D33" s="42"/>
      <c r="E33" s="41" t="s">
        <v>804</v>
      </c>
      <c r="F33" s="42"/>
      <c r="G33" s="41" t="s">
        <v>816</v>
      </c>
      <c r="H33" s="42"/>
      <c r="I33" s="41" t="s">
        <v>789</v>
      </c>
      <c r="J33" s="42"/>
      <c r="K33" s="41" t="s">
        <v>837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853</v>
      </c>
      <c r="D34" s="42"/>
      <c r="E34" s="41" t="s">
        <v>841</v>
      </c>
      <c r="F34" s="42"/>
      <c r="G34" s="41" t="s">
        <v>806</v>
      </c>
      <c r="H34" s="42"/>
      <c r="I34" s="41" t="s">
        <v>924</v>
      </c>
      <c r="J34" s="42"/>
      <c r="K34" s="41" t="s">
        <v>807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921</v>
      </c>
      <c r="D35" s="45"/>
      <c r="E35" s="44" t="s">
        <v>857</v>
      </c>
      <c r="F35" s="45"/>
      <c r="G35" s="44" t="s">
        <v>803</v>
      </c>
      <c r="H35" s="45"/>
      <c r="I35" s="44" t="s">
        <v>819</v>
      </c>
      <c r="J35" s="45"/>
      <c r="K35" s="44" t="s">
        <v>787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Kirk Cousins</v>
      </c>
      <c r="G38" s="87"/>
    </row>
    <row r="39" spans="2:20" x14ac:dyDescent="0.2">
      <c r="C39" s="34" t="str">
        <f>+C$6</f>
        <v>Matthew Stafford</v>
      </c>
      <c r="G39" s="87"/>
    </row>
    <row r="40" spans="2:20" x14ac:dyDescent="0.2">
      <c r="C40" s="34" t="str">
        <f>+C$7</f>
        <v>Royce Freeman</v>
      </c>
      <c r="G40" s="87"/>
    </row>
    <row r="41" spans="2:20" x14ac:dyDescent="0.2">
      <c r="C41" s="34" t="str">
        <f>+C$8</f>
        <v>Kenyan Drake</v>
      </c>
      <c r="G41" s="87"/>
    </row>
    <row r="42" spans="2:20" x14ac:dyDescent="0.2">
      <c r="C42" s="34" t="str">
        <f>+C$9</f>
        <v>Tarik Cohen</v>
      </c>
      <c r="G42" s="87"/>
    </row>
    <row r="43" spans="2:20" x14ac:dyDescent="0.2">
      <c r="C43" s="34" t="str">
        <f>+C$10</f>
        <v>Larry Fitzgerald</v>
      </c>
      <c r="G43" s="87"/>
    </row>
    <row r="44" spans="2:20" x14ac:dyDescent="0.2">
      <c r="C44" s="34" t="str">
        <f>+C$11</f>
        <v>Emmanuel Sanders</v>
      </c>
      <c r="G44" s="87"/>
    </row>
    <row r="45" spans="2:20" x14ac:dyDescent="0.2">
      <c r="C45" s="34" t="str">
        <f>+C$12</f>
        <v>Miachel Gallup</v>
      </c>
      <c r="G45" s="87"/>
    </row>
    <row r="46" spans="2:20" x14ac:dyDescent="0.2">
      <c r="C46" s="34" t="str">
        <f>+C$13</f>
        <v>Darren Waller</v>
      </c>
      <c r="G46" s="87"/>
    </row>
    <row r="47" spans="2:20" x14ac:dyDescent="0.2">
      <c r="C47" s="34" t="str">
        <f>+C$14</f>
        <v>Gerald Everett</v>
      </c>
      <c r="G47" s="87"/>
    </row>
    <row r="48" spans="2:20" x14ac:dyDescent="0.2">
      <c r="C48" s="34" t="str">
        <f>+C$15</f>
        <v>Baltimore Ravens</v>
      </c>
      <c r="G48" s="87"/>
    </row>
    <row r="49" spans="3:7" x14ac:dyDescent="0.2">
      <c r="C49" s="34" t="str">
        <f>+C$16</f>
        <v>Buffalo Bills</v>
      </c>
      <c r="G49" s="87"/>
    </row>
    <row r="50" spans="3:7" x14ac:dyDescent="0.2">
      <c r="C50" s="34" t="str">
        <f>+C$17</f>
        <v>Josh Lambo</v>
      </c>
      <c r="G50" s="87"/>
    </row>
    <row r="51" spans="3:7" x14ac:dyDescent="0.2">
      <c r="C51" s="34" t="str">
        <f>+C$18</f>
        <v>Brett Maher</v>
      </c>
      <c r="G51" s="87"/>
    </row>
    <row r="52" spans="3:7" x14ac:dyDescent="0.2">
      <c r="C52" s="51" t="str">
        <f>+E$5</f>
        <v>Jared Goff</v>
      </c>
    </row>
    <row r="53" spans="3:7" x14ac:dyDescent="0.2">
      <c r="C53" s="34" t="str">
        <f>+E$6</f>
        <v>Josh Allen</v>
      </c>
    </row>
    <row r="54" spans="3:7" x14ac:dyDescent="0.2">
      <c r="C54" s="34" t="str">
        <f>+E$7</f>
        <v>Matt Breida</v>
      </c>
    </row>
    <row r="55" spans="3:7" x14ac:dyDescent="0.2">
      <c r="C55" s="34" t="str">
        <f>+E$8</f>
        <v>James White</v>
      </c>
    </row>
    <row r="56" spans="3:7" x14ac:dyDescent="0.2">
      <c r="C56" s="34" t="str">
        <f>+E$9</f>
        <v>Justin Jackson</v>
      </c>
    </row>
    <row r="57" spans="3:7" x14ac:dyDescent="0.2">
      <c r="C57" s="34" t="str">
        <f>+E$10</f>
        <v>Antonio Brown</v>
      </c>
    </row>
    <row r="58" spans="3:7" x14ac:dyDescent="0.2">
      <c r="C58" s="34" t="str">
        <f>+E$11</f>
        <v>Tyler Boyd</v>
      </c>
    </row>
    <row r="59" spans="3:7" x14ac:dyDescent="0.2">
      <c r="C59" s="34" t="str">
        <f>+E$12</f>
        <v>DK Metcalf</v>
      </c>
    </row>
    <row r="60" spans="3:7" x14ac:dyDescent="0.2">
      <c r="C60" s="34" t="str">
        <f>+E$13</f>
        <v>Virgil Green</v>
      </c>
    </row>
    <row r="61" spans="3:7" x14ac:dyDescent="0.2">
      <c r="C61" s="34" t="str">
        <f>+E$14</f>
        <v>Mark Andrews</v>
      </c>
    </row>
    <row r="62" spans="3:7" x14ac:dyDescent="0.2">
      <c r="C62" s="34" t="str">
        <f>+E$15</f>
        <v>New England Patriots</v>
      </c>
    </row>
    <row r="63" spans="3:7" x14ac:dyDescent="0.2">
      <c r="C63" s="34" t="str">
        <f>+E$16</f>
        <v>San Francisco 49ers</v>
      </c>
    </row>
    <row r="64" spans="3:7" x14ac:dyDescent="0.2">
      <c r="C64" s="34" t="str">
        <f>+E$17</f>
        <v>Harrison Butker</v>
      </c>
    </row>
    <row r="65" spans="3:3" x14ac:dyDescent="0.2">
      <c r="C65" s="34" t="str">
        <f>+E$18</f>
        <v>Jake Elliott</v>
      </c>
    </row>
    <row r="66" spans="3:3" x14ac:dyDescent="0.2">
      <c r="C66" s="51" t="str">
        <f>+G$5</f>
        <v>Jameis Winston</v>
      </c>
    </row>
    <row r="67" spans="3:3" x14ac:dyDescent="0.2">
      <c r="C67" s="34" t="str">
        <f>+G$6</f>
        <v>Jimmy Garoppolo</v>
      </c>
    </row>
    <row r="68" spans="3:3" x14ac:dyDescent="0.2">
      <c r="C68" s="34" t="str">
        <f>+G$7</f>
        <v>Chris Carson</v>
      </c>
    </row>
    <row r="69" spans="3:3" x14ac:dyDescent="0.2">
      <c r="C69" s="34" t="str">
        <f>+G$8</f>
        <v>Raheem Mostert</v>
      </c>
    </row>
    <row r="70" spans="3:3" x14ac:dyDescent="0.2">
      <c r="C70" s="34" t="str">
        <f>+G$9</f>
        <v>Miles Sanders</v>
      </c>
    </row>
    <row r="71" spans="3:3" x14ac:dyDescent="0.2">
      <c r="C71" s="34" t="str">
        <f>+G$10</f>
        <v>Chris Godwin</v>
      </c>
    </row>
    <row r="72" spans="3:3" x14ac:dyDescent="0.2">
      <c r="C72" s="34" t="str">
        <f>+G$11</f>
        <v>Marquise Brown</v>
      </c>
    </row>
    <row r="73" spans="3:3" x14ac:dyDescent="0.2">
      <c r="C73" s="34" t="str">
        <f>+G$12</f>
        <v>Calvin Ridley</v>
      </c>
    </row>
    <row r="74" spans="3:3" x14ac:dyDescent="0.2">
      <c r="C74" s="34" t="str">
        <f>+G$13</f>
        <v>Greg Olsen</v>
      </c>
    </row>
    <row r="75" spans="3:3" x14ac:dyDescent="0.2">
      <c r="C75" s="34" t="str">
        <f>+G$14</f>
        <v>Vernon Davis</v>
      </c>
    </row>
    <row r="76" spans="3:3" x14ac:dyDescent="0.2">
      <c r="C76" s="34" t="str">
        <f>+G$15</f>
        <v>Tampa Bay Buccaneers</v>
      </c>
    </row>
    <row r="77" spans="3:3" x14ac:dyDescent="0.2">
      <c r="C77" s="34" t="str">
        <f>+G$16</f>
        <v>Green Bay Packers</v>
      </c>
    </row>
    <row r="78" spans="3:3" x14ac:dyDescent="0.2">
      <c r="C78" s="34" t="str">
        <f>+G$17</f>
        <v>Robbie Gould</v>
      </c>
    </row>
    <row r="79" spans="3:3" x14ac:dyDescent="0.2">
      <c r="C79" s="34" t="str">
        <f>+G$18</f>
        <v>Joey Slye</v>
      </c>
    </row>
    <row r="80" spans="3:3" x14ac:dyDescent="0.2">
      <c r="C80" s="51" t="str">
        <f>+I$5</f>
        <v>Philip Rivers</v>
      </c>
    </row>
    <row r="81" spans="3:3" x14ac:dyDescent="0.2">
      <c r="C81" s="34" t="str">
        <f>+I$6</f>
        <v>Case Keenum</v>
      </c>
    </row>
    <row r="82" spans="3:3" x14ac:dyDescent="0.2">
      <c r="C82" s="34" t="str">
        <f>+I$7</f>
        <v>Austin Ekeler</v>
      </c>
    </row>
    <row r="83" spans="3:3" x14ac:dyDescent="0.2">
      <c r="C83" s="34" t="str">
        <f>+I$8</f>
        <v>Malcolm Brown</v>
      </c>
    </row>
    <row r="84" spans="3:3" x14ac:dyDescent="0.2">
      <c r="C84" s="34" t="str">
        <f>+I$9</f>
        <v>Adrian Peterson</v>
      </c>
    </row>
    <row r="85" spans="3:3" x14ac:dyDescent="0.2">
      <c r="C85" s="34" t="str">
        <f>+I$10</f>
        <v>Mike Williams</v>
      </c>
    </row>
    <row r="86" spans="3:3" x14ac:dyDescent="0.2">
      <c r="C86" s="34" t="str">
        <f>+I$11</f>
        <v>Brandin Cooks</v>
      </c>
    </row>
    <row r="87" spans="3:3" x14ac:dyDescent="0.2">
      <c r="C87" s="34" t="str">
        <f>+I$12</f>
        <v>Sterling Shepard</v>
      </c>
    </row>
    <row r="88" spans="3:3" x14ac:dyDescent="0.2">
      <c r="C88" s="34" t="str">
        <f>+I$13</f>
        <v>Jack Doyle</v>
      </c>
    </row>
    <row r="89" spans="3:3" x14ac:dyDescent="0.2">
      <c r="C89" s="34" t="str">
        <f>+I$14</f>
        <v>Will Dissly</v>
      </c>
    </row>
    <row r="90" spans="3:3" x14ac:dyDescent="0.2">
      <c r="C90" s="34" t="str">
        <f>+I$15</f>
        <v>Los Angeles Chargers</v>
      </c>
    </row>
    <row r="91" spans="3:3" x14ac:dyDescent="0.2">
      <c r="C91" s="34" t="str">
        <f>+I$16</f>
        <v>Atlanta Falcons</v>
      </c>
    </row>
    <row r="92" spans="3:3" x14ac:dyDescent="0.2">
      <c r="C92" s="34" t="str">
        <f>+I$17</f>
        <v>Jason Myers</v>
      </c>
    </row>
    <row r="93" spans="3:3" x14ac:dyDescent="0.2">
      <c r="C93" s="34" t="str">
        <f>+I$18</f>
        <v>Mason Crosby</v>
      </c>
    </row>
    <row r="94" spans="3:3" x14ac:dyDescent="0.2">
      <c r="C94" s="51" t="str">
        <f>+K$5</f>
        <v>Andy Dalton</v>
      </c>
    </row>
    <row r="95" spans="3:3" x14ac:dyDescent="0.2">
      <c r="C95" s="34" t="str">
        <f>+K$6</f>
        <v>Chase Daniel</v>
      </c>
    </row>
    <row r="96" spans="3:3" x14ac:dyDescent="0.2">
      <c r="C96" s="34" t="str">
        <f>+K$7</f>
        <v>Wayne Gallman</v>
      </c>
    </row>
    <row r="97" spans="3:3" x14ac:dyDescent="0.2">
      <c r="C97" s="34" t="str">
        <f>+K$8</f>
        <v>Devonta Freeman</v>
      </c>
    </row>
    <row r="98" spans="3:3" x14ac:dyDescent="0.2">
      <c r="C98" s="34" t="str">
        <f>+K$9</f>
        <v>LeSean McCoy</v>
      </c>
    </row>
    <row r="99" spans="3:3" x14ac:dyDescent="0.2">
      <c r="C99" s="34" t="str">
        <f>+K$10</f>
        <v>Marquez Valdes-Scantling</v>
      </c>
    </row>
    <row r="100" spans="3:3" x14ac:dyDescent="0.2">
      <c r="C100" s="34" t="str">
        <f>+K$11</f>
        <v>Julian Edelman</v>
      </c>
    </row>
    <row r="101" spans="3:3" x14ac:dyDescent="0.2">
      <c r="C101" s="34" t="str">
        <f>+K$12</f>
        <v>Courtland Sutton</v>
      </c>
    </row>
    <row r="102" spans="3:3" x14ac:dyDescent="0.2">
      <c r="C102" s="34" t="str">
        <f>+K$13</f>
        <v>Austin Hooper</v>
      </c>
    </row>
    <row r="103" spans="3:3" x14ac:dyDescent="0.2">
      <c r="C103" s="34" t="str">
        <f>+K$14</f>
        <v>Jimmy Graham</v>
      </c>
    </row>
    <row r="104" spans="3:3" x14ac:dyDescent="0.2">
      <c r="C104" s="34" t="str">
        <f>+K$15</f>
        <v>Arizona Cardinals</v>
      </c>
    </row>
    <row r="105" spans="3:3" x14ac:dyDescent="0.2">
      <c r="C105" s="34" t="str">
        <f>+K$16</f>
        <v>Carolina Panthers</v>
      </c>
    </row>
    <row r="106" spans="3:3" x14ac:dyDescent="0.2">
      <c r="C106" s="34" t="str">
        <f>+K$17</f>
        <v>Chase McLaughlin</v>
      </c>
    </row>
    <row r="107" spans="3:3" x14ac:dyDescent="0.2">
      <c r="C107" s="34" t="str">
        <f>+K$18</f>
        <v>Eddy Pineiro</v>
      </c>
    </row>
    <row r="108" spans="3:3" x14ac:dyDescent="0.2">
      <c r="C108" s="51" t="str">
        <f>+M$5</f>
        <v>Josh Rosen</v>
      </c>
    </row>
    <row r="109" spans="3:3" x14ac:dyDescent="0.2">
      <c r="C109" s="34" t="str">
        <f>+M$6</f>
        <v>Kyle Allen</v>
      </c>
    </row>
    <row r="110" spans="3:3" x14ac:dyDescent="0.2">
      <c r="C110" s="34" t="str">
        <f>+M$7</f>
        <v>Kerryon Johnson</v>
      </c>
    </row>
    <row r="111" spans="3:3" x14ac:dyDescent="0.2">
      <c r="C111" s="34" t="str">
        <f>+M$8</f>
        <v>Chris Thompson</v>
      </c>
    </row>
    <row r="112" spans="3:3" x14ac:dyDescent="0.2">
      <c r="C112" s="34" t="str">
        <f>+M$9</f>
        <v>James Conner</v>
      </c>
    </row>
    <row r="113" spans="3:3" x14ac:dyDescent="0.2">
      <c r="C113" s="34" t="str">
        <f>+M$10</f>
        <v>DJ Chark</v>
      </c>
    </row>
    <row r="114" spans="3:3" x14ac:dyDescent="0.2">
      <c r="C114" s="34" t="str">
        <f>+M$11</f>
        <v>Mohamed Sanu</v>
      </c>
    </row>
    <row r="115" spans="3:3" x14ac:dyDescent="0.2">
      <c r="C115" s="34" t="str">
        <f>+M$12</f>
        <v>Preston Williams</v>
      </c>
    </row>
    <row r="116" spans="3:3" x14ac:dyDescent="0.2">
      <c r="C116" s="34" t="str">
        <f>+M$13</f>
        <v>Noah Fant</v>
      </c>
    </row>
    <row r="117" spans="3:3" x14ac:dyDescent="0.2">
      <c r="C117" s="34" t="str">
        <f>+M$14</f>
        <v>Ricky Seals-Jones</v>
      </c>
    </row>
    <row r="118" spans="3:3" x14ac:dyDescent="0.2">
      <c r="C118" s="34" t="str">
        <f>+M$15</f>
        <v>Washington Redskins</v>
      </c>
    </row>
    <row r="119" spans="3:3" x14ac:dyDescent="0.2">
      <c r="C119" s="34" t="str">
        <f>+M$16</f>
        <v>Miami Dolphins</v>
      </c>
    </row>
    <row r="120" spans="3:3" x14ac:dyDescent="0.2">
      <c r="C120" s="34" t="str">
        <f>+M$17</f>
        <v>Ka'imi Fairbairn</v>
      </c>
    </row>
    <row r="121" spans="3:3" x14ac:dyDescent="0.2">
      <c r="C121" s="34" t="str">
        <f>+M$18</f>
        <v>Matt Gay</v>
      </c>
    </row>
    <row r="122" spans="3:3" x14ac:dyDescent="0.2">
      <c r="C122" s="51" t="str">
        <f>+O$5</f>
        <v>Kyler Murray</v>
      </c>
    </row>
    <row r="123" spans="3:3" x14ac:dyDescent="0.2">
      <c r="C123" s="34" t="str">
        <f>+O$6</f>
        <v>Gardner Minshew</v>
      </c>
    </row>
    <row r="124" spans="3:3" x14ac:dyDescent="0.2">
      <c r="C124" s="34" t="str">
        <f>+O$7</f>
        <v>Phillip Lindsay</v>
      </c>
    </row>
    <row r="125" spans="3:3" x14ac:dyDescent="0.2">
      <c r="C125" s="34" t="str">
        <f>+O$8</f>
        <v>Jordan Howard</v>
      </c>
    </row>
    <row r="126" spans="3:3" x14ac:dyDescent="0.2">
      <c r="C126" s="34" t="str">
        <f>+O$9</f>
        <v>Tevin Coleman</v>
      </c>
    </row>
    <row r="127" spans="3:3" x14ac:dyDescent="0.2">
      <c r="C127" s="34" t="str">
        <f>+O$10</f>
        <v>Robert Woods</v>
      </c>
    </row>
    <row r="128" spans="3:3" x14ac:dyDescent="0.2">
      <c r="C128" s="34" t="str">
        <f>+O$11</f>
        <v>John Brown</v>
      </c>
    </row>
    <row r="129" spans="3:3" x14ac:dyDescent="0.2">
      <c r="C129" s="34" t="str">
        <f>+O$12</f>
        <v>Auden Tate</v>
      </c>
    </row>
    <row r="130" spans="3:3" x14ac:dyDescent="0.2">
      <c r="C130" s="34" t="str">
        <f>+O$13</f>
        <v>Darren Fells</v>
      </c>
    </row>
    <row r="131" spans="3:3" x14ac:dyDescent="0.2">
      <c r="C131" s="34" t="str">
        <f>+O$14</f>
        <v>Dawson Knox</v>
      </c>
    </row>
    <row r="132" spans="3:3" x14ac:dyDescent="0.2">
      <c r="C132" s="34" t="str">
        <f>+O$15</f>
        <v>Tennessee Titans</v>
      </c>
    </row>
    <row r="133" spans="3:3" x14ac:dyDescent="0.2">
      <c r="C133" s="34" t="str">
        <f>+O$16</f>
        <v>Kansas City Chiefs</v>
      </c>
    </row>
    <row r="134" spans="3:3" x14ac:dyDescent="0.2">
      <c r="C134" s="34" t="str">
        <f>+O$17</f>
        <v>Zane Gonzalez</v>
      </c>
    </row>
    <row r="135" spans="3:3" x14ac:dyDescent="0.2">
      <c r="C135" s="34" t="str">
        <f>+O$18</f>
        <v>Matt Bryant</v>
      </c>
    </row>
    <row r="136" spans="3:3" x14ac:dyDescent="0.2">
      <c r="C136" s="51" t="str">
        <f>+Q$5</f>
        <v>Matt Moore</v>
      </c>
    </row>
    <row r="137" spans="3:3" x14ac:dyDescent="0.2">
      <c r="C137" s="34" t="str">
        <f>+Q$6</f>
        <v>Aaron Rodgers</v>
      </c>
    </row>
    <row r="138" spans="3:3" x14ac:dyDescent="0.2">
      <c r="C138" s="34" t="str">
        <f>+Q$7</f>
        <v>Aaron Jones</v>
      </c>
    </row>
    <row r="139" spans="3:3" x14ac:dyDescent="0.2">
      <c r="C139" s="34" t="str">
        <f>+Q$8</f>
        <v>Chase Edmonds</v>
      </c>
    </row>
    <row r="140" spans="3:3" x14ac:dyDescent="0.2">
      <c r="C140" s="34" t="str">
        <f>+Q$9</f>
        <v>Sony Michel</v>
      </c>
    </row>
    <row r="141" spans="3:3" x14ac:dyDescent="0.2">
      <c r="C141" s="34" t="str">
        <f>+Q$10</f>
        <v>Kenny Stills</v>
      </c>
    </row>
    <row r="142" spans="3:3" x14ac:dyDescent="0.2">
      <c r="C142" s="34" t="str">
        <f>+Q$11</f>
        <v>Kenny Golladay</v>
      </c>
    </row>
    <row r="143" spans="3:3" x14ac:dyDescent="0.2">
      <c r="C143" s="34" t="str">
        <f>+Q$12</f>
        <v>Golden Tate</v>
      </c>
    </row>
    <row r="144" spans="3:3" x14ac:dyDescent="0.2">
      <c r="C144" s="34" t="str">
        <f>+Q$13</f>
        <v>Evan Engram</v>
      </c>
    </row>
    <row r="145" spans="3:3" x14ac:dyDescent="0.2">
      <c r="C145" s="34" t="str">
        <f>+Q$14</f>
        <v>Jonnu Smith</v>
      </c>
    </row>
    <row r="146" spans="3:3" x14ac:dyDescent="0.2">
      <c r="C146" s="34" t="str">
        <f>+Q$15</f>
        <v>Los Angeles Rams</v>
      </c>
    </row>
    <row r="147" spans="3:3" x14ac:dyDescent="0.2">
      <c r="C147" s="34" t="str">
        <f>+Q$16</f>
        <v>Pittsburgh Steelers</v>
      </c>
    </row>
    <row r="148" spans="3:3" x14ac:dyDescent="0.2">
      <c r="C148" s="34" t="str">
        <f>+Q$17</f>
        <v>Matt Prater</v>
      </c>
    </row>
    <row r="149" spans="3:3" x14ac:dyDescent="0.2">
      <c r="C149" s="34" t="str">
        <f>+Q$18</f>
        <v>Mike Nugent</v>
      </c>
    </row>
    <row r="150" spans="3:3" x14ac:dyDescent="0.2">
      <c r="C150" s="51" t="str">
        <f>+C$22</f>
        <v>Sam Darnold</v>
      </c>
    </row>
    <row r="151" spans="3:3" x14ac:dyDescent="0.2">
      <c r="C151" s="34" t="str">
        <f>+C$23</f>
        <v>Dak Prescott</v>
      </c>
    </row>
    <row r="152" spans="3:3" x14ac:dyDescent="0.2">
      <c r="C152" s="34" t="str">
        <f>+C$24</f>
        <v>Mark Walton</v>
      </c>
    </row>
    <row r="153" spans="3:3" x14ac:dyDescent="0.2">
      <c r="C153" s="34" t="str">
        <f>+C$25</f>
        <v>Derrick Henry</v>
      </c>
    </row>
    <row r="154" spans="3:3" x14ac:dyDescent="0.2">
      <c r="C154" s="34" t="str">
        <f>+C$26</f>
        <v>Dalvin Cook</v>
      </c>
    </row>
    <row r="155" spans="3:3" x14ac:dyDescent="0.2">
      <c r="C155" s="34" t="str">
        <f>+C$27</f>
        <v>Allen Robinson</v>
      </c>
    </row>
    <row r="156" spans="3:3" x14ac:dyDescent="0.2">
      <c r="C156" s="34" t="str">
        <f>+C$28</f>
        <v>Jamison Crowder</v>
      </c>
    </row>
    <row r="157" spans="3:3" x14ac:dyDescent="0.2">
      <c r="C157" s="34" t="str">
        <f>+C$29</f>
        <v>Tyrell Williams</v>
      </c>
    </row>
    <row r="158" spans="3:3" x14ac:dyDescent="0.2">
      <c r="C158" s="34" t="str">
        <f>+C$30</f>
        <v>T.J. Hockenson</v>
      </c>
    </row>
    <row r="159" spans="3:3" x14ac:dyDescent="0.2">
      <c r="C159" s="34" t="str">
        <f>+C$31</f>
        <v>Dallas Goedert</v>
      </c>
    </row>
    <row r="160" spans="3:3" x14ac:dyDescent="0.2">
      <c r="C160" s="34" t="str">
        <f>+C$32</f>
        <v>New York Jets</v>
      </c>
    </row>
    <row r="161" spans="3:3" x14ac:dyDescent="0.2">
      <c r="C161" s="34" t="str">
        <f>+C$33</f>
        <v>Dallas Cowboys</v>
      </c>
    </row>
    <row r="162" spans="3:3" x14ac:dyDescent="0.2">
      <c r="C162" s="34" t="str">
        <f>+C$34</f>
        <v>Austin Seibert</v>
      </c>
    </row>
    <row r="163" spans="3:3" x14ac:dyDescent="0.2">
      <c r="C163" s="34" t="str">
        <f>+C$35</f>
        <v>Nick Folk</v>
      </c>
    </row>
    <row r="164" spans="3:3" x14ac:dyDescent="0.2">
      <c r="C164" s="51" t="str">
        <f>+E$22</f>
        <v>Ryan Tannehill</v>
      </c>
    </row>
    <row r="165" spans="3:3" x14ac:dyDescent="0.2">
      <c r="C165" s="34" t="str">
        <f>+E$23</f>
        <v>Daniel Jones</v>
      </c>
    </row>
    <row r="166" spans="3:3" x14ac:dyDescent="0.2">
      <c r="C166" s="34" t="str">
        <f>+E$24</f>
        <v>Jaylen Samuels</v>
      </c>
    </row>
    <row r="167" spans="3:3" x14ac:dyDescent="0.2">
      <c r="C167" s="34" t="str">
        <f>+E$25</f>
        <v>Mark Ingram</v>
      </c>
    </row>
    <row r="168" spans="3:3" x14ac:dyDescent="0.2">
      <c r="C168" s="34" t="str">
        <f>+E$26</f>
        <v>David Montgomery</v>
      </c>
    </row>
    <row r="169" spans="3:3" x14ac:dyDescent="0.2">
      <c r="C169" s="34" t="str">
        <f>+E$27</f>
        <v>Christian Kirk</v>
      </c>
    </row>
    <row r="170" spans="3:3" x14ac:dyDescent="0.2">
      <c r="C170" s="34" t="str">
        <f>+E$28</f>
        <v>Zach Pascal</v>
      </c>
    </row>
    <row r="171" spans="3:3" x14ac:dyDescent="0.2">
      <c r="C171" s="34" t="str">
        <f>+E$29</f>
        <v>D.J. Moore</v>
      </c>
    </row>
    <row r="172" spans="3:3" x14ac:dyDescent="0.2">
      <c r="C172" s="34" t="str">
        <f>+E$30</f>
        <v>O.J. Howard</v>
      </c>
    </row>
    <row r="173" spans="3:3" x14ac:dyDescent="0.2">
      <c r="C173" s="34" t="str">
        <f>+E$31</f>
        <v>Kyle Rudolph</v>
      </c>
    </row>
    <row r="174" spans="3:3" x14ac:dyDescent="0.2">
      <c r="C174" s="34" t="str">
        <f>+E$32</f>
        <v>Indianapolis Colts</v>
      </c>
    </row>
    <row r="175" spans="3:3" x14ac:dyDescent="0.2">
      <c r="C175" s="34" t="str">
        <f>+E$33</f>
        <v>New York Giants</v>
      </c>
    </row>
    <row r="176" spans="3:3" x14ac:dyDescent="0.2">
      <c r="C176" s="34" t="str">
        <f>+E$34</f>
        <v>Wil Lutz</v>
      </c>
    </row>
    <row r="177" spans="3:3" x14ac:dyDescent="0.2">
      <c r="C177" s="34" t="str">
        <f>+E$35</f>
        <v>Adam Vinatieri</v>
      </c>
    </row>
    <row r="178" spans="3:3" x14ac:dyDescent="0.2">
      <c r="C178" s="51" t="str">
        <f>+G$22</f>
        <v>Derek Carr</v>
      </c>
    </row>
    <row r="179" spans="3:3" x14ac:dyDescent="0.2">
      <c r="C179" s="34" t="str">
        <f>+G$23</f>
        <v>Drew Brees</v>
      </c>
    </row>
    <row r="180" spans="3:3" x14ac:dyDescent="0.2">
      <c r="C180" s="34" t="str">
        <f>+G$24</f>
        <v>Damien Williams</v>
      </c>
    </row>
    <row r="181" spans="3:3" x14ac:dyDescent="0.2">
      <c r="C181" s="34" t="str">
        <f>+G$25</f>
        <v>Josh Jacobs</v>
      </c>
    </row>
    <row r="182" spans="3:3" x14ac:dyDescent="0.2">
      <c r="C182" s="34" t="str">
        <f>+G$26</f>
        <v>Melvin Gordon</v>
      </c>
    </row>
    <row r="183" spans="3:3" x14ac:dyDescent="0.2">
      <c r="C183" s="34" t="str">
        <f>+G$27</f>
        <v>Keenan Allen</v>
      </c>
    </row>
    <row r="184" spans="3:3" x14ac:dyDescent="0.2">
      <c r="C184" s="34" t="str">
        <f>+G$28</f>
        <v>Curtis Samuel</v>
      </c>
    </row>
    <row r="185" spans="3:3" x14ac:dyDescent="0.2">
      <c r="C185" s="34" t="str">
        <f>+G$29</f>
        <v>Terry McLaurin</v>
      </c>
    </row>
    <row r="186" spans="3:3" x14ac:dyDescent="0.2">
      <c r="C186" s="34" t="str">
        <f>+G$30</f>
        <v>Jared Cook</v>
      </c>
    </row>
    <row r="187" spans="3:3" x14ac:dyDescent="0.2">
      <c r="C187" s="34" t="str">
        <f>+G$31</f>
        <v>Eric Ebron</v>
      </c>
    </row>
    <row r="188" spans="3:3" x14ac:dyDescent="0.2">
      <c r="C188" s="34" t="str">
        <f>+G$32</f>
        <v>Daniel Carlson</v>
      </c>
    </row>
    <row r="189" spans="3:3" x14ac:dyDescent="0.2">
      <c r="C189" s="34" t="str">
        <f>+G$33</f>
        <v>Dan Bailey</v>
      </c>
    </row>
    <row r="190" spans="3:3" x14ac:dyDescent="0.2">
      <c r="C190" s="34" t="str">
        <f>+G$34</f>
        <v>Oakland Raiders</v>
      </c>
    </row>
    <row r="191" spans="3:3" x14ac:dyDescent="0.2">
      <c r="C191" s="34" t="str">
        <f>+G$35</f>
        <v>New Orleans Saints</v>
      </c>
    </row>
    <row r="192" spans="3:3" x14ac:dyDescent="0.2">
      <c r="C192" s="51" t="str">
        <f>+I$22</f>
        <v>Lamar Jackson</v>
      </c>
    </row>
    <row r="193" spans="3:3" x14ac:dyDescent="0.2">
      <c r="C193" s="34" t="str">
        <f>+I$23</f>
        <v>Matt Ryan</v>
      </c>
    </row>
    <row r="194" spans="3:3" x14ac:dyDescent="0.2">
      <c r="C194" s="34" t="str">
        <f>+I$24</f>
        <v>Derrius Guice</v>
      </c>
    </row>
    <row r="195" spans="3:3" x14ac:dyDescent="0.2">
      <c r="C195" s="34" t="str">
        <f>+I$25</f>
        <v>Alvin Kamara</v>
      </c>
    </row>
    <row r="196" spans="3:3" x14ac:dyDescent="0.2">
      <c r="C196" s="34" t="str">
        <f>+I$26</f>
        <v>Joe Mixon</v>
      </c>
    </row>
    <row r="197" spans="3:3" x14ac:dyDescent="0.2">
      <c r="C197" s="34" t="str">
        <f>+I$27</f>
        <v>Tyler Lockett</v>
      </c>
    </row>
    <row r="198" spans="3:3" x14ac:dyDescent="0.2">
      <c r="C198" s="34" t="str">
        <f>+I$28</f>
        <v>Julio Jones</v>
      </c>
    </row>
    <row r="199" spans="3:3" x14ac:dyDescent="0.2">
      <c r="C199" s="34" t="str">
        <f>+I$29</f>
        <v>Mike Evans</v>
      </c>
    </row>
    <row r="200" spans="3:3" x14ac:dyDescent="0.2">
      <c r="C200" s="34" t="str">
        <f>+I$30</f>
        <v>Zach Ertz</v>
      </c>
    </row>
    <row r="201" spans="3:3" x14ac:dyDescent="0.2">
      <c r="C201" s="34" t="str">
        <f>+I$31</f>
        <v>Ryan Griffin</v>
      </c>
    </row>
    <row r="202" spans="3:3" x14ac:dyDescent="0.2">
      <c r="C202" s="34" t="str">
        <f>+I$32</f>
        <v>Chicago Bears</v>
      </c>
    </row>
    <row r="203" spans="3:3" x14ac:dyDescent="0.2">
      <c r="C203" s="34" t="str">
        <f>+I$33</f>
        <v>Cleveland Browns</v>
      </c>
    </row>
    <row r="204" spans="3:3" x14ac:dyDescent="0.2">
      <c r="C204" s="34" t="str">
        <f>+I$34</f>
        <v>Younghoe Koo</v>
      </c>
    </row>
    <row r="205" spans="3:3" x14ac:dyDescent="0.2">
      <c r="C205" s="34" t="str">
        <f>+I$35</f>
        <v>Chris Boswell</v>
      </c>
    </row>
    <row r="206" spans="3:3" x14ac:dyDescent="0.2">
      <c r="C206" s="51" t="str">
        <f>+K$22</f>
        <v>Patrick Mahomes</v>
      </c>
    </row>
    <row r="207" spans="3:3" x14ac:dyDescent="0.2">
      <c r="C207" s="34" t="str">
        <f>+K$23</f>
        <v>Russell Wilson</v>
      </c>
    </row>
    <row r="208" spans="3:3" x14ac:dyDescent="0.2">
      <c r="C208" s="34" t="str">
        <f>+K$24</f>
        <v>Devin Singletary</v>
      </c>
    </row>
    <row r="209" spans="3:3" x14ac:dyDescent="0.2">
      <c r="C209" s="34" t="str">
        <f>+K$25</f>
        <v>Todd Gurley</v>
      </c>
    </row>
    <row r="210" spans="3:3" x14ac:dyDescent="0.2">
      <c r="C210" s="34" t="str">
        <f>+K$26</f>
        <v>Le'Veon Bell</v>
      </c>
    </row>
    <row r="211" spans="3:3" x14ac:dyDescent="0.2">
      <c r="C211" s="34" t="str">
        <f>+K$27</f>
        <v>Tyreek Hill</v>
      </c>
    </row>
    <row r="212" spans="3:3" x14ac:dyDescent="0.2">
      <c r="C212" s="34" t="str">
        <f>+K$28</f>
        <v>Davante Adams</v>
      </c>
    </row>
    <row r="213" spans="3:3" x14ac:dyDescent="0.2">
      <c r="C213" s="34" t="str">
        <f>+K$29</f>
        <v>Cooper Kupp</v>
      </c>
    </row>
    <row r="214" spans="3:3" x14ac:dyDescent="0.2">
      <c r="C214" s="34" t="str">
        <f>+K$30</f>
        <v>Travis Kelce</v>
      </c>
    </row>
    <row r="215" spans="3:3" x14ac:dyDescent="0.2">
      <c r="C215" s="34" t="str">
        <f>+K$31</f>
        <v>Jacob Hollister</v>
      </c>
    </row>
    <row r="216" spans="3:3" x14ac:dyDescent="0.2">
      <c r="C216" s="34" t="str">
        <f>+K$32</f>
        <v>Sam Ficken</v>
      </c>
    </row>
    <row r="217" spans="3:3" x14ac:dyDescent="0.2">
      <c r="C217" s="34" t="str">
        <f>+K$33</f>
        <v>Dustin Hopkins</v>
      </c>
    </row>
    <row r="218" spans="3:3" x14ac:dyDescent="0.2">
      <c r="C218" s="34" t="str">
        <f>+K$34</f>
        <v>Philadelphia Eagles</v>
      </c>
    </row>
    <row r="219" spans="3:3" x14ac:dyDescent="0.2">
      <c r="C219" s="34" t="str">
        <f>+K$35</f>
        <v>Chicago Bears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EB4C-FA96-2A42-A997-B7CE9D1A5C9A}">
  <dimension ref="B2:T261"/>
  <sheetViews>
    <sheetView showGridLines="0" topLeftCell="A34" workbookViewId="0">
      <selection activeCell="C38" sqref="C38:C65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862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297</v>
      </c>
      <c r="D5" s="38"/>
      <c r="E5" s="37" t="s">
        <v>197</v>
      </c>
      <c r="F5" s="38"/>
      <c r="G5" s="37" t="s">
        <v>594</v>
      </c>
      <c r="H5" s="38"/>
      <c r="I5" s="37" t="s">
        <v>343</v>
      </c>
      <c r="J5" s="38"/>
      <c r="K5" s="37" t="s">
        <v>105</v>
      </c>
      <c r="L5" s="38"/>
      <c r="M5" s="37" t="s">
        <v>294</v>
      </c>
      <c r="N5" s="38"/>
      <c r="O5" s="37" t="s">
        <v>733</v>
      </c>
      <c r="P5" s="38"/>
      <c r="Q5" s="37" t="s">
        <v>537</v>
      </c>
      <c r="R5" s="38"/>
      <c r="S5" s="39"/>
    </row>
    <row r="6" spans="2:19" x14ac:dyDescent="0.2">
      <c r="B6" s="40" t="s">
        <v>881</v>
      </c>
      <c r="C6" s="41" t="s">
        <v>209</v>
      </c>
      <c r="D6" s="42"/>
      <c r="E6" s="41" t="s">
        <v>531</v>
      </c>
      <c r="F6" s="42"/>
      <c r="G6" s="41" t="s">
        <v>248</v>
      </c>
      <c r="H6" s="42"/>
      <c r="I6" s="41" t="s">
        <v>129</v>
      </c>
      <c r="J6" s="42"/>
      <c r="K6" s="41" t="s">
        <v>525</v>
      </c>
      <c r="L6" s="42"/>
      <c r="M6" s="41" t="s">
        <v>709</v>
      </c>
      <c r="N6" s="42"/>
      <c r="O6" s="41" t="s">
        <v>766</v>
      </c>
      <c r="P6" s="42"/>
      <c r="Q6" s="41" t="s">
        <v>919</v>
      </c>
      <c r="R6" s="42"/>
      <c r="S6" s="39"/>
    </row>
    <row r="7" spans="2:19" x14ac:dyDescent="0.2">
      <c r="B7" s="40" t="s">
        <v>882</v>
      </c>
      <c r="C7" s="41" t="s">
        <v>71</v>
      </c>
      <c r="D7" s="42"/>
      <c r="E7" s="41" t="s">
        <v>539</v>
      </c>
      <c r="F7" s="42"/>
      <c r="G7" s="41" t="s">
        <v>183</v>
      </c>
      <c r="H7" s="42"/>
      <c r="I7" s="41" t="s">
        <v>310</v>
      </c>
      <c r="J7" s="42"/>
      <c r="K7" s="41" t="s">
        <v>563</v>
      </c>
      <c r="L7" s="42"/>
      <c r="M7" s="41" t="s">
        <v>274</v>
      </c>
      <c r="N7" s="42"/>
      <c r="O7" s="41" t="s">
        <v>258</v>
      </c>
      <c r="P7" s="42"/>
      <c r="Q7" s="41" t="s">
        <v>131</v>
      </c>
      <c r="R7" s="42"/>
      <c r="S7" s="39"/>
    </row>
    <row r="8" spans="2:19" x14ac:dyDescent="0.2">
      <c r="B8" s="40" t="s">
        <v>883</v>
      </c>
      <c r="C8" s="41" t="s">
        <v>217</v>
      </c>
      <c r="D8" s="42"/>
      <c r="E8" s="41" t="s">
        <v>36</v>
      </c>
      <c r="F8" s="42"/>
      <c r="G8" s="41" t="s">
        <v>704</v>
      </c>
      <c r="H8" s="42"/>
      <c r="I8" s="41" t="s">
        <v>628</v>
      </c>
      <c r="J8" s="42"/>
      <c r="K8" s="41" t="s">
        <v>440</v>
      </c>
      <c r="L8" s="42"/>
      <c r="M8" s="41" t="s">
        <v>576</v>
      </c>
      <c r="N8" s="42"/>
      <c r="O8" s="41" t="s">
        <v>265</v>
      </c>
      <c r="P8" s="42"/>
      <c r="Q8" s="41" t="s">
        <v>266</v>
      </c>
      <c r="R8" s="42"/>
      <c r="S8" s="39"/>
    </row>
    <row r="9" spans="2:19" x14ac:dyDescent="0.2">
      <c r="B9" s="40" t="s">
        <v>884</v>
      </c>
      <c r="C9" s="41" t="s">
        <v>564</v>
      </c>
      <c r="D9" s="42"/>
      <c r="E9" s="41" t="s">
        <v>286</v>
      </c>
      <c r="F9" s="42"/>
      <c r="G9" s="41" t="s">
        <v>172</v>
      </c>
      <c r="H9" s="42"/>
      <c r="I9" s="41" t="s">
        <v>12</v>
      </c>
      <c r="J9" s="42"/>
      <c r="K9" s="41" t="s">
        <v>391</v>
      </c>
      <c r="L9" s="42"/>
      <c r="M9" s="41" t="s">
        <v>92</v>
      </c>
      <c r="N9" s="42"/>
      <c r="O9" s="41" t="s">
        <v>718</v>
      </c>
      <c r="P9" s="42"/>
      <c r="Q9" s="41" t="s">
        <v>126</v>
      </c>
      <c r="R9" s="42"/>
      <c r="S9" s="39"/>
    </row>
    <row r="10" spans="2:19" x14ac:dyDescent="0.2">
      <c r="B10" s="40" t="s">
        <v>885</v>
      </c>
      <c r="C10" s="41" t="s">
        <v>438</v>
      </c>
      <c r="D10" s="42"/>
      <c r="E10" s="41" t="s">
        <v>215</v>
      </c>
      <c r="F10" s="42"/>
      <c r="G10" s="41" t="s">
        <v>329</v>
      </c>
      <c r="H10" s="42"/>
      <c r="I10" s="41" t="s">
        <v>367</v>
      </c>
      <c r="J10" s="42"/>
      <c r="K10" s="41" t="s">
        <v>254</v>
      </c>
      <c r="L10" s="42"/>
      <c r="M10" s="41" t="s">
        <v>374</v>
      </c>
      <c r="N10" s="42"/>
      <c r="O10" s="41" t="s">
        <v>561</v>
      </c>
      <c r="P10" s="42"/>
      <c r="Q10" s="41" t="s">
        <v>708</v>
      </c>
      <c r="R10" s="42"/>
      <c r="S10" s="39"/>
    </row>
    <row r="11" spans="2:19" x14ac:dyDescent="0.2">
      <c r="B11" s="40" t="s">
        <v>886</v>
      </c>
      <c r="C11" s="41" t="s">
        <v>146</v>
      </c>
      <c r="D11" s="42"/>
      <c r="E11" s="41" t="s">
        <v>106</v>
      </c>
      <c r="F11" s="42"/>
      <c r="G11" s="41" t="s">
        <v>284</v>
      </c>
      <c r="H11" s="42"/>
      <c r="I11" s="41" t="s">
        <v>328</v>
      </c>
      <c r="J11" s="42"/>
      <c r="K11" s="41" t="s">
        <v>538</v>
      </c>
      <c r="L11" s="42"/>
      <c r="M11" s="41" t="s">
        <v>229</v>
      </c>
      <c r="N11" s="42"/>
      <c r="O11" s="41" t="s">
        <v>135</v>
      </c>
      <c r="P11" s="42"/>
      <c r="Q11" s="41" t="s">
        <v>243</v>
      </c>
      <c r="R11" s="42"/>
      <c r="S11" s="39"/>
    </row>
    <row r="12" spans="2:19" x14ac:dyDescent="0.2">
      <c r="B12" s="40" t="s">
        <v>887</v>
      </c>
      <c r="C12" s="41" t="s">
        <v>277</v>
      </c>
      <c r="D12" s="42"/>
      <c r="E12" s="41" t="s">
        <v>896</v>
      </c>
      <c r="F12" s="42"/>
      <c r="G12" s="41" t="s">
        <v>902</v>
      </c>
      <c r="H12" s="42"/>
      <c r="I12" s="41" t="s">
        <v>261</v>
      </c>
      <c r="J12" s="42"/>
      <c r="K12" s="41" t="s">
        <v>558</v>
      </c>
      <c r="L12" s="42"/>
      <c r="M12" s="41" t="s">
        <v>543</v>
      </c>
      <c r="N12" s="42"/>
      <c r="O12" s="41" t="s">
        <v>658</v>
      </c>
      <c r="P12" s="42"/>
      <c r="Q12" s="41" t="s">
        <v>33</v>
      </c>
      <c r="R12" s="42"/>
      <c r="S12" s="39"/>
    </row>
    <row r="13" spans="2:19" x14ac:dyDescent="0.2">
      <c r="B13" s="40" t="s">
        <v>888</v>
      </c>
      <c r="C13" s="41" t="s">
        <v>592</v>
      </c>
      <c r="D13" s="42"/>
      <c r="E13" s="41" t="s">
        <v>375</v>
      </c>
      <c r="F13" s="42"/>
      <c r="G13" s="41" t="s">
        <v>199</v>
      </c>
      <c r="H13" s="42"/>
      <c r="I13" s="41" t="s">
        <v>113</v>
      </c>
      <c r="J13" s="42"/>
      <c r="K13" s="41" t="s">
        <v>446</v>
      </c>
      <c r="L13" s="42"/>
      <c r="M13" s="41" t="s">
        <v>13</v>
      </c>
      <c r="N13" s="42"/>
      <c r="O13" s="41" t="s">
        <v>210</v>
      </c>
      <c r="P13" s="42"/>
      <c r="Q13" s="41" t="s">
        <v>179</v>
      </c>
      <c r="R13" s="42"/>
      <c r="S13" s="39"/>
    </row>
    <row r="14" spans="2:19" x14ac:dyDescent="0.2">
      <c r="B14" s="40" t="s">
        <v>889</v>
      </c>
      <c r="C14" s="41" t="s">
        <v>587</v>
      </c>
      <c r="D14" s="42"/>
      <c r="E14" s="41" t="s">
        <v>51</v>
      </c>
      <c r="F14" s="42"/>
      <c r="G14" s="41" t="s">
        <v>164</v>
      </c>
      <c r="H14" s="42"/>
      <c r="I14" s="41" t="s">
        <v>608</v>
      </c>
      <c r="J14" s="42"/>
      <c r="K14" s="41" t="s">
        <v>46</v>
      </c>
      <c r="L14" s="42"/>
      <c r="M14" s="41" t="s">
        <v>915</v>
      </c>
      <c r="N14" s="42"/>
      <c r="O14" s="41" t="s">
        <v>114</v>
      </c>
      <c r="P14" s="42"/>
      <c r="Q14" s="41" t="s">
        <v>303</v>
      </c>
      <c r="R14" s="42"/>
      <c r="S14" s="39"/>
    </row>
    <row r="15" spans="2:19" x14ac:dyDescent="0.2">
      <c r="B15" s="40" t="s">
        <v>890</v>
      </c>
      <c r="C15" s="41" t="s">
        <v>791</v>
      </c>
      <c r="D15" s="42"/>
      <c r="E15" s="41" t="s">
        <v>789</v>
      </c>
      <c r="F15" s="42"/>
      <c r="G15" s="41" t="s">
        <v>790</v>
      </c>
      <c r="H15" s="42"/>
      <c r="I15" s="41" t="s">
        <v>798</v>
      </c>
      <c r="J15" s="42"/>
      <c r="K15" s="41" t="s">
        <v>812</v>
      </c>
      <c r="L15" s="42"/>
      <c r="M15" s="41" t="s">
        <v>784</v>
      </c>
      <c r="N15" s="42"/>
      <c r="O15" s="41" t="s">
        <v>796</v>
      </c>
      <c r="P15" s="42"/>
      <c r="Q15" s="41" t="s">
        <v>799</v>
      </c>
      <c r="R15" s="42"/>
      <c r="S15" s="39"/>
    </row>
    <row r="16" spans="2:19" x14ac:dyDescent="0.2">
      <c r="B16" s="40" t="s">
        <v>891</v>
      </c>
      <c r="C16" s="41" t="s">
        <v>792</v>
      </c>
      <c r="D16" s="42"/>
      <c r="E16" s="41" t="s">
        <v>809</v>
      </c>
      <c r="F16" s="42"/>
      <c r="G16" s="41" t="s">
        <v>810</v>
      </c>
      <c r="H16" s="42"/>
      <c r="I16" s="41" t="s">
        <v>795</v>
      </c>
      <c r="J16" s="42"/>
      <c r="K16" s="41" t="s">
        <v>781</v>
      </c>
      <c r="L16" s="42"/>
      <c r="M16" s="41" t="s">
        <v>803</v>
      </c>
      <c r="N16" s="42"/>
      <c r="O16" s="41" t="s">
        <v>788</v>
      </c>
      <c r="P16" s="42"/>
      <c r="Q16" s="41" t="s">
        <v>801</v>
      </c>
      <c r="R16" s="42"/>
      <c r="S16" s="39"/>
    </row>
    <row r="17" spans="2:20" x14ac:dyDescent="0.2">
      <c r="B17" s="40" t="s">
        <v>892</v>
      </c>
      <c r="C17" s="41" t="s">
        <v>842</v>
      </c>
      <c r="D17" s="42"/>
      <c r="E17" s="41" t="s">
        <v>852</v>
      </c>
      <c r="F17" s="42"/>
      <c r="G17" s="41" t="s">
        <v>832</v>
      </c>
      <c r="H17" s="42"/>
      <c r="I17" s="41" t="s">
        <v>857</v>
      </c>
      <c r="J17" s="42"/>
      <c r="K17" s="41" t="s">
        <v>822</v>
      </c>
      <c r="L17" s="42"/>
      <c r="M17" s="41" t="s">
        <v>816</v>
      </c>
      <c r="N17" s="42"/>
      <c r="O17" s="41" t="s">
        <v>840</v>
      </c>
      <c r="P17" s="42"/>
      <c r="Q17" s="41" t="s">
        <v>847</v>
      </c>
      <c r="R17" s="42"/>
      <c r="S17" s="39"/>
    </row>
    <row r="18" spans="2:20" x14ac:dyDescent="0.2">
      <c r="B18" s="43" t="s">
        <v>893</v>
      </c>
      <c r="C18" s="44" t="s">
        <v>849</v>
      </c>
      <c r="D18" s="45"/>
      <c r="E18" s="44" t="s">
        <v>848</v>
      </c>
      <c r="F18" s="45"/>
      <c r="G18" s="44" t="s">
        <v>821</v>
      </c>
      <c r="H18" s="45"/>
      <c r="I18" s="44" t="s">
        <v>831</v>
      </c>
      <c r="J18" s="45"/>
      <c r="K18" s="44" t="s">
        <v>844</v>
      </c>
      <c r="L18" s="45"/>
      <c r="M18" s="44" t="s">
        <v>854</v>
      </c>
      <c r="N18" s="45"/>
      <c r="O18" s="44" t="s">
        <v>835</v>
      </c>
      <c r="P18" s="45"/>
      <c r="Q18" s="44" t="s">
        <v>826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360</v>
      </c>
      <c r="D22" s="38"/>
      <c r="E22" s="37" t="s">
        <v>535</v>
      </c>
      <c r="F22" s="38"/>
      <c r="G22" s="89" t="s">
        <v>194</v>
      </c>
      <c r="H22" s="38"/>
      <c r="I22" s="37" t="s">
        <v>530</v>
      </c>
      <c r="J22" s="38"/>
      <c r="K22" s="37" t="s">
        <v>928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150</v>
      </c>
      <c r="D23" s="42"/>
      <c r="E23" s="41" t="s">
        <v>192</v>
      </c>
      <c r="F23" s="42"/>
      <c r="G23" s="90" t="s">
        <v>732</v>
      </c>
      <c r="H23" s="42"/>
      <c r="I23" s="41" t="s">
        <v>534</v>
      </c>
      <c r="J23" s="42"/>
      <c r="K23" s="41" t="s">
        <v>128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193</v>
      </c>
      <c r="D24" s="42"/>
      <c r="E24" s="41" t="s">
        <v>275</v>
      </c>
      <c r="F24" s="42"/>
      <c r="G24" s="90" t="s">
        <v>214</v>
      </c>
      <c r="H24" s="42"/>
      <c r="I24" s="41" t="s">
        <v>533</v>
      </c>
      <c r="J24" s="42"/>
      <c r="K24" s="41" t="s">
        <v>88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195</v>
      </c>
      <c r="D25" s="42"/>
      <c r="E25" s="41" t="s">
        <v>717</v>
      </c>
      <c r="F25" s="42"/>
      <c r="G25" s="90" t="s">
        <v>702</v>
      </c>
      <c r="H25" s="42"/>
      <c r="I25" s="41" t="s">
        <v>267</v>
      </c>
      <c r="J25" s="42"/>
      <c r="K25" s="41" t="s">
        <v>926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405</v>
      </c>
      <c r="D26" s="42"/>
      <c r="E26" s="41" t="s">
        <v>298</v>
      </c>
      <c r="F26" s="42"/>
      <c r="G26" s="90" t="s">
        <v>34</v>
      </c>
      <c r="H26" s="42"/>
      <c r="I26" s="41" t="s">
        <v>151</v>
      </c>
      <c r="J26" s="42"/>
      <c r="K26" s="41" t="s">
        <v>705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349</v>
      </c>
      <c r="D27" s="42"/>
      <c r="E27" s="41" t="s">
        <v>240</v>
      </c>
      <c r="F27" s="42"/>
      <c r="G27" s="90" t="s">
        <v>30</v>
      </c>
      <c r="H27" s="42"/>
      <c r="I27" s="41" t="s">
        <v>332</v>
      </c>
      <c r="J27" s="42"/>
      <c r="K27" s="41" t="s">
        <v>614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341</v>
      </c>
      <c r="D28" s="42"/>
      <c r="E28" s="41" t="s">
        <v>501</v>
      </c>
      <c r="F28" s="42"/>
      <c r="G28" s="90" t="s">
        <v>24</v>
      </c>
      <c r="H28" s="42"/>
      <c r="I28" s="41" t="s">
        <v>198</v>
      </c>
      <c r="J28" s="42"/>
      <c r="K28" s="41" t="s">
        <v>430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920</v>
      </c>
      <c r="D29" s="42"/>
      <c r="E29" s="41" t="s">
        <v>551</v>
      </c>
      <c r="F29" s="42"/>
      <c r="G29" s="90" t="s">
        <v>196</v>
      </c>
      <c r="H29" s="42"/>
      <c r="I29" s="41" t="s">
        <v>536</v>
      </c>
      <c r="J29" s="42"/>
      <c r="K29" s="41" t="s">
        <v>141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125</v>
      </c>
      <c r="D30" s="42"/>
      <c r="E30" s="41" t="s">
        <v>57</v>
      </c>
      <c r="F30" s="42"/>
      <c r="G30" s="90" t="s">
        <v>710</v>
      </c>
      <c r="H30" s="42"/>
      <c r="I30" s="41" t="s">
        <v>213</v>
      </c>
      <c r="J30" s="42"/>
      <c r="K30" s="41" t="s">
        <v>633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601</v>
      </c>
      <c r="D31" s="42"/>
      <c r="E31" s="41" t="s">
        <v>331</v>
      </c>
      <c r="F31" s="42"/>
      <c r="G31" s="90" t="s">
        <v>249</v>
      </c>
      <c r="H31" s="42"/>
      <c r="I31" s="41" t="s">
        <v>566</v>
      </c>
      <c r="J31" s="42"/>
      <c r="K31" s="41" t="s">
        <v>724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785</v>
      </c>
      <c r="D32" s="42"/>
      <c r="E32" s="41" t="s">
        <v>811</v>
      </c>
      <c r="F32" s="42"/>
      <c r="G32" s="90" t="s">
        <v>837</v>
      </c>
      <c r="H32" s="42"/>
      <c r="I32" s="41" t="s">
        <v>804</v>
      </c>
      <c r="J32" s="42"/>
      <c r="K32" s="41" t="s">
        <v>819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800</v>
      </c>
      <c r="D33" s="42"/>
      <c r="E33" s="41" t="s">
        <v>797</v>
      </c>
      <c r="F33" s="42"/>
      <c r="G33" s="90" t="s">
        <v>827</v>
      </c>
      <c r="H33" s="42"/>
      <c r="I33" s="41" t="s">
        <v>806</v>
      </c>
      <c r="J33" s="42"/>
      <c r="K33" s="41" t="s">
        <v>814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824</v>
      </c>
      <c r="D34" s="42"/>
      <c r="E34" s="41" t="s">
        <v>814</v>
      </c>
      <c r="F34" s="42"/>
      <c r="G34" s="90" t="s">
        <v>801</v>
      </c>
      <c r="H34" s="42"/>
      <c r="I34" s="41" t="s">
        <v>850</v>
      </c>
      <c r="J34" s="42"/>
      <c r="K34" s="41" t="s">
        <v>793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845</v>
      </c>
      <c r="D35" s="45"/>
      <c r="E35" s="44" t="s">
        <v>819</v>
      </c>
      <c r="F35" s="45"/>
      <c r="G35" s="91" t="s">
        <v>787</v>
      </c>
      <c r="H35" s="45"/>
      <c r="I35" s="44" t="s">
        <v>853</v>
      </c>
      <c r="J35" s="45"/>
      <c r="K35" s="44" t="s">
        <v>807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Matthew Stafford</v>
      </c>
    </row>
    <row r="39" spans="2:20" x14ac:dyDescent="0.2">
      <c r="C39" s="34" t="str">
        <f>+C$6</f>
        <v>Jimmy Garoppolo</v>
      </c>
    </row>
    <row r="40" spans="2:20" x14ac:dyDescent="0.2">
      <c r="C40" s="34" t="str">
        <f>+C$7</f>
        <v>Peyton Barber</v>
      </c>
    </row>
    <row r="41" spans="2:20" x14ac:dyDescent="0.2">
      <c r="C41" s="34" t="str">
        <f>+C$8</f>
        <v>Jordan Howard</v>
      </c>
    </row>
    <row r="42" spans="2:20" x14ac:dyDescent="0.2">
      <c r="C42" s="34" t="str">
        <f>+C$9</f>
        <v>Rashaad Penny</v>
      </c>
    </row>
    <row r="43" spans="2:20" x14ac:dyDescent="0.2">
      <c r="C43" s="34" t="str">
        <f>+C$10</f>
        <v>Tyrell Williams</v>
      </c>
    </row>
    <row r="44" spans="2:20" x14ac:dyDescent="0.2">
      <c r="C44" s="34" t="str">
        <f>+C$11</f>
        <v>Dede Westbrook</v>
      </c>
      <c r="G44" s="87"/>
    </row>
    <row r="45" spans="2:20" x14ac:dyDescent="0.2">
      <c r="C45" s="34" t="str">
        <f>+C$12</f>
        <v>Marquise Goodwin</v>
      </c>
      <c r="G45" s="87"/>
    </row>
    <row r="46" spans="2:20" x14ac:dyDescent="0.2">
      <c r="C46" s="34" t="str">
        <f>+C$13</f>
        <v>Will Dissly</v>
      </c>
      <c r="G46" s="87"/>
    </row>
    <row r="47" spans="2:20" x14ac:dyDescent="0.2">
      <c r="C47" s="34" t="str">
        <f>+C$14</f>
        <v>Matt LaCosse</v>
      </c>
      <c r="G47" s="87"/>
    </row>
    <row r="48" spans="2:20" x14ac:dyDescent="0.2">
      <c r="C48" s="34" t="str">
        <f>+C$15</f>
        <v>Denver Broncos</v>
      </c>
      <c r="G48" s="87"/>
    </row>
    <row r="49" spans="3:7" x14ac:dyDescent="0.2">
      <c r="C49" s="34" t="str">
        <f>+C$16</f>
        <v>Detroit Lions</v>
      </c>
      <c r="G49" s="87"/>
    </row>
    <row r="50" spans="3:7" x14ac:dyDescent="0.2">
      <c r="C50" s="34" t="str">
        <f>+C$17</f>
        <v>Brett Maher</v>
      </c>
      <c r="G50" s="87"/>
    </row>
    <row r="51" spans="3:7" x14ac:dyDescent="0.2">
      <c r="C51" s="34" t="str">
        <f>+C$18</f>
        <v>Matt Prater</v>
      </c>
      <c r="G51" s="87"/>
    </row>
    <row r="52" spans="3:7" x14ac:dyDescent="0.2">
      <c r="C52" s="51" t="str">
        <f>+E$5</f>
        <v>Jared Goff</v>
      </c>
      <c r="G52" s="87"/>
    </row>
    <row r="53" spans="3:7" x14ac:dyDescent="0.2">
      <c r="C53" s="34" t="str">
        <f>+E$6</f>
        <v>Josh Allen</v>
      </c>
      <c r="G53" s="87"/>
    </row>
    <row r="54" spans="3:7" x14ac:dyDescent="0.2">
      <c r="C54" s="34" t="str">
        <f>+E$7</f>
        <v>Sony Michel</v>
      </c>
      <c r="G54" s="87"/>
    </row>
    <row r="55" spans="3:7" x14ac:dyDescent="0.2">
      <c r="C55" s="34" t="str">
        <f>+E$8</f>
        <v>Darren Sproles</v>
      </c>
      <c r="G55" s="87"/>
    </row>
    <row r="56" spans="3:7" x14ac:dyDescent="0.2">
      <c r="C56" s="34" t="str">
        <f>+E$9</f>
        <v>Matt Breida</v>
      </c>
      <c r="G56" s="87"/>
    </row>
    <row r="57" spans="3:7" x14ac:dyDescent="0.2">
      <c r="C57" s="34" t="str">
        <f>+E$10</f>
        <v>John Brown</v>
      </c>
      <c r="G57" s="87"/>
    </row>
    <row r="58" spans="3:7" x14ac:dyDescent="0.2">
      <c r="C58" s="34" t="str">
        <f>+E$11</f>
        <v>Antonio Brown</v>
      </c>
    </row>
    <row r="59" spans="3:7" x14ac:dyDescent="0.2">
      <c r="C59" s="34" t="str">
        <f>+E$12</f>
        <v>Desean Jackson</v>
      </c>
    </row>
    <row r="60" spans="3:7" x14ac:dyDescent="0.2">
      <c r="C60" s="34" t="str">
        <f>+E$13</f>
        <v>Vernon Davis</v>
      </c>
    </row>
    <row r="61" spans="3:7" x14ac:dyDescent="0.2">
      <c r="C61" s="34" t="str">
        <f>+E$14</f>
        <v>Greg Olsen</v>
      </c>
    </row>
    <row r="62" spans="3:7" x14ac:dyDescent="0.2">
      <c r="C62" s="34" t="str">
        <f>+E$15</f>
        <v>Cleveland Browns</v>
      </c>
    </row>
    <row r="63" spans="3:7" x14ac:dyDescent="0.2">
      <c r="C63" s="34" t="str">
        <f>+E$16</f>
        <v>San Francisco 49ers</v>
      </c>
    </row>
    <row r="64" spans="3:7" x14ac:dyDescent="0.2">
      <c r="C64" s="34" t="str">
        <f>+E$17</f>
        <v>Cairo Santos</v>
      </c>
    </row>
    <row r="65" spans="3:3" x14ac:dyDescent="0.2">
      <c r="C65" s="34" t="str">
        <f>+E$18</f>
        <v>Eddy Pineiro</v>
      </c>
    </row>
    <row r="66" spans="3:3" x14ac:dyDescent="0.2">
      <c r="C66" s="51" t="str">
        <f>+G$5</f>
        <v>Kyle Allen</v>
      </c>
    </row>
    <row r="67" spans="3:3" x14ac:dyDescent="0.2">
      <c r="C67" s="34" t="str">
        <f>+G$6</f>
        <v>Kirk Cousins</v>
      </c>
    </row>
    <row r="68" spans="3:3" x14ac:dyDescent="0.2">
      <c r="C68" s="34" t="str">
        <f>+G$7</f>
        <v>Frank Gore</v>
      </c>
    </row>
    <row r="69" spans="3:3" x14ac:dyDescent="0.2">
      <c r="C69" s="34" t="str">
        <f>+G$8</f>
        <v>David Montgomery</v>
      </c>
    </row>
    <row r="70" spans="3:3" x14ac:dyDescent="0.2">
      <c r="C70" s="34" t="str">
        <f>+G$9</f>
        <v>Duke Johnson</v>
      </c>
    </row>
    <row r="71" spans="3:3" x14ac:dyDescent="0.2">
      <c r="C71" s="34" t="str">
        <f>+G$10</f>
        <v>Nelson Agholor</v>
      </c>
    </row>
    <row r="72" spans="3:3" x14ac:dyDescent="0.2">
      <c r="C72" s="34" t="str">
        <f>+G$11</f>
        <v>Marvin Jones</v>
      </c>
    </row>
    <row r="73" spans="3:3" x14ac:dyDescent="0.2">
      <c r="C73" s="34" t="str">
        <f>+G$12</f>
        <v>Devin Smith</v>
      </c>
    </row>
    <row r="74" spans="3:3" x14ac:dyDescent="0.2">
      <c r="C74" s="34" t="str">
        <f>+G$13</f>
        <v>Jason Witten</v>
      </c>
    </row>
    <row r="75" spans="3:3" x14ac:dyDescent="0.2">
      <c r="C75" s="34" t="str">
        <f>+G$14</f>
        <v>Demetrius Harris</v>
      </c>
    </row>
    <row r="76" spans="3:3" x14ac:dyDescent="0.2">
      <c r="C76" s="34" t="str">
        <f>+G$15</f>
        <v>Dallas Cowboys</v>
      </c>
    </row>
    <row r="77" spans="3:3" x14ac:dyDescent="0.2">
      <c r="C77" s="34" t="str">
        <f>+G$16</f>
        <v>Seattle Seahawks</v>
      </c>
    </row>
    <row r="78" spans="3:3" x14ac:dyDescent="0.2">
      <c r="C78" s="34" t="str">
        <f>+G$17</f>
        <v>Zane Gonzalez</v>
      </c>
    </row>
    <row r="79" spans="3:3" x14ac:dyDescent="0.2">
      <c r="C79" s="34" t="str">
        <f>+G$18</f>
        <v>Matt Bryant</v>
      </c>
    </row>
    <row r="80" spans="3:3" x14ac:dyDescent="0.2">
      <c r="C80" s="51" t="str">
        <f>+I$5</f>
        <v>Philip Rivers</v>
      </c>
    </row>
    <row r="81" spans="3:3" x14ac:dyDescent="0.2">
      <c r="C81" s="34" t="str">
        <f>+I$6</f>
        <v>Case Keenum</v>
      </c>
    </row>
    <row r="82" spans="3:3" x14ac:dyDescent="0.2">
      <c r="C82" s="34" t="str">
        <f>+I$7</f>
        <v>James Conner</v>
      </c>
    </row>
    <row r="83" spans="3:3" x14ac:dyDescent="0.2">
      <c r="C83" s="34" t="str">
        <f>+I$8</f>
        <v>Darrel Williams</v>
      </c>
    </row>
    <row r="84" spans="3:3" x14ac:dyDescent="0.2">
      <c r="C84" s="34" t="str">
        <f>+I$9</f>
        <v>Austin Ekeler</v>
      </c>
    </row>
    <row r="85" spans="3:3" x14ac:dyDescent="0.2">
      <c r="C85" s="34" t="str">
        <f>+I$10</f>
        <v>Mike Williams</v>
      </c>
    </row>
    <row r="86" spans="3:3" x14ac:dyDescent="0.2">
      <c r="C86" s="34" t="str">
        <f>+I$11</f>
        <v>Tyler Boyd</v>
      </c>
    </row>
    <row r="87" spans="3:3" x14ac:dyDescent="0.2">
      <c r="C87" s="34" t="str">
        <f>+I$12</f>
        <v>Curtis Samuel</v>
      </c>
    </row>
    <row r="88" spans="3:3" x14ac:dyDescent="0.2">
      <c r="C88" s="34" t="str">
        <f>+I$13</f>
        <v>Gerald Everett</v>
      </c>
    </row>
    <row r="89" spans="3:3" x14ac:dyDescent="0.2">
      <c r="C89" s="34" t="str">
        <f>+I$14</f>
        <v>Mike Gesicki</v>
      </c>
    </row>
    <row r="90" spans="3:3" x14ac:dyDescent="0.2">
      <c r="C90" s="34" t="str">
        <f>+I$15</f>
        <v>Los Angeles Chargers</v>
      </c>
    </row>
    <row r="91" spans="3:3" x14ac:dyDescent="0.2">
      <c r="C91" s="34" t="str">
        <f>+I$16</f>
        <v>Indianapolis Colts</v>
      </c>
    </row>
    <row r="92" spans="3:3" x14ac:dyDescent="0.2">
      <c r="C92" s="34" t="str">
        <f>+I$17</f>
        <v>Adam Vinatieri</v>
      </c>
    </row>
    <row r="93" spans="3:3" x14ac:dyDescent="0.2">
      <c r="C93" s="34" t="str">
        <f>+I$18</f>
        <v>Matt Gay</v>
      </c>
    </row>
    <row r="94" spans="3:3" x14ac:dyDescent="0.2">
      <c r="C94" s="51" t="str">
        <f>+K$5</f>
        <v>Andy Dalton</v>
      </c>
    </row>
    <row r="95" spans="3:3" x14ac:dyDescent="0.2">
      <c r="C95" s="34" t="str">
        <f>+K$6</f>
        <v>Teddy Bridgewater</v>
      </c>
    </row>
    <row r="96" spans="3:3" x14ac:dyDescent="0.2">
      <c r="C96" s="34" t="str">
        <f>+K$7</f>
        <v>Jaylen Samuels</v>
      </c>
    </row>
    <row r="97" spans="3:3" x14ac:dyDescent="0.2">
      <c r="C97" s="34" t="str">
        <f>+K$8</f>
        <v>Wayne Gallman</v>
      </c>
    </row>
    <row r="98" spans="3:3" x14ac:dyDescent="0.2">
      <c r="C98" s="34" t="str">
        <f>+K$9</f>
        <v>Tarik Cohen</v>
      </c>
    </row>
    <row r="99" spans="3:3" x14ac:dyDescent="0.2">
      <c r="C99" s="34" t="str">
        <f>+K$10</f>
        <v>Larry Fitzgerald</v>
      </c>
    </row>
    <row r="100" spans="3:3" x14ac:dyDescent="0.2">
      <c r="C100" s="34" t="str">
        <f>+K$11</f>
        <v>Julian Edelman</v>
      </c>
    </row>
    <row r="101" spans="3:3" x14ac:dyDescent="0.2">
      <c r="C101" s="34" t="str">
        <f>+K$12</f>
        <v>Marquez Valdes-Scantling</v>
      </c>
    </row>
    <row r="102" spans="3:3" x14ac:dyDescent="0.2">
      <c r="C102" s="34" t="str">
        <f>+K$13</f>
        <v>Tyler Eifert</v>
      </c>
    </row>
    <row r="103" spans="3:3" x14ac:dyDescent="0.2">
      <c r="C103" s="34" t="str">
        <f>+K$14</f>
        <v>Eric Ebron</v>
      </c>
    </row>
    <row r="104" spans="3:3" x14ac:dyDescent="0.2">
      <c r="C104" s="34" t="str">
        <f>+K$15</f>
        <v>Tennessee Titans</v>
      </c>
    </row>
    <row r="105" spans="3:3" x14ac:dyDescent="0.2">
      <c r="C105" s="34" t="str">
        <f>+K$16</f>
        <v>Arizona Cardinals</v>
      </c>
    </row>
    <row r="106" spans="3:3" x14ac:dyDescent="0.2">
      <c r="C106" s="34" t="str">
        <f>+K$17</f>
        <v>Randy Bullock</v>
      </c>
    </row>
    <row r="107" spans="3:3" x14ac:dyDescent="0.2">
      <c r="C107" s="34" t="str">
        <f>+K$18</f>
        <v>Chase McLaughlin</v>
      </c>
    </row>
    <row r="108" spans="3:3" x14ac:dyDescent="0.2">
      <c r="C108" s="51" t="str">
        <f>+M$5</f>
        <v>Matt Ryan</v>
      </c>
    </row>
    <row r="109" spans="3:3" x14ac:dyDescent="0.2">
      <c r="C109" s="34" t="str">
        <f>+M$6</f>
        <v>Kyler Murray</v>
      </c>
    </row>
    <row r="110" spans="3:3" x14ac:dyDescent="0.2">
      <c r="C110" s="34" t="str">
        <f>+M$7</f>
        <v>Mark Ingram</v>
      </c>
    </row>
    <row r="111" spans="3:3" x14ac:dyDescent="0.2">
      <c r="C111" s="34" t="str">
        <f>+M$8</f>
        <v>Chase Edmonds</v>
      </c>
    </row>
    <row r="112" spans="3:3" x14ac:dyDescent="0.2">
      <c r="C112" s="34" t="str">
        <f>+M$9</f>
        <v>Adrian Peterson</v>
      </c>
    </row>
    <row r="113" spans="3:3" x14ac:dyDescent="0.2">
      <c r="C113" s="34" t="str">
        <f>+M$10</f>
        <v>Stefon Diggs</v>
      </c>
    </row>
    <row r="114" spans="3:3" x14ac:dyDescent="0.2">
      <c r="C114" s="34" t="str">
        <f>+M$11</f>
        <v>Josh Gordon</v>
      </c>
    </row>
    <row r="115" spans="3:3" x14ac:dyDescent="0.2">
      <c r="C115" s="34" t="str">
        <f>+M$12</f>
        <v>D.J. Moore</v>
      </c>
    </row>
    <row r="116" spans="3:3" x14ac:dyDescent="0.2">
      <c r="C116" s="34" t="str">
        <f>+M$13</f>
        <v>Austin Hooper</v>
      </c>
    </row>
    <row r="117" spans="3:3" x14ac:dyDescent="0.2">
      <c r="C117" s="34" t="str">
        <f>+M$14</f>
        <v>Geoff Swain</v>
      </c>
    </row>
    <row r="118" spans="3:3" x14ac:dyDescent="0.2">
      <c r="C118" s="34" t="str">
        <f>+M$15</f>
        <v>Baltimore Ravens</v>
      </c>
    </row>
    <row r="119" spans="3:3" x14ac:dyDescent="0.2">
      <c r="C119" s="34" t="str">
        <f>+M$16</f>
        <v>New Orleans Saints</v>
      </c>
    </row>
    <row r="120" spans="3:3" x14ac:dyDescent="0.2">
      <c r="C120" s="34" t="str">
        <f>+M$17</f>
        <v>Dan Bailey</v>
      </c>
    </row>
    <row r="121" spans="3:3" x14ac:dyDescent="0.2">
      <c r="C121" s="34" t="str">
        <f>+M$18</f>
        <v>Joey Slye</v>
      </c>
    </row>
    <row r="122" spans="3:3" x14ac:dyDescent="0.2">
      <c r="C122" s="51" t="str">
        <f>+O$5</f>
        <v>Daniel Jones</v>
      </c>
    </row>
    <row r="123" spans="3:3" x14ac:dyDescent="0.2">
      <c r="C123" s="34" t="str">
        <f>+O$6</f>
        <v>Gardner Minshew</v>
      </c>
    </row>
    <row r="124" spans="3:3" x14ac:dyDescent="0.2">
      <c r="C124" s="34" t="str">
        <f>+O$7</f>
        <v>Latavius Murray</v>
      </c>
    </row>
    <row r="125" spans="3:3" x14ac:dyDescent="0.2">
      <c r="C125" s="34" t="str">
        <f>+O$8</f>
        <v>Leonard Fournette</v>
      </c>
    </row>
    <row r="126" spans="3:3" x14ac:dyDescent="0.2">
      <c r="C126" s="34" t="str">
        <f>+O$9</f>
        <v>Darrell Henderson</v>
      </c>
    </row>
    <row r="127" spans="3:3" x14ac:dyDescent="0.2">
      <c r="C127" s="34" t="str">
        <f>+O$10</f>
        <v>Michael Gallup</v>
      </c>
    </row>
    <row r="128" spans="3:3" x14ac:dyDescent="0.2">
      <c r="C128" s="34" t="str">
        <f>+O$11</f>
        <v>Cooper Kupp</v>
      </c>
    </row>
    <row r="129" spans="3:3" x14ac:dyDescent="0.2">
      <c r="C129" s="34" t="str">
        <f>+O$12</f>
        <v>Auden Tate</v>
      </c>
    </row>
    <row r="130" spans="3:3" x14ac:dyDescent="0.2">
      <c r="C130" s="34" t="str">
        <f>+O$13</f>
        <v>Jimmy Graham</v>
      </c>
    </row>
    <row r="131" spans="3:3" x14ac:dyDescent="0.2">
      <c r="C131" s="34" t="str">
        <f>+O$14</f>
        <v>Darren Fells</v>
      </c>
    </row>
    <row r="132" spans="3:3" x14ac:dyDescent="0.2">
      <c r="C132" s="34" t="str">
        <f>+O$15</f>
        <v>Jacksonville Jaguars</v>
      </c>
    </row>
    <row r="133" spans="3:3" x14ac:dyDescent="0.2">
      <c r="C133" s="34" t="str">
        <f>+O$16</f>
        <v>Cincinnati Bengals</v>
      </c>
    </row>
    <row r="134" spans="3:3" x14ac:dyDescent="0.2">
      <c r="C134" s="34" t="str">
        <f>+O$17</f>
        <v>Josh Lambo</v>
      </c>
    </row>
    <row r="135" spans="3:3" x14ac:dyDescent="0.2">
      <c r="C135" s="34" t="str">
        <f>+O$18</f>
        <v>Steven Hauschka</v>
      </c>
    </row>
    <row r="136" spans="3:3" x14ac:dyDescent="0.2">
      <c r="C136" s="51" t="str">
        <f>+Q$5</f>
        <v>Ryan Tannehill</v>
      </c>
    </row>
    <row r="137" spans="3:3" x14ac:dyDescent="0.2">
      <c r="C137" s="34" t="str">
        <f>+Q$6</f>
        <v>Mason Rudolph</v>
      </c>
    </row>
    <row r="138" spans="3:3" x14ac:dyDescent="0.2">
      <c r="C138" s="34" t="str">
        <f>+Q$7</f>
        <v>Chris Carson</v>
      </c>
    </row>
    <row r="139" spans="3:3" x14ac:dyDescent="0.2">
      <c r="C139" s="34" t="str">
        <f>+Q$8</f>
        <v>LeSean McCoy</v>
      </c>
    </row>
    <row r="140" spans="3:3" x14ac:dyDescent="0.2">
      <c r="C140" s="34" t="str">
        <f>+Q$9</f>
        <v>Carlos Hyde</v>
      </c>
    </row>
    <row r="141" spans="3:3" x14ac:dyDescent="0.2">
      <c r="C141" s="34" t="str">
        <f>+Q$10</f>
        <v>DK Metcalf</v>
      </c>
    </row>
    <row r="142" spans="3:3" x14ac:dyDescent="0.2">
      <c r="C142" s="34" t="str">
        <f>+Q$11</f>
        <v>Kenny Stills</v>
      </c>
    </row>
    <row r="143" spans="3:3" x14ac:dyDescent="0.2">
      <c r="C143" s="34" t="str">
        <f>+Q$12</f>
        <v>Corey Davis</v>
      </c>
    </row>
    <row r="144" spans="3:3" x14ac:dyDescent="0.2">
      <c r="C144" s="34" t="str">
        <f>+Q$13</f>
        <v>Jonnu Smith</v>
      </c>
    </row>
    <row r="145" spans="3:3" x14ac:dyDescent="0.2">
      <c r="C145" s="34" t="str">
        <f>+Q$14</f>
        <v>Josh Hill</v>
      </c>
    </row>
    <row r="146" spans="3:3" x14ac:dyDescent="0.2">
      <c r="C146" s="34" t="str">
        <f>+Q$15</f>
        <v>Los Angeles Rams</v>
      </c>
    </row>
    <row r="147" spans="3:3" x14ac:dyDescent="0.2">
      <c r="C147" s="34" t="str">
        <f>+Q$16</f>
        <v>Minnesota Vikings</v>
      </c>
    </row>
    <row r="148" spans="3:3" x14ac:dyDescent="0.2">
      <c r="C148" s="34" t="str">
        <f>+Q$17</f>
        <v>Jason Myers</v>
      </c>
    </row>
    <row r="149" spans="3:3" x14ac:dyDescent="0.2">
      <c r="C149" s="34" t="str">
        <f>+Q$18</f>
        <v>Mason Crosby</v>
      </c>
    </row>
    <row r="150" spans="3:3" x14ac:dyDescent="0.2">
      <c r="C150" s="51" t="str">
        <f>+C$22</f>
        <v>Russell Wilson</v>
      </c>
    </row>
    <row r="151" spans="3:3" x14ac:dyDescent="0.2">
      <c r="C151" s="34" t="str">
        <f>+C$23</f>
        <v>Derek Carr</v>
      </c>
    </row>
    <row r="152" spans="3:3" x14ac:dyDescent="0.2">
      <c r="C152" s="34" t="str">
        <f>+C$24</f>
        <v>Jamaal Williams</v>
      </c>
    </row>
    <row r="153" spans="3:3" x14ac:dyDescent="0.2">
      <c r="C153" s="34" t="str">
        <f>+C$25</f>
        <v>James White</v>
      </c>
    </row>
    <row r="154" spans="3:3" x14ac:dyDescent="0.2">
      <c r="C154" s="34" t="str">
        <f>+C$26</f>
        <v>Tevin Coleman</v>
      </c>
    </row>
    <row r="155" spans="3:3" x14ac:dyDescent="0.2">
      <c r="C155" s="34" t="str">
        <f>+C$27</f>
        <v>Robby Anderson</v>
      </c>
    </row>
    <row r="156" spans="3:3" x14ac:dyDescent="0.2">
      <c r="C156" s="34" t="str">
        <f>+C$28</f>
        <v>Tyler Lockett</v>
      </c>
    </row>
    <row r="157" spans="3:3" x14ac:dyDescent="0.2">
      <c r="C157" s="34" t="str">
        <f>+C$29</f>
        <v>Kenny Golloday</v>
      </c>
    </row>
    <row r="158" spans="3:3" x14ac:dyDescent="0.2">
      <c r="C158" s="34" t="str">
        <f>+C$30</f>
        <v>Cameron Brate</v>
      </c>
    </row>
    <row r="159" spans="3:3" x14ac:dyDescent="0.2">
      <c r="C159" s="34" t="str">
        <f>+C$31</f>
        <v>Jordan Akins</v>
      </c>
    </row>
    <row r="160" spans="3:3" x14ac:dyDescent="0.2">
      <c r="C160" s="34" t="str">
        <f>+C$32</f>
        <v>Buffalo Bills</v>
      </c>
    </row>
    <row r="161" spans="3:3" x14ac:dyDescent="0.2">
      <c r="C161" s="34" t="str">
        <f>+C$33</f>
        <v>Miami Dolphins</v>
      </c>
    </row>
    <row r="162" spans="3:3" x14ac:dyDescent="0.2">
      <c r="C162" s="34" t="str">
        <f>+C$34</f>
        <v>Daniel Carlson</v>
      </c>
    </row>
    <row r="163" spans="3:3" x14ac:dyDescent="0.2">
      <c r="C163" s="34" t="str">
        <f>+C$35</f>
        <v>Brandon McManus</v>
      </c>
    </row>
    <row r="164" spans="3:3" x14ac:dyDescent="0.2">
      <c r="C164" s="51" t="str">
        <f>+E$22</f>
        <v>Lamar Jackson</v>
      </c>
    </row>
    <row r="165" spans="3:3" x14ac:dyDescent="0.2">
      <c r="C165" s="34" t="str">
        <f>+E$23</f>
        <v>Jacoby Brissett</v>
      </c>
    </row>
    <row r="166" spans="3:3" x14ac:dyDescent="0.2">
      <c r="C166" s="34" t="str">
        <f>+E$24</f>
        <v>Marlon Mack</v>
      </c>
    </row>
    <row r="167" spans="3:3" x14ac:dyDescent="0.2">
      <c r="C167" s="34" t="str">
        <f>+E$25</f>
        <v>Devin Singletary</v>
      </c>
    </row>
    <row r="168" spans="3:3" x14ac:dyDescent="0.2">
      <c r="C168" s="34" t="str">
        <f>+E$26</f>
        <v>Melvin Gordon</v>
      </c>
    </row>
    <row r="169" spans="3:3" x14ac:dyDescent="0.2">
      <c r="C169" s="34" t="str">
        <f>+E$27</f>
        <v>Keenan Allen</v>
      </c>
    </row>
    <row r="170" spans="3:3" x14ac:dyDescent="0.2">
      <c r="C170" s="34" t="str">
        <f>+E$28</f>
        <v>Allen Robinson</v>
      </c>
    </row>
    <row r="171" spans="3:3" x14ac:dyDescent="0.2">
      <c r="C171" s="34" t="str">
        <f>+E$29</f>
        <v>Christian Kirk</v>
      </c>
    </row>
    <row r="172" spans="3:3" x14ac:dyDescent="0.2">
      <c r="C172" s="34" t="str">
        <f>+E$30</f>
        <v>Jared Cook</v>
      </c>
    </row>
    <row r="173" spans="3:3" x14ac:dyDescent="0.2">
      <c r="C173" s="34" t="str">
        <f>+E$31</f>
        <v>O.J. Howard</v>
      </c>
    </row>
    <row r="174" spans="3:3" x14ac:dyDescent="0.2">
      <c r="C174" s="34" t="str">
        <f>+E$32</f>
        <v>Tampa Bay Buccaneers</v>
      </c>
    </row>
    <row r="175" spans="3:3" x14ac:dyDescent="0.2">
      <c r="C175" s="34" t="str">
        <f>+E$33</f>
        <v>Kansas City Chiefs</v>
      </c>
    </row>
    <row r="176" spans="3:3" x14ac:dyDescent="0.2">
      <c r="C176" s="34" t="str">
        <f>+E$34</f>
        <v>Mike Badgley</v>
      </c>
    </row>
    <row r="177" spans="3:3" x14ac:dyDescent="0.2">
      <c r="C177" s="34" t="str">
        <f>+E$35</f>
        <v>Chris Boswell</v>
      </c>
    </row>
    <row r="178" spans="3:3" x14ac:dyDescent="0.2">
      <c r="C178" s="51" t="str">
        <f>+G$22</f>
        <v>Jameis Winston</v>
      </c>
    </row>
    <row r="179" spans="3:3" x14ac:dyDescent="0.2">
      <c r="C179" s="34" t="str">
        <f>+G$23</f>
        <v>Dwayne Haskins</v>
      </c>
    </row>
    <row r="180" spans="3:3" x14ac:dyDescent="0.2">
      <c r="C180" s="34" t="str">
        <f>+G$24</f>
        <v>Joe Mixon</v>
      </c>
    </row>
    <row r="181" spans="3:3" x14ac:dyDescent="0.2">
      <c r="C181" s="34" t="str">
        <f>+G$25</f>
        <v>Josh Jacobs</v>
      </c>
    </row>
    <row r="182" spans="3:3" x14ac:dyDescent="0.2">
      <c r="C182" s="34" t="str">
        <f>+G$26</f>
        <v>Damien Williams</v>
      </c>
    </row>
    <row r="183" spans="3:3" x14ac:dyDescent="0.2">
      <c r="C183" s="34" t="str">
        <f>+G$27</f>
        <v>Cole Beasley</v>
      </c>
    </row>
    <row r="184" spans="3:3" x14ac:dyDescent="0.2">
      <c r="C184" s="34" t="str">
        <f>+G$28</f>
        <v>Chris Godwin</v>
      </c>
    </row>
    <row r="185" spans="3:3" x14ac:dyDescent="0.2">
      <c r="C185" s="34" t="str">
        <f>+G$29</f>
        <v>Jamison Crowder</v>
      </c>
    </row>
    <row r="186" spans="3:3" x14ac:dyDescent="0.2">
      <c r="C186" s="34" t="str">
        <f>+G$30</f>
        <v>T.J. Hockenson</v>
      </c>
    </row>
    <row r="187" spans="3:3" x14ac:dyDescent="0.2">
      <c r="C187" s="34" t="str">
        <f>+G$31</f>
        <v>Kyle Rudolph</v>
      </c>
    </row>
    <row r="188" spans="3:3" x14ac:dyDescent="0.2">
      <c r="C188" s="34" t="str">
        <f>+G$32</f>
        <v>Dustin Hopkins</v>
      </c>
    </row>
    <row r="189" spans="3:3" x14ac:dyDescent="0.2">
      <c r="C189" s="34" t="str">
        <f>+G$33</f>
        <v>Jake Elliott</v>
      </c>
    </row>
    <row r="190" spans="3:3" x14ac:dyDescent="0.2">
      <c r="C190" s="34" t="str">
        <f>+G$34</f>
        <v>Minnesota Vikings</v>
      </c>
    </row>
    <row r="191" spans="3:3" x14ac:dyDescent="0.2">
      <c r="C191" s="34" t="str">
        <f>+G$35</f>
        <v>Chicago Bears</v>
      </c>
    </row>
    <row r="192" spans="3:3" x14ac:dyDescent="0.2">
      <c r="C192" s="51" t="str">
        <f>+I$22</f>
        <v>Baker Mayfield</v>
      </c>
    </row>
    <row r="193" spans="3:3" x14ac:dyDescent="0.2">
      <c r="C193" s="34" t="str">
        <f>+I$23</f>
        <v>Sam Darnold</v>
      </c>
    </row>
    <row r="194" spans="3:3" x14ac:dyDescent="0.2">
      <c r="C194" s="34" t="str">
        <f>+I$24</f>
        <v>Nick Chubb</v>
      </c>
    </row>
    <row r="195" spans="3:3" x14ac:dyDescent="0.2">
      <c r="C195" s="34" t="str">
        <f>+I$25</f>
        <v>Le'Veon Bell</v>
      </c>
    </row>
    <row r="196" spans="3:3" x14ac:dyDescent="0.2">
      <c r="C196" s="34" t="str">
        <f>+I$26</f>
        <v>Derrick Henry</v>
      </c>
    </row>
    <row r="197" spans="3:3" x14ac:dyDescent="0.2">
      <c r="C197" s="34" t="str">
        <f>+I$27</f>
        <v>Odell Beckham</v>
      </c>
    </row>
    <row r="198" spans="3:3" x14ac:dyDescent="0.2">
      <c r="C198" s="34" t="str">
        <f>+I$28</f>
        <v>Jarvis Landry</v>
      </c>
    </row>
    <row r="199" spans="3:3" x14ac:dyDescent="0.2">
      <c r="C199" s="34" t="str">
        <f>+I$29</f>
        <v>Calvin Ridley</v>
      </c>
    </row>
    <row r="200" spans="3:3" x14ac:dyDescent="0.2">
      <c r="C200" s="34" t="str">
        <f>+I$30</f>
        <v>Vance McDonald</v>
      </c>
    </row>
    <row r="201" spans="3:3" x14ac:dyDescent="0.2">
      <c r="C201" s="34" t="str">
        <f>+I$31</f>
        <v>Dallas Goedert</v>
      </c>
    </row>
    <row r="202" spans="3:3" x14ac:dyDescent="0.2">
      <c r="C202" s="34" t="str">
        <f>+I$32</f>
        <v>New York Giants</v>
      </c>
    </row>
    <row r="203" spans="3:3" x14ac:dyDescent="0.2">
      <c r="C203" s="34" t="str">
        <f>+I$33</f>
        <v>Oakland Raiders</v>
      </c>
    </row>
    <row r="204" spans="3:3" x14ac:dyDescent="0.2">
      <c r="C204" s="34" t="str">
        <f>+I$34</f>
        <v>Aldrick Rosas</v>
      </c>
    </row>
    <row r="205" spans="3:3" x14ac:dyDescent="0.2">
      <c r="C205" s="34" t="str">
        <f>+I$35</f>
        <v>Austin Seibert</v>
      </c>
    </row>
    <row r="206" spans="3:3" x14ac:dyDescent="0.2">
      <c r="C206" s="51" t="str">
        <f>+K$22</f>
        <v>Devlin Hodges</v>
      </c>
    </row>
    <row r="207" spans="3:3" x14ac:dyDescent="0.2">
      <c r="C207" s="34" t="str">
        <f>+K$23</f>
        <v>Carson Wentz</v>
      </c>
    </row>
    <row r="208" spans="3:3" x14ac:dyDescent="0.2">
      <c r="C208" s="34" t="str">
        <f>+K$24</f>
        <v>Aaron Jones</v>
      </c>
    </row>
    <row r="209" spans="3:3" x14ac:dyDescent="0.2">
      <c r="C209" s="34" t="str">
        <f>+K$25</f>
        <v>Jonathan Williams</v>
      </c>
    </row>
    <row r="210" spans="3:3" x14ac:dyDescent="0.2">
      <c r="C210" s="34" t="str">
        <f>+K$26</f>
        <v>Miles Sanders</v>
      </c>
    </row>
    <row r="211" spans="3:3" x14ac:dyDescent="0.2">
      <c r="C211" s="34" t="str">
        <f>+K$27</f>
        <v>DJ Chark</v>
      </c>
    </row>
    <row r="212" spans="3:3" x14ac:dyDescent="0.2">
      <c r="C212" s="34" t="str">
        <f>+K$28</f>
        <v>Tyreek Hill</v>
      </c>
    </row>
    <row r="213" spans="3:3" x14ac:dyDescent="0.2">
      <c r="C213" s="34" t="str">
        <f>+K$29</f>
        <v>Davante Adams</v>
      </c>
    </row>
    <row r="214" spans="3:3" x14ac:dyDescent="0.2">
      <c r="C214" s="34" t="str">
        <f>+K$30</f>
        <v>Darren Waller</v>
      </c>
    </row>
    <row r="215" spans="3:3" x14ac:dyDescent="0.2">
      <c r="C215" s="34" t="str">
        <f>+K$31</f>
        <v>Irv Smith Jr.</v>
      </c>
    </row>
    <row r="216" spans="3:3" x14ac:dyDescent="0.2">
      <c r="C216" s="34" t="str">
        <f>+K$32</f>
        <v>Chris Boswell</v>
      </c>
    </row>
    <row r="217" spans="3:3" x14ac:dyDescent="0.2">
      <c r="C217" s="34" t="str">
        <f>+K$33</f>
        <v>Mike Badgley</v>
      </c>
    </row>
    <row r="218" spans="3:3" x14ac:dyDescent="0.2">
      <c r="C218" s="34" t="str">
        <f>+K$34</f>
        <v>Green Bay Packers</v>
      </c>
    </row>
    <row r="219" spans="3:3" x14ac:dyDescent="0.2">
      <c r="C219" s="34" t="str">
        <f>+K$35</f>
        <v>Philadelphia Eagles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2367-E3E6-F846-AE11-02B3BE5C6248}">
  <dimension ref="A1:A29"/>
  <sheetViews>
    <sheetView workbookViewId="0">
      <selection activeCell="E21" sqref="E21"/>
    </sheetView>
  </sheetViews>
  <sheetFormatPr baseColWidth="10" defaultRowHeight="13" x14ac:dyDescent="0.15"/>
  <cols>
    <col min="1" max="1" width="17.1640625" bestFit="1" customWidth="1"/>
  </cols>
  <sheetData>
    <row r="1" spans="1:1" x14ac:dyDescent="0.15">
      <c r="A1" t="s">
        <v>936</v>
      </c>
    </row>
    <row r="2" spans="1:1" x14ac:dyDescent="0.15">
      <c r="A2" t="s">
        <v>297</v>
      </c>
    </row>
    <row r="3" spans="1:1" x14ac:dyDescent="0.15">
      <c r="A3" t="s">
        <v>209</v>
      </c>
    </row>
    <row r="4" spans="1:1" x14ac:dyDescent="0.15">
      <c r="A4" t="s">
        <v>71</v>
      </c>
    </row>
    <row r="5" spans="1:1" x14ac:dyDescent="0.15">
      <c r="A5" t="s">
        <v>217</v>
      </c>
    </row>
    <row r="6" spans="1:1" x14ac:dyDescent="0.15">
      <c r="A6" t="s">
        <v>564</v>
      </c>
    </row>
    <row r="7" spans="1:1" x14ac:dyDescent="0.15">
      <c r="A7" t="s">
        <v>438</v>
      </c>
    </row>
    <row r="8" spans="1:1" x14ac:dyDescent="0.15">
      <c r="A8" t="s">
        <v>146</v>
      </c>
    </row>
    <row r="9" spans="1:1" x14ac:dyDescent="0.15">
      <c r="A9" t="s">
        <v>277</v>
      </c>
    </row>
    <row r="10" spans="1:1" x14ac:dyDescent="0.15">
      <c r="A10" t="s">
        <v>592</v>
      </c>
    </row>
    <row r="11" spans="1:1" x14ac:dyDescent="0.15">
      <c r="A11" t="s">
        <v>587</v>
      </c>
    </row>
    <row r="12" spans="1:1" x14ac:dyDescent="0.15">
      <c r="A12" t="s">
        <v>791</v>
      </c>
    </row>
    <row r="13" spans="1:1" x14ac:dyDescent="0.15">
      <c r="A13" t="s">
        <v>792</v>
      </c>
    </row>
    <row r="14" spans="1:1" x14ac:dyDescent="0.15">
      <c r="A14" t="s">
        <v>842</v>
      </c>
    </row>
    <row r="15" spans="1:1" x14ac:dyDescent="0.15">
      <c r="A15" t="s">
        <v>849</v>
      </c>
    </row>
    <row r="16" spans="1:1" x14ac:dyDescent="0.15">
      <c r="A16" t="s">
        <v>197</v>
      </c>
    </row>
    <row r="17" spans="1:1" x14ac:dyDescent="0.15">
      <c r="A17" t="s">
        <v>531</v>
      </c>
    </row>
    <row r="18" spans="1:1" x14ac:dyDescent="0.15">
      <c r="A18" t="s">
        <v>539</v>
      </c>
    </row>
    <row r="19" spans="1:1" x14ac:dyDescent="0.15">
      <c r="A19" t="s">
        <v>36</v>
      </c>
    </row>
    <row r="20" spans="1:1" x14ac:dyDescent="0.15">
      <c r="A20" t="s">
        <v>286</v>
      </c>
    </row>
    <row r="21" spans="1:1" x14ac:dyDescent="0.15">
      <c r="A21" t="s">
        <v>215</v>
      </c>
    </row>
    <row r="22" spans="1:1" x14ac:dyDescent="0.15">
      <c r="A22" t="s">
        <v>106</v>
      </c>
    </row>
    <row r="23" spans="1:1" x14ac:dyDescent="0.15">
      <c r="A23" t="s">
        <v>896</v>
      </c>
    </row>
    <row r="24" spans="1:1" x14ac:dyDescent="0.15">
      <c r="A24" t="s">
        <v>375</v>
      </c>
    </row>
    <row r="25" spans="1:1" x14ac:dyDescent="0.15">
      <c r="A25" t="s">
        <v>51</v>
      </c>
    </row>
    <row r="26" spans="1:1" x14ac:dyDescent="0.15">
      <c r="A26" t="s">
        <v>789</v>
      </c>
    </row>
    <row r="27" spans="1:1" x14ac:dyDescent="0.15">
      <c r="A27" t="s">
        <v>809</v>
      </c>
    </row>
    <row r="28" spans="1:1" x14ac:dyDescent="0.15">
      <c r="A28" t="s">
        <v>852</v>
      </c>
    </row>
    <row r="29" spans="1:1" x14ac:dyDescent="0.15">
      <c r="A29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7AC3-2DE3-41E4-A6CD-04BDF25E55EE}">
  <dimension ref="B2:T261"/>
  <sheetViews>
    <sheetView showGridLines="0" topLeftCell="A9" workbookViewId="0">
      <selection activeCell="G46" sqref="G46"/>
    </sheetView>
  </sheetViews>
  <sheetFormatPr baseColWidth="10" defaultColWidth="8.83203125" defaultRowHeight="15" x14ac:dyDescent="0.2"/>
  <cols>
    <col min="1" max="2" width="8.83203125" style="34"/>
    <col min="3" max="3" width="20.83203125" style="34" customWidth="1"/>
    <col min="4" max="4" width="8.83203125" style="34"/>
    <col min="5" max="5" width="20.83203125" style="34" customWidth="1"/>
    <col min="6" max="6" width="8.83203125" style="34"/>
    <col min="7" max="7" width="20.83203125" style="34" customWidth="1"/>
    <col min="8" max="8" width="8.83203125" style="34"/>
    <col min="9" max="9" width="20.83203125" style="34" customWidth="1"/>
    <col min="10" max="10" width="8.83203125" style="34"/>
    <col min="11" max="11" width="20.83203125" style="34" customWidth="1"/>
    <col min="12" max="12" width="8.83203125" style="34"/>
    <col min="13" max="13" width="20.83203125" style="34" customWidth="1"/>
    <col min="14" max="14" width="8.83203125" style="34"/>
    <col min="15" max="15" width="20.83203125" style="34" customWidth="1"/>
    <col min="16" max="16" width="8.83203125" style="34"/>
    <col min="17" max="17" width="20.83203125" style="34" customWidth="1"/>
    <col min="18" max="16384" width="8.83203125" style="34"/>
  </cols>
  <sheetData>
    <row r="2" spans="2:19" x14ac:dyDescent="0.2">
      <c r="C2" s="35" t="s">
        <v>862</v>
      </c>
    </row>
    <row r="4" spans="2:19" x14ac:dyDescent="0.2">
      <c r="C4" s="35" t="s">
        <v>863</v>
      </c>
      <c r="E4" s="35" t="s">
        <v>864</v>
      </c>
      <c r="G4" s="35" t="s">
        <v>865</v>
      </c>
      <c r="I4" s="35" t="s">
        <v>866</v>
      </c>
      <c r="K4" s="35" t="s">
        <v>867</v>
      </c>
      <c r="M4" s="35" t="s">
        <v>868</v>
      </c>
      <c r="O4" s="35" t="s">
        <v>869</v>
      </c>
      <c r="Q4" s="35" t="s">
        <v>870</v>
      </c>
      <c r="S4" s="35"/>
    </row>
    <row r="5" spans="2:19" x14ac:dyDescent="0.2">
      <c r="B5" s="36" t="s">
        <v>880</v>
      </c>
      <c r="C5" s="37" t="s">
        <v>297</v>
      </c>
      <c r="D5" s="38"/>
      <c r="E5" s="37" t="s">
        <v>197</v>
      </c>
      <c r="F5" s="38"/>
      <c r="G5" s="37" t="s">
        <v>594</v>
      </c>
      <c r="H5" s="38"/>
      <c r="I5" s="37" t="s">
        <v>343</v>
      </c>
      <c r="J5" s="38"/>
      <c r="K5" s="37" t="s">
        <v>105</v>
      </c>
      <c r="L5" s="38"/>
      <c r="M5" s="37" t="s">
        <v>294</v>
      </c>
      <c r="N5" s="38"/>
      <c r="O5" s="37" t="s">
        <v>733</v>
      </c>
      <c r="P5" s="38"/>
      <c r="Q5" s="37" t="s">
        <v>537</v>
      </c>
      <c r="R5" s="38"/>
      <c r="S5" s="39"/>
    </row>
    <row r="6" spans="2:19" x14ac:dyDescent="0.2">
      <c r="B6" s="40" t="s">
        <v>881</v>
      </c>
      <c r="C6" s="41" t="s">
        <v>209</v>
      </c>
      <c r="D6" s="42"/>
      <c r="E6" s="41" t="s">
        <v>531</v>
      </c>
      <c r="F6" s="42"/>
      <c r="G6" s="41" t="s">
        <v>248</v>
      </c>
      <c r="H6" s="42"/>
      <c r="I6" s="41" t="s">
        <v>129</v>
      </c>
      <c r="J6" s="42"/>
      <c r="K6" s="41" t="s">
        <v>525</v>
      </c>
      <c r="L6" s="42"/>
      <c r="M6" s="41" t="s">
        <v>709</v>
      </c>
      <c r="N6" s="42"/>
      <c r="O6" s="41" t="s">
        <v>766</v>
      </c>
      <c r="P6" s="42"/>
      <c r="Q6" s="41" t="s">
        <v>919</v>
      </c>
      <c r="R6" s="42"/>
      <c r="S6" s="39"/>
    </row>
    <row r="7" spans="2:19" x14ac:dyDescent="0.2">
      <c r="B7" s="40" t="s">
        <v>882</v>
      </c>
      <c r="C7" s="41" t="s">
        <v>71</v>
      </c>
      <c r="D7" s="42"/>
      <c r="E7" s="41" t="s">
        <v>539</v>
      </c>
      <c r="F7" s="42"/>
      <c r="G7" s="41" t="s">
        <v>183</v>
      </c>
      <c r="H7" s="42"/>
      <c r="I7" s="41" t="s">
        <v>310</v>
      </c>
      <c r="J7" s="42"/>
      <c r="K7" s="41" t="s">
        <v>563</v>
      </c>
      <c r="L7" s="42"/>
      <c r="M7" s="41" t="s">
        <v>274</v>
      </c>
      <c r="N7" s="42"/>
      <c r="O7" s="41" t="s">
        <v>258</v>
      </c>
      <c r="P7" s="42"/>
      <c r="Q7" s="41" t="s">
        <v>131</v>
      </c>
      <c r="R7" s="42"/>
      <c r="S7" s="39"/>
    </row>
    <row r="8" spans="2:19" x14ac:dyDescent="0.2">
      <c r="B8" s="40" t="s">
        <v>883</v>
      </c>
      <c r="C8" s="41" t="s">
        <v>217</v>
      </c>
      <c r="D8" s="42"/>
      <c r="E8" s="41" t="s">
        <v>36</v>
      </c>
      <c r="F8" s="42"/>
      <c r="G8" s="41" t="s">
        <v>704</v>
      </c>
      <c r="H8" s="42"/>
      <c r="I8" s="41" t="s">
        <v>628</v>
      </c>
      <c r="J8" s="42"/>
      <c r="K8" s="41" t="s">
        <v>440</v>
      </c>
      <c r="L8" s="42"/>
      <c r="M8" s="41" t="s">
        <v>576</v>
      </c>
      <c r="N8" s="42"/>
      <c r="O8" s="41" t="s">
        <v>265</v>
      </c>
      <c r="P8" s="42"/>
      <c r="Q8" s="41" t="s">
        <v>266</v>
      </c>
      <c r="R8" s="42"/>
      <c r="S8" s="39"/>
    </row>
    <row r="9" spans="2:19" x14ac:dyDescent="0.2">
      <c r="B9" s="40" t="s">
        <v>884</v>
      </c>
      <c r="C9" s="41" t="s">
        <v>564</v>
      </c>
      <c r="D9" s="42"/>
      <c r="E9" s="41" t="s">
        <v>286</v>
      </c>
      <c r="F9" s="42"/>
      <c r="G9" s="41" t="s">
        <v>172</v>
      </c>
      <c r="H9" s="42"/>
      <c r="I9" s="41" t="s">
        <v>12</v>
      </c>
      <c r="J9" s="42"/>
      <c r="K9" s="41" t="s">
        <v>391</v>
      </c>
      <c r="L9" s="42"/>
      <c r="M9" s="41" t="s">
        <v>92</v>
      </c>
      <c r="N9" s="42"/>
      <c r="O9" s="41" t="s">
        <v>718</v>
      </c>
      <c r="P9" s="42"/>
      <c r="Q9" s="41" t="s">
        <v>126</v>
      </c>
      <c r="R9" s="42"/>
      <c r="S9" s="39"/>
    </row>
    <row r="10" spans="2:19" x14ac:dyDescent="0.2">
      <c r="B10" s="40" t="s">
        <v>885</v>
      </c>
      <c r="C10" s="41" t="s">
        <v>438</v>
      </c>
      <c r="D10" s="42"/>
      <c r="E10" s="41" t="s">
        <v>215</v>
      </c>
      <c r="F10" s="42"/>
      <c r="G10" s="41" t="s">
        <v>329</v>
      </c>
      <c r="H10" s="42"/>
      <c r="I10" s="41" t="s">
        <v>367</v>
      </c>
      <c r="J10" s="42"/>
      <c r="K10" s="41" t="s">
        <v>254</v>
      </c>
      <c r="L10" s="42"/>
      <c r="M10" s="41" t="s">
        <v>374</v>
      </c>
      <c r="N10" s="42"/>
      <c r="O10" s="41" t="s">
        <v>561</v>
      </c>
      <c r="P10" s="42"/>
      <c r="Q10" s="41" t="s">
        <v>708</v>
      </c>
      <c r="R10" s="42"/>
      <c r="S10" s="39"/>
    </row>
    <row r="11" spans="2:19" x14ac:dyDescent="0.2">
      <c r="B11" s="40" t="s">
        <v>886</v>
      </c>
      <c r="C11" s="41" t="s">
        <v>146</v>
      </c>
      <c r="D11" s="42"/>
      <c r="E11" s="41" t="s">
        <v>106</v>
      </c>
      <c r="F11" s="42"/>
      <c r="G11" s="41" t="s">
        <v>284</v>
      </c>
      <c r="H11" s="42"/>
      <c r="I11" s="41" t="s">
        <v>328</v>
      </c>
      <c r="J11" s="42"/>
      <c r="K11" s="41" t="s">
        <v>538</v>
      </c>
      <c r="L11" s="42"/>
      <c r="M11" s="41" t="s">
        <v>229</v>
      </c>
      <c r="N11" s="42"/>
      <c r="O11" s="41" t="s">
        <v>135</v>
      </c>
      <c r="P11" s="42"/>
      <c r="Q11" s="41" t="s">
        <v>243</v>
      </c>
      <c r="R11" s="42"/>
      <c r="S11" s="39"/>
    </row>
    <row r="12" spans="2:19" x14ac:dyDescent="0.2">
      <c r="B12" s="40" t="s">
        <v>887</v>
      </c>
      <c r="C12" s="41" t="s">
        <v>277</v>
      </c>
      <c r="D12" s="42"/>
      <c r="E12" s="41" t="s">
        <v>896</v>
      </c>
      <c r="F12" s="42"/>
      <c r="G12" s="41" t="s">
        <v>902</v>
      </c>
      <c r="H12" s="42"/>
      <c r="I12" s="41" t="s">
        <v>261</v>
      </c>
      <c r="J12" s="42"/>
      <c r="K12" s="41" t="s">
        <v>558</v>
      </c>
      <c r="L12" s="42"/>
      <c r="M12" s="41" t="s">
        <v>543</v>
      </c>
      <c r="N12" s="42"/>
      <c r="O12" s="41" t="s">
        <v>658</v>
      </c>
      <c r="P12" s="42"/>
      <c r="Q12" s="41" t="s">
        <v>33</v>
      </c>
      <c r="R12" s="42"/>
      <c r="S12" s="39"/>
    </row>
    <row r="13" spans="2:19" x14ac:dyDescent="0.2">
      <c r="B13" s="40" t="s">
        <v>888</v>
      </c>
      <c r="C13" s="41" t="s">
        <v>592</v>
      </c>
      <c r="D13" s="42"/>
      <c r="E13" s="41" t="s">
        <v>375</v>
      </c>
      <c r="F13" s="42"/>
      <c r="G13" s="41" t="s">
        <v>199</v>
      </c>
      <c r="H13" s="42"/>
      <c r="I13" s="41" t="s">
        <v>113</v>
      </c>
      <c r="J13" s="42"/>
      <c r="K13" s="41" t="s">
        <v>446</v>
      </c>
      <c r="L13" s="42"/>
      <c r="M13" s="41" t="s">
        <v>13</v>
      </c>
      <c r="N13" s="42"/>
      <c r="O13" s="41" t="s">
        <v>210</v>
      </c>
      <c r="P13" s="42"/>
      <c r="Q13" s="41" t="s">
        <v>179</v>
      </c>
      <c r="R13" s="42"/>
      <c r="S13" s="39"/>
    </row>
    <row r="14" spans="2:19" x14ac:dyDescent="0.2">
      <c r="B14" s="40" t="s">
        <v>889</v>
      </c>
      <c r="C14" s="41" t="s">
        <v>587</v>
      </c>
      <c r="D14" s="42"/>
      <c r="E14" s="41" t="s">
        <v>51</v>
      </c>
      <c r="F14" s="42"/>
      <c r="G14" s="41" t="s">
        <v>164</v>
      </c>
      <c r="H14" s="42"/>
      <c r="I14" s="41" t="s">
        <v>608</v>
      </c>
      <c r="J14" s="42"/>
      <c r="K14" s="41" t="s">
        <v>46</v>
      </c>
      <c r="L14" s="42"/>
      <c r="M14" s="41" t="s">
        <v>915</v>
      </c>
      <c r="N14" s="42"/>
      <c r="O14" s="41" t="s">
        <v>114</v>
      </c>
      <c r="P14" s="42"/>
      <c r="Q14" s="41" t="s">
        <v>303</v>
      </c>
      <c r="R14" s="42"/>
      <c r="S14" s="39"/>
    </row>
    <row r="15" spans="2:19" x14ac:dyDescent="0.2">
      <c r="B15" s="40" t="s">
        <v>890</v>
      </c>
      <c r="C15" s="41" t="s">
        <v>791</v>
      </c>
      <c r="D15" s="42"/>
      <c r="E15" s="41" t="s">
        <v>789</v>
      </c>
      <c r="F15" s="42"/>
      <c r="G15" s="41" t="s">
        <v>790</v>
      </c>
      <c r="H15" s="42"/>
      <c r="I15" s="41" t="s">
        <v>798</v>
      </c>
      <c r="J15" s="42"/>
      <c r="K15" s="41" t="s">
        <v>812</v>
      </c>
      <c r="L15" s="42"/>
      <c r="M15" s="41" t="s">
        <v>784</v>
      </c>
      <c r="N15" s="42"/>
      <c r="O15" s="41" t="s">
        <v>796</v>
      </c>
      <c r="P15" s="42"/>
      <c r="Q15" s="41" t="s">
        <v>799</v>
      </c>
      <c r="R15" s="42"/>
      <c r="S15" s="39"/>
    </row>
    <row r="16" spans="2:19" x14ac:dyDescent="0.2">
      <c r="B16" s="40" t="s">
        <v>891</v>
      </c>
      <c r="C16" s="41" t="s">
        <v>792</v>
      </c>
      <c r="D16" s="42"/>
      <c r="E16" s="41" t="s">
        <v>809</v>
      </c>
      <c r="F16" s="42"/>
      <c r="G16" s="41" t="s">
        <v>810</v>
      </c>
      <c r="H16" s="42"/>
      <c r="I16" s="41" t="s">
        <v>795</v>
      </c>
      <c r="J16" s="42"/>
      <c r="K16" s="41" t="s">
        <v>781</v>
      </c>
      <c r="L16" s="42"/>
      <c r="M16" s="41" t="s">
        <v>803</v>
      </c>
      <c r="N16" s="42"/>
      <c r="O16" s="41" t="s">
        <v>788</v>
      </c>
      <c r="P16" s="42"/>
      <c r="Q16" s="41" t="s">
        <v>801</v>
      </c>
      <c r="R16" s="42"/>
      <c r="S16" s="39"/>
    </row>
    <row r="17" spans="2:20" x14ac:dyDescent="0.2">
      <c r="B17" s="40" t="s">
        <v>892</v>
      </c>
      <c r="C17" s="41" t="s">
        <v>842</v>
      </c>
      <c r="D17" s="42"/>
      <c r="E17" s="41" t="s">
        <v>852</v>
      </c>
      <c r="F17" s="42"/>
      <c r="G17" s="41" t="s">
        <v>832</v>
      </c>
      <c r="H17" s="42"/>
      <c r="I17" s="41" t="s">
        <v>857</v>
      </c>
      <c r="J17" s="42"/>
      <c r="K17" s="41" t="s">
        <v>822</v>
      </c>
      <c r="L17" s="42"/>
      <c r="M17" s="41" t="s">
        <v>816</v>
      </c>
      <c r="N17" s="42"/>
      <c r="O17" s="41" t="s">
        <v>840</v>
      </c>
      <c r="P17" s="42"/>
      <c r="Q17" s="41" t="s">
        <v>847</v>
      </c>
      <c r="R17" s="42"/>
      <c r="S17" s="39"/>
    </row>
    <row r="18" spans="2:20" x14ac:dyDescent="0.2">
      <c r="B18" s="43" t="s">
        <v>893</v>
      </c>
      <c r="C18" s="44" t="s">
        <v>849</v>
      </c>
      <c r="D18" s="45"/>
      <c r="E18" s="44" t="s">
        <v>848</v>
      </c>
      <c r="F18" s="45"/>
      <c r="G18" s="44" t="s">
        <v>821</v>
      </c>
      <c r="H18" s="45"/>
      <c r="I18" s="44" t="s">
        <v>831</v>
      </c>
      <c r="J18" s="45"/>
      <c r="K18" s="44" t="s">
        <v>844</v>
      </c>
      <c r="L18" s="45"/>
      <c r="M18" s="44" t="s">
        <v>854</v>
      </c>
      <c r="N18" s="45"/>
      <c r="O18" s="44" t="s">
        <v>835</v>
      </c>
      <c r="P18" s="45"/>
      <c r="Q18" s="44" t="s">
        <v>826</v>
      </c>
      <c r="R18" s="45"/>
    </row>
    <row r="19" spans="2:20" x14ac:dyDescent="0.2">
      <c r="D19" s="46"/>
    </row>
    <row r="21" spans="2:20" x14ac:dyDescent="0.2">
      <c r="C21" s="35" t="s">
        <v>871</v>
      </c>
      <c r="E21" s="35" t="s">
        <v>872</v>
      </c>
      <c r="G21" s="35" t="s">
        <v>873</v>
      </c>
      <c r="I21" s="35" t="s">
        <v>874</v>
      </c>
      <c r="K21" s="35" t="s">
        <v>875</v>
      </c>
      <c r="M21" s="35" t="s">
        <v>876</v>
      </c>
      <c r="O21" s="35" t="s">
        <v>877</v>
      </c>
      <c r="Q21" s="35" t="s">
        <v>878</v>
      </c>
      <c r="S21" s="35" t="s">
        <v>879</v>
      </c>
    </row>
    <row r="22" spans="2:20" x14ac:dyDescent="0.2">
      <c r="B22" s="36" t="s">
        <v>880</v>
      </c>
      <c r="C22" s="37" t="s">
        <v>360</v>
      </c>
      <c r="D22" s="38"/>
      <c r="E22" s="37" t="s">
        <v>535</v>
      </c>
      <c r="F22" s="38"/>
      <c r="G22" s="89" t="s">
        <v>155</v>
      </c>
      <c r="H22" s="38"/>
      <c r="I22" s="37" t="s">
        <v>550</v>
      </c>
      <c r="J22" s="38"/>
      <c r="K22" s="37" t="s">
        <v>334</v>
      </c>
      <c r="L22" s="38"/>
      <c r="M22" s="37"/>
      <c r="N22" s="38"/>
      <c r="O22" s="37"/>
      <c r="P22" s="38"/>
      <c r="Q22" s="37"/>
      <c r="R22" s="38"/>
      <c r="S22" s="37"/>
      <c r="T22" s="38"/>
    </row>
    <row r="23" spans="2:20" x14ac:dyDescent="0.2">
      <c r="B23" s="40" t="s">
        <v>881</v>
      </c>
      <c r="C23" s="41" t="s">
        <v>150</v>
      </c>
      <c r="D23" s="42"/>
      <c r="E23" s="41" t="s">
        <v>192</v>
      </c>
      <c r="F23" s="42"/>
      <c r="G23" s="90" t="s">
        <v>138</v>
      </c>
      <c r="H23" s="42"/>
      <c r="I23" s="41" t="s">
        <v>732</v>
      </c>
      <c r="J23" s="42"/>
      <c r="K23" s="41" t="s">
        <v>170</v>
      </c>
      <c r="L23" s="42"/>
      <c r="M23" s="41"/>
      <c r="N23" s="42"/>
      <c r="O23" s="41"/>
      <c r="P23" s="42"/>
      <c r="Q23" s="41"/>
      <c r="R23" s="42"/>
      <c r="S23" s="41"/>
      <c r="T23" s="42"/>
    </row>
    <row r="24" spans="2:20" x14ac:dyDescent="0.2">
      <c r="B24" s="40" t="s">
        <v>882</v>
      </c>
      <c r="C24" s="41" t="s">
        <v>193</v>
      </c>
      <c r="D24" s="42"/>
      <c r="E24" s="41" t="s">
        <v>275</v>
      </c>
      <c r="F24" s="42"/>
      <c r="G24" s="90" t="s">
        <v>182</v>
      </c>
      <c r="H24" s="42"/>
      <c r="I24" s="41" t="s">
        <v>923</v>
      </c>
      <c r="J24" s="42"/>
      <c r="K24" s="41" t="s">
        <v>267</v>
      </c>
      <c r="L24" s="42"/>
      <c r="M24" s="41"/>
      <c r="N24" s="42"/>
      <c r="O24" s="41"/>
      <c r="P24" s="42"/>
      <c r="Q24" s="41"/>
      <c r="R24" s="42"/>
      <c r="S24" s="41"/>
      <c r="T24" s="42"/>
    </row>
    <row r="25" spans="2:20" x14ac:dyDescent="0.2">
      <c r="B25" s="40" t="s">
        <v>883</v>
      </c>
      <c r="C25" s="41" t="s">
        <v>195</v>
      </c>
      <c r="D25" s="42"/>
      <c r="E25" s="41" t="s">
        <v>717</v>
      </c>
      <c r="F25" s="42"/>
      <c r="G25" s="90" t="s">
        <v>34</v>
      </c>
      <c r="H25" s="42"/>
      <c r="I25" s="41" t="s">
        <v>705</v>
      </c>
      <c r="J25" s="42"/>
      <c r="K25" s="41" t="s">
        <v>151</v>
      </c>
      <c r="L25" s="42"/>
      <c r="M25" s="41"/>
      <c r="N25" s="42"/>
      <c r="O25" s="41"/>
      <c r="P25" s="42"/>
      <c r="Q25" s="41"/>
      <c r="R25" s="42"/>
      <c r="S25" s="41"/>
      <c r="T25" s="42"/>
    </row>
    <row r="26" spans="2:20" x14ac:dyDescent="0.2">
      <c r="B26" s="40" t="s">
        <v>884</v>
      </c>
      <c r="C26" s="41" t="s">
        <v>405</v>
      </c>
      <c r="D26" s="42"/>
      <c r="E26" s="41" t="s">
        <v>298</v>
      </c>
      <c r="F26" s="42"/>
      <c r="G26" s="90" t="s">
        <v>702</v>
      </c>
      <c r="H26" s="42"/>
      <c r="I26" s="41" t="s">
        <v>925</v>
      </c>
      <c r="J26" s="42"/>
      <c r="K26" s="41" t="s">
        <v>134</v>
      </c>
      <c r="L26" s="42"/>
      <c r="M26" s="41"/>
      <c r="N26" s="42"/>
      <c r="O26" s="41"/>
      <c r="P26" s="42"/>
      <c r="Q26" s="41"/>
      <c r="R26" s="42"/>
      <c r="S26" s="41"/>
      <c r="T26" s="42"/>
    </row>
    <row r="27" spans="2:20" x14ac:dyDescent="0.2">
      <c r="B27" s="40" t="s">
        <v>885</v>
      </c>
      <c r="C27" s="41" t="s">
        <v>349</v>
      </c>
      <c r="D27" s="42"/>
      <c r="E27" s="41" t="s">
        <v>240</v>
      </c>
      <c r="F27" s="42"/>
      <c r="G27" s="90" t="s">
        <v>103</v>
      </c>
      <c r="H27" s="42"/>
      <c r="I27" s="41" t="s">
        <v>232</v>
      </c>
      <c r="J27" s="42"/>
      <c r="K27" s="41" t="s">
        <v>300</v>
      </c>
      <c r="L27" s="42"/>
      <c r="M27" s="41"/>
      <c r="N27" s="42"/>
      <c r="O27" s="41"/>
      <c r="P27" s="42"/>
      <c r="Q27" s="41"/>
      <c r="R27" s="42"/>
      <c r="S27" s="41"/>
      <c r="T27" s="42"/>
    </row>
    <row r="28" spans="2:20" x14ac:dyDescent="0.2">
      <c r="B28" s="40" t="s">
        <v>886</v>
      </c>
      <c r="C28" s="41" t="s">
        <v>341</v>
      </c>
      <c r="D28" s="42"/>
      <c r="E28" s="41" t="s">
        <v>501</v>
      </c>
      <c r="F28" s="42"/>
      <c r="G28" s="90" t="s">
        <v>713</v>
      </c>
      <c r="H28" s="42"/>
      <c r="I28" s="41" t="s">
        <v>196</v>
      </c>
      <c r="J28" s="42"/>
      <c r="K28" s="41" t="s">
        <v>430</v>
      </c>
      <c r="L28" s="42"/>
      <c r="M28" s="41"/>
      <c r="N28" s="42"/>
      <c r="O28" s="41"/>
      <c r="P28" s="42"/>
      <c r="Q28" s="41"/>
      <c r="R28" s="42"/>
      <c r="S28" s="41"/>
      <c r="T28" s="42"/>
    </row>
    <row r="29" spans="2:20" x14ac:dyDescent="0.2">
      <c r="B29" s="40" t="s">
        <v>887</v>
      </c>
      <c r="C29" s="41" t="s">
        <v>920</v>
      </c>
      <c r="D29" s="42"/>
      <c r="E29" s="41" t="s">
        <v>551</v>
      </c>
      <c r="F29" s="42"/>
      <c r="G29" s="90" t="s">
        <v>144</v>
      </c>
      <c r="H29" s="42"/>
      <c r="I29" s="41" t="s">
        <v>231</v>
      </c>
      <c r="J29" s="42"/>
      <c r="K29" s="41" t="s">
        <v>614</v>
      </c>
      <c r="L29" s="42"/>
      <c r="M29" s="41"/>
      <c r="N29" s="42"/>
      <c r="O29" s="41"/>
      <c r="P29" s="42"/>
      <c r="Q29" s="41"/>
      <c r="R29" s="42"/>
      <c r="S29" s="41"/>
      <c r="T29" s="42"/>
    </row>
    <row r="30" spans="2:20" x14ac:dyDescent="0.2">
      <c r="B30" s="40" t="s">
        <v>888</v>
      </c>
      <c r="C30" s="41" t="s">
        <v>125</v>
      </c>
      <c r="D30" s="42"/>
      <c r="E30" s="41" t="s">
        <v>57</v>
      </c>
      <c r="F30" s="42"/>
      <c r="G30" s="90" t="s">
        <v>682</v>
      </c>
      <c r="H30" s="42"/>
      <c r="I30" s="41" t="s">
        <v>566</v>
      </c>
      <c r="J30" s="42"/>
      <c r="K30" s="41" t="s">
        <v>633</v>
      </c>
      <c r="L30" s="42"/>
      <c r="M30" s="41"/>
      <c r="N30" s="42"/>
      <c r="O30" s="41"/>
      <c r="P30" s="42"/>
      <c r="Q30" s="41"/>
      <c r="R30" s="42"/>
      <c r="S30" s="41"/>
      <c r="T30" s="42"/>
    </row>
    <row r="31" spans="2:20" x14ac:dyDescent="0.2">
      <c r="B31" s="40" t="s">
        <v>889</v>
      </c>
      <c r="C31" s="41" t="s">
        <v>601</v>
      </c>
      <c r="D31" s="42"/>
      <c r="E31" s="41" t="s">
        <v>331</v>
      </c>
      <c r="F31" s="42"/>
      <c r="G31" s="90" t="s">
        <v>249</v>
      </c>
      <c r="H31" s="42"/>
      <c r="I31" s="41" t="s">
        <v>82</v>
      </c>
      <c r="J31" s="42"/>
      <c r="K31" s="41" t="s">
        <v>467</v>
      </c>
      <c r="L31" s="42"/>
      <c r="M31" s="41"/>
      <c r="N31" s="42"/>
      <c r="O31" s="41"/>
      <c r="P31" s="42"/>
      <c r="Q31" s="41"/>
      <c r="R31" s="42"/>
      <c r="S31" s="41"/>
      <c r="T31" s="42"/>
    </row>
    <row r="32" spans="2:20" x14ac:dyDescent="0.2">
      <c r="B32" s="40" t="s">
        <v>890</v>
      </c>
      <c r="C32" s="41" t="s">
        <v>785</v>
      </c>
      <c r="D32" s="42"/>
      <c r="E32" s="41" t="s">
        <v>811</v>
      </c>
      <c r="F32" s="42"/>
      <c r="G32" s="90" t="s">
        <v>829</v>
      </c>
      <c r="H32" s="42"/>
      <c r="I32" s="41" t="s">
        <v>787</v>
      </c>
      <c r="J32" s="42"/>
      <c r="K32" s="41" t="s">
        <v>841</v>
      </c>
      <c r="L32" s="42"/>
      <c r="M32" s="41"/>
      <c r="N32" s="42"/>
      <c r="O32" s="41"/>
      <c r="P32" s="42"/>
      <c r="Q32" s="41"/>
      <c r="R32" s="42"/>
      <c r="S32" s="41"/>
      <c r="T32" s="42"/>
    </row>
    <row r="33" spans="2:20" x14ac:dyDescent="0.2">
      <c r="B33" s="40" t="s">
        <v>891</v>
      </c>
      <c r="C33" s="41" t="s">
        <v>800</v>
      </c>
      <c r="D33" s="42"/>
      <c r="E33" s="41" t="s">
        <v>797</v>
      </c>
      <c r="F33" s="42"/>
      <c r="G33" s="90" t="s">
        <v>924</v>
      </c>
      <c r="H33" s="42"/>
      <c r="I33" s="41" t="s">
        <v>806</v>
      </c>
      <c r="J33" s="42"/>
      <c r="K33" s="41" t="s">
        <v>859</v>
      </c>
      <c r="L33" s="42"/>
      <c r="M33" s="41"/>
      <c r="N33" s="42"/>
      <c r="O33" s="41"/>
      <c r="P33" s="42"/>
      <c r="Q33" s="41"/>
      <c r="R33" s="42"/>
      <c r="S33" s="41"/>
      <c r="T33" s="42"/>
    </row>
    <row r="34" spans="2:20" x14ac:dyDescent="0.2">
      <c r="B34" s="40" t="s">
        <v>892</v>
      </c>
      <c r="C34" s="41" t="s">
        <v>824</v>
      </c>
      <c r="D34" s="42"/>
      <c r="E34" s="41" t="s">
        <v>814</v>
      </c>
      <c r="F34" s="42"/>
      <c r="G34" s="90" t="s">
        <v>813</v>
      </c>
      <c r="H34" s="42"/>
      <c r="I34" s="41" t="s">
        <v>853</v>
      </c>
      <c r="J34" s="42"/>
      <c r="K34" s="41" t="s">
        <v>786</v>
      </c>
      <c r="L34" s="42"/>
      <c r="M34" s="41"/>
      <c r="N34" s="42"/>
      <c r="O34" s="41"/>
      <c r="P34" s="42"/>
      <c r="Q34" s="41"/>
      <c r="R34" s="42"/>
      <c r="S34" s="41"/>
      <c r="T34" s="42"/>
    </row>
    <row r="35" spans="2:20" x14ac:dyDescent="0.2">
      <c r="B35" s="43" t="s">
        <v>893</v>
      </c>
      <c r="C35" s="44" t="s">
        <v>845</v>
      </c>
      <c r="D35" s="45"/>
      <c r="E35" s="44" t="s">
        <v>819</v>
      </c>
      <c r="F35" s="45"/>
      <c r="G35" s="91" t="s">
        <v>801</v>
      </c>
      <c r="H35" s="45"/>
      <c r="I35" s="44" t="s">
        <v>827</v>
      </c>
      <c r="J35" s="45"/>
      <c r="K35" s="44" t="s">
        <v>807</v>
      </c>
      <c r="L35" s="45"/>
      <c r="M35" s="44"/>
      <c r="N35" s="45"/>
      <c r="O35" s="44"/>
      <c r="P35" s="45"/>
      <c r="Q35" s="44"/>
      <c r="R35" s="45"/>
      <c r="S35" s="44"/>
      <c r="T35" s="45"/>
    </row>
    <row r="37" spans="2:20" x14ac:dyDescent="0.2">
      <c r="C37" s="35" t="s">
        <v>905</v>
      </c>
    </row>
    <row r="38" spans="2:20" x14ac:dyDescent="0.2">
      <c r="C38" s="51" t="str">
        <f>+C$5</f>
        <v>Matthew Stafford</v>
      </c>
      <c r="F38" s="87"/>
    </row>
    <row r="39" spans="2:20" x14ac:dyDescent="0.2">
      <c r="C39" s="34" t="str">
        <f>+C$6</f>
        <v>Jimmy Garoppolo</v>
      </c>
      <c r="F39" s="87"/>
    </row>
    <row r="40" spans="2:20" x14ac:dyDescent="0.2">
      <c r="C40" s="34" t="str">
        <f>+C$7</f>
        <v>Peyton Barber</v>
      </c>
      <c r="F40" s="87"/>
    </row>
    <row r="41" spans="2:20" x14ac:dyDescent="0.2">
      <c r="C41" s="34" t="str">
        <f>+C$8</f>
        <v>Jordan Howard</v>
      </c>
      <c r="F41" s="87"/>
    </row>
    <row r="42" spans="2:20" x14ac:dyDescent="0.2">
      <c r="C42" s="34" t="str">
        <f>+C$9</f>
        <v>Rashaad Penny</v>
      </c>
      <c r="F42" s="87"/>
    </row>
    <row r="43" spans="2:20" x14ac:dyDescent="0.2">
      <c r="C43" s="34" t="str">
        <f>+C$10</f>
        <v>Tyrell Williams</v>
      </c>
      <c r="F43" s="87"/>
    </row>
    <row r="44" spans="2:20" x14ac:dyDescent="0.2">
      <c r="C44" s="34" t="str">
        <f>+C$11</f>
        <v>Dede Westbrook</v>
      </c>
      <c r="F44" s="87"/>
    </row>
    <row r="45" spans="2:20" x14ac:dyDescent="0.2">
      <c r="C45" s="34" t="str">
        <f>+C$12</f>
        <v>Marquise Goodwin</v>
      </c>
      <c r="F45" s="87"/>
    </row>
    <row r="46" spans="2:20" x14ac:dyDescent="0.2">
      <c r="C46" s="34" t="str">
        <f>+C$13</f>
        <v>Will Dissly</v>
      </c>
      <c r="F46" s="87"/>
    </row>
    <row r="47" spans="2:20" x14ac:dyDescent="0.2">
      <c r="C47" s="34" t="str">
        <f>+C$14</f>
        <v>Matt LaCosse</v>
      </c>
      <c r="F47" s="87"/>
    </row>
    <row r="48" spans="2:20" x14ac:dyDescent="0.2">
      <c r="C48" s="34" t="str">
        <f>+C$15</f>
        <v>Denver Broncos</v>
      </c>
      <c r="F48" s="87"/>
    </row>
    <row r="49" spans="3:6" x14ac:dyDescent="0.2">
      <c r="C49" s="34" t="str">
        <f>+C$16</f>
        <v>Detroit Lions</v>
      </c>
      <c r="F49" s="87"/>
    </row>
    <row r="50" spans="3:6" x14ac:dyDescent="0.2">
      <c r="C50" s="34" t="str">
        <f>+C$17</f>
        <v>Brett Maher</v>
      </c>
      <c r="F50" s="87"/>
    </row>
    <row r="51" spans="3:6" x14ac:dyDescent="0.2">
      <c r="C51" s="34" t="str">
        <f>+C$18</f>
        <v>Matt Prater</v>
      </c>
      <c r="F51" s="87"/>
    </row>
    <row r="52" spans="3:6" x14ac:dyDescent="0.2">
      <c r="C52" s="51" t="str">
        <f>+E$5</f>
        <v>Jared Goff</v>
      </c>
    </row>
    <row r="53" spans="3:6" x14ac:dyDescent="0.2">
      <c r="C53" s="34" t="str">
        <f>+E$6</f>
        <v>Josh Allen</v>
      </c>
    </row>
    <row r="54" spans="3:6" x14ac:dyDescent="0.2">
      <c r="C54" s="34" t="str">
        <f>+E$7</f>
        <v>Sony Michel</v>
      </c>
    </row>
    <row r="55" spans="3:6" x14ac:dyDescent="0.2">
      <c r="C55" s="34" t="str">
        <f>+E$8</f>
        <v>Darren Sproles</v>
      </c>
    </row>
    <row r="56" spans="3:6" x14ac:dyDescent="0.2">
      <c r="C56" s="34" t="str">
        <f>+E$9</f>
        <v>Matt Breida</v>
      </c>
    </row>
    <row r="57" spans="3:6" x14ac:dyDescent="0.2">
      <c r="C57" s="34" t="str">
        <f>+E$10</f>
        <v>John Brown</v>
      </c>
    </row>
    <row r="58" spans="3:6" x14ac:dyDescent="0.2">
      <c r="C58" s="34" t="str">
        <f>+E$11</f>
        <v>Antonio Brown</v>
      </c>
    </row>
    <row r="59" spans="3:6" x14ac:dyDescent="0.2">
      <c r="C59" s="34" t="str">
        <f>+E$12</f>
        <v>Desean Jackson</v>
      </c>
    </row>
    <row r="60" spans="3:6" x14ac:dyDescent="0.2">
      <c r="C60" s="34" t="str">
        <f>+E$13</f>
        <v>Vernon Davis</v>
      </c>
    </row>
    <row r="61" spans="3:6" x14ac:dyDescent="0.2">
      <c r="C61" s="34" t="str">
        <f>+E$14</f>
        <v>Greg Olsen</v>
      </c>
    </row>
    <row r="62" spans="3:6" x14ac:dyDescent="0.2">
      <c r="C62" s="34" t="str">
        <f>+E$15</f>
        <v>Cleveland Browns</v>
      </c>
    </row>
    <row r="63" spans="3:6" x14ac:dyDescent="0.2">
      <c r="C63" s="34" t="str">
        <f>+E$16</f>
        <v>San Francisco 49ers</v>
      </c>
    </row>
    <row r="64" spans="3:6" x14ac:dyDescent="0.2">
      <c r="C64" s="34" t="str">
        <f>+E$17</f>
        <v>Cairo Santos</v>
      </c>
    </row>
    <row r="65" spans="3:3" x14ac:dyDescent="0.2">
      <c r="C65" s="34" t="str">
        <f>+E$18</f>
        <v>Eddy Pineiro</v>
      </c>
    </row>
    <row r="66" spans="3:3" x14ac:dyDescent="0.2">
      <c r="C66" s="51" t="str">
        <f>+G$5</f>
        <v>Kyle Allen</v>
      </c>
    </row>
    <row r="67" spans="3:3" x14ac:dyDescent="0.2">
      <c r="C67" s="34" t="str">
        <f>+G$6</f>
        <v>Kirk Cousins</v>
      </c>
    </row>
    <row r="68" spans="3:3" x14ac:dyDescent="0.2">
      <c r="C68" s="34" t="str">
        <f>+G$7</f>
        <v>Frank Gore</v>
      </c>
    </row>
    <row r="69" spans="3:3" x14ac:dyDescent="0.2">
      <c r="C69" s="34" t="str">
        <f>+G$8</f>
        <v>David Montgomery</v>
      </c>
    </row>
    <row r="70" spans="3:3" x14ac:dyDescent="0.2">
      <c r="C70" s="34" t="str">
        <f>+G$9</f>
        <v>Duke Johnson</v>
      </c>
    </row>
    <row r="71" spans="3:3" x14ac:dyDescent="0.2">
      <c r="C71" s="34" t="str">
        <f>+G$10</f>
        <v>Nelson Agholor</v>
      </c>
    </row>
    <row r="72" spans="3:3" x14ac:dyDescent="0.2">
      <c r="C72" s="34" t="str">
        <f>+G$11</f>
        <v>Marvin Jones</v>
      </c>
    </row>
    <row r="73" spans="3:3" x14ac:dyDescent="0.2">
      <c r="C73" s="34" t="str">
        <f>+G$12</f>
        <v>Devin Smith</v>
      </c>
    </row>
    <row r="74" spans="3:3" x14ac:dyDescent="0.2">
      <c r="C74" s="34" t="str">
        <f>+G$13</f>
        <v>Jason Witten</v>
      </c>
    </row>
    <row r="75" spans="3:3" x14ac:dyDescent="0.2">
      <c r="C75" s="34" t="str">
        <f>+G$14</f>
        <v>Demetrius Harris</v>
      </c>
    </row>
    <row r="76" spans="3:3" x14ac:dyDescent="0.2">
      <c r="C76" s="34" t="str">
        <f>+G$15</f>
        <v>Dallas Cowboys</v>
      </c>
    </row>
    <row r="77" spans="3:3" x14ac:dyDescent="0.2">
      <c r="C77" s="34" t="str">
        <f>+G$16</f>
        <v>Seattle Seahawks</v>
      </c>
    </row>
    <row r="78" spans="3:3" x14ac:dyDescent="0.2">
      <c r="C78" s="34" t="str">
        <f>+G$17</f>
        <v>Zane Gonzalez</v>
      </c>
    </row>
    <row r="79" spans="3:3" x14ac:dyDescent="0.2">
      <c r="C79" s="34" t="str">
        <f>+G$18</f>
        <v>Matt Bryant</v>
      </c>
    </row>
    <row r="80" spans="3:3" x14ac:dyDescent="0.2">
      <c r="C80" s="51" t="str">
        <f>+I$5</f>
        <v>Philip Rivers</v>
      </c>
    </row>
    <row r="81" spans="3:3" x14ac:dyDescent="0.2">
      <c r="C81" s="34" t="str">
        <f>+I$6</f>
        <v>Case Keenum</v>
      </c>
    </row>
    <row r="82" spans="3:3" x14ac:dyDescent="0.2">
      <c r="C82" s="34" t="str">
        <f>+I$7</f>
        <v>James Conner</v>
      </c>
    </row>
    <row r="83" spans="3:3" x14ac:dyDescent="0.2">
      <c r="C83" s="34" t="str">
        <f>+I$8</f>
        <v>Darrel Williams</v>
      </c>
    </row>
    <row r="84" spans="3:3" x14ac:dyDescent="0.2">
      <c r="C84" s="34" t="str">
        <f>+I$9</f>
        <v>Austin Ekeler</v>
      </c>
    </row>
    <row r="85" spans="3:3" x14ac:dyDescent="0.2">
      <c r="C85" s="34" t="str">
        <f>+I$10</f>
        <v>Mike Williams</v>
      </c>
    </row>
    <row r="86" spans="3:3" x14ac:dyDescent="0.2">
      <c r="C86" s="34" t="str">
        <f>+I$11</f>
        <v>Tyler Boyd</v>
      </c>
    </row>
    <row r="87" spans="3:3" x14ac:dyDescent="0.2">
      <c r="C87" s="34" t="str">
        <f>+I$12</f>
        <v>Curtis Samuel</v>
      </c>
    </row>
    <row r="88" spans="3:3" x14ac:dyDescent="0.2">
      <c r="C88" s="34" t="str">
        <f>+I$13</f>
        <v>Gerald Everett</v>
      </c>
    </row>
    <row r="89" spans="3:3" x14ac:dyDescent="0.2">
      <c r="C89" s="34" t="str">
        <f>+I$14</f>
        <v>Mike Gesicki</v>
      </c>
    </row>
    <row r="90" spans="3:3" x14ac:dyDescent="0.2">
      <c r="C90" s="34" t="str">
        <f>+I$15</f>
        <v>Los Angeles Chargers</v>
      </c>
    </row>
    <row r="91" spans="3:3" x14ac:dyDescent="0.2">
      <c r="C91" s="34" t="str">
        <f>+I$16</f>
        <v>Indianapolis Colts</v>
      </c>
    </row>
    <row r="92" spans="3:3" x14ac:dyDescent="0.2">
      <c r="C92" s="34" t="str">
        <f>+I$17</f>
        <v>Adam Vinatieri</v>
      </c>
    </row>
    <row r="93" spans="3:3" x14ac:dyDescent="0.2">
      <c r="C93" s="34" t="str">
        <f>+I$18</f>
        <v>Matt Gay</v>
      </c>
    </row>
    <row r="94" spans="3:3" x14ac:dyDescent="0.2">
      <c r="C94" s="51" t="str">
        <f>+K$5</f>
        <v>Andy Dalton</v>
      </c>
    </row>
    <row r="95" spans="3:3" x14ac:dyDescent="0.2">
      <c r="C95" s="34" t="str">
        <f>+K$6</f>
        <v>Teddy Bridgewater</v>
      </c>
    </row>
    <row r="96" spans="3:3" x14ac:dyDescent="0.2">
      <c r="C96" s="34" t="str">
        <f>+K$7</f>
        <v>Jaylen Samuels</v>
      </c>
    </row>
    <row r="97" spans="3:3" x14ac:dyDescent="0.2">
      <c r="C97" s="34" t="str">
        <f>+K$8</f>
        <v>Wayne Gallman</v>
      </c>
    </row>
    <row r="98" spans="3:3" x14ac:dyDescent="0.2">
      <c r="C98" s="34" t="str">
        <f>+K$9</f>
        <v>Tarik Cohen</v>
      </c>
    </row>
    <row r="99" spans="3:3" x14ac:dyDescent="0.2">
      <c r="C99" s="34" t="str">
        <f>+K$10</f>
        <v>Larry Fitzgerald</v>
      </c>
    </row>
    <row r="100" spans="3:3" x14ac:dyDescent="0.2">
      <c r="C100" s="34" t="str">
        <f>+K$11</f>
        <v>Julian Edelman</v>
      </c>
    </row>
    <row r="101" spans="3:3" x14ac:dyDescent="0.2">
      <c r="C101" s="34" t="str">
        <f>+K$12</f>
        <v>Marquez Valdes-Scantling</v>
      </c>
    </row>
    <row r="102" spans="3:3" x14ac:dyDescent="0.2">
      <c r="C102" s="34" t="str">
        <f>+K$13</f>
        <v>Tyler Eifert</v>
      </c>
    </row>
    <row r="103" spans="3:3" x14ac:dyDescent="0.2">
      <c r="C103" s="34" t="str">
        <f>+K$14</f>
        <v>Eric Ebron</v>
      </c>
    </row>
    <row r="104" spans="3:3" x14ac:dyDescent="0.2">
      <c r="C104" s="34" t="str">
        <f>+K$15</f>
        <v>Tennessee Titans</v>
      </c>
    </row>
    <row r="105" spans="3:3" x14ac:dyDescent="0.2">
      <c r="C105" s="34" t="str">
        <f>+K$16</f>
        <v>Arizona Cardinals</v>
      </c>
    </row>
    <row r="106" spans="3:3" x14ac:dyDescent="0.2">
      <c r="C106" s="34" t="str">
        <f>+K$17</f>
        <v>Randy Bullock</v>
      </c>
    </row>
    <row r="107" spans="3:3" x14ac:dyDescent="0.2">
      <c r="C107" s="34" t="str">
        <f>+K$18</f>
        <v>Chase McLaughlin</v>
      </c>
    </row>
    <row r="108" spans="3:3" x14ac:dyDescent="0.2">
      <c r="C108" s="51" t="str">
        <f>+M$5</f>
        <v>Matt Ryan</v>
      </c>
    </row>
    <row r="109" spans="3:3" x14ac:dyDescent="0.2">
      <c r="C109" s="34" t="str">
        <f>+M$6</f>
        <v>Kyler Murray</v>
      </c>
    </row>
    <row r="110" spans="3:3" x14ac:dyDescent="0.2">
      <c r="C110" s="34" t="str">
        <f>+M$7</f>
        <v>Mark Ingram</v>
      </c>
    </row>
    <row r="111" spans="3:3" x14ac:dyDescent="0.2">
      <c r="C111" s="34" t="str">
        <f>+M$8</f>
        <v>Chase Edmonds</v>
      </c>
    </row>
    <row r="112" spans="3:3" x14ac:dyDescent="0.2">
      <c r="C112" s="34" t="str">
        <f>+M$9</f>
        <v>Adrian Peterson</v>
      </c>
    </row>
    <row r="113" spans="3:3" x14ac:dyDescent="0.2">
      <c r="C113" s="34" t="str">
        <f>+M$10</f>
        <v>Stefon Diggs</v>
      </c>
    </row>
    <row r="114" spans="3:3" x14ac:dyDescent="0.2">
      <c r="C114" s="34" t="str">
        <f>+M$11</f>
        <v>Josh Gordon</v>
      </c>
    </row>
    <row r="115" spans="3:3" x14ac:dyDescent="0.2">
      <c r="C115" s="34" t="str">
        <f>+M$12</f>
        <v>D.J. Moore</v>
      </c>
    </row>
    <row r="116" spans="3:3" x14ac:dyDescent="0.2">
      <c r="C116" s="34" t="str">
        <f>+M$13</f>
        <v>Austin Hooper</v>
      </c>
    </row>
    <row r="117" spans="3:3" x14ac:dyDescent="0.2">
      <c r="C117" s="34" t="str">
        <f>+M$14</f>
        <v>Geoff Swain</v>
      </c>
    </row>
    <row r="118" spans="3:3" x14ac:dyDescent="0.2">
      <c r="C118" s="34" t="str">
        <f>+M$15</f>
        <v>Baltimore Ravens</v>
      </c>
    </row>
    <row r="119" spans="3:3" x14ac:dyDescent="0.2">
      <c r="C119" s="34" t="str">
        <f>+M$16</f>
        <v>New Orleans Saints</v>
      </c>
    </row>
    <row r="120" spans="3:3" x14ac:dyDescent="0.2">
      <c r="C120" s="34" t="str">
        <f>+M$17</f>
        <v>Dan Bailey</v>
      </c>
    </row>
    <row r="121" spans="3:3" x14ac:dyDescent="0.2">
      <c r="C121" s="34" t="str">
        <f>+M$18</f>
        <v>Joey Slye</v>
      </c>
    </row>
    <row r="122" spans="3:3" x14ac:dyDescent="0.2">
      <c r="C122" s="51" t="str">
        <f>+O$5</f>
        <v>Daniel Jones</v>
      </c>
    </row>
    <row r="123" spans="3:3" x14ac:dyDescent="0.2">
      <c r="C123" s="34" t="str">
        <f>+O$6</f>
        <v>Gardner Minshew</v>
      </c>
    </row>
    <row r="124" spans="3:3" x14ac:dyDescent="0.2">
      <c r="C124" s="34" t="str">
        <f>+O$7</f>
        <v>Latavius Murray</v>
      </c>
    </row>
    <row r="125" spans="3:3" x14ac:dyDescent="0.2">
      <c r="C125" s="34" t="str">
        <f>+O$8</f>
        <v>Leonard Fournette</v>
      </c>
    </row>
    <row r="126" spans="3:3" x14ac:dyDescent="0.2">
      <c r="C126" s="34" t="str">
        <f>+O$9</f>
        <v>Darrell Henderson</v>
      </c>
    </row>
    <row r="127" spans="3:3" x14ac:dyDescent="0.2">
      <c r="C127" s="34" t="str">
        <f>+O$10</f>
        <v>Michael Gallup</v>
      </c>
    </row>
    <row r="128" spans="3:3" x14ac:dyDescent="0.2">
      <c r="C128" s="34" t="str">
        <f>+O$11</f>
        <v>Cooper Kupp</v>
      </c>
    </row>
    <row r="129" spans="3:3" x14ac:dyDescent="0.2">
      <c r="C129" s="34" t="str">
        <f>+O$12</f>
        <v>Auden Tate</v>
      </c>
    </row>
    <row r="130" spans="3:3" x14ac:dyDescent="0.2">
      <c r="C130" s="34" t="str">
        <f>+O$13</f>
        <v>Jimmy Graham</v>
      </c>
    </row>
    <row r="131" spans="3:3" x14ac:dyDescent="0.2">
      <c r="C131" s="34" t="str">
        <f>+O$14</f>
        <v>Darren Fells</v>
      </c>
    </row>
    <row r="132" spans="3:3" x14ac:dyDescent="0.2">
      <c r="C132" s="34" t="str">
        <f>+O$15</f>
        <v>Jacksonville Jaguars</v>
      </c>
    </row>
    <row r="133" spans="3:3" x14ac:dyDescent="0.2">
      <c r="C133" s="34" t="str">
        <f>+O$16</f>
        <v>Cincinnati Bengals</v>
      </c>
    </row>
    <row r="134" spans="3:3" x14ac:dyDescent="0.2">
      <c r="C134" s="34" t="str">
        <f>+O$17</f>
        <v>Josh Lambo</v>
      </c>
    </row>
    <row r="135" spans="3:3" x14ac:dyDescent="0.2">
      <c r="C135" s="34" t="str">
        <f>+O$18</f>
        <v>Steven Hauschka</v>
      </c>
    </row>
    <row r="136" spans="3:3" x14ac:dyDescent="0.2">
      <c r="C136" s="51" t="str">
        <f>+Q$5</f>
        <v>Ryan Tannehill</v>
      </c>
    </row>
    <row r="137" spans="3:3" x14ac:dyDescent="0.2">
      <c r="C137" s="34" t="str">
        <f>+Q$6</f>
        <v>Mason Rudolph</v>
      </c>
    </row>
    <row r="138" spans="3:3" x14ac:dyDescent="0.2">
      <c r="C138" s="34" t="str">
        <f>+Q$7</f>
        <v>Chris Carson</v>
      </c>
    </row>
    <row r="139" spans="3:3" x14ac:dyDescent="0.2">
      <c r="C139" s="34" t="str">
        <f>+Q$8</f>
        <v>LeSean McCoy</v>
      </c>
    </row>
    <row r="140" spans="3:3" x14ac:dyDescent="0.2">
      <c r="C140" s="34" t="str">
        <f>+Q$9</f>
        <v>Carlos Hyde</v>
      </c>
    </row>
    <row r="141" spans="3:3" x14ac:dyDescent="0.2">
      <c r="C141" s="34" t="str">
        <f>+Q$10</f>
        <v>DK Metcalf</v>
      </c>
    </row>
    <row r="142" spans="3:3" x14ac:dyDescent="0.2">
      <c r="C142" s="34" t="str">
        <f>+Q$11</f>
        <v>Kenny Stills</v>
      </c>
    </row>
    <row r="143" spans="3:3" x14ac:dyDescent="0.2">
      <c r="C143" s="34" t="str">
        <f>+Q$12</f>
        <v>Corey Davis</v>
      </c>
    </row>
    <row r="144" spans="3:3" x14ac:dyDescent="0.2">
      <c r="C144" s="34" t="str">
        <f>+Q$13</f>
        <v>Jonnu Smith</v>
      </c>
    </row>
    <row r="145" spans="3:3" x14ac:dyDescent="0.2">
      <c r="C145" s="34" t="str">
        <f>+Q$14</f>
        <v>Josh Hill</v>
      </c>
    </row>
    <row r="146" spans="3:3" x14ac:dyDescent="0.2">
      <c r="C146" s="34" t="str">
        <f>+Q$15</f>
        <v>Los Angeles Rams</v>
      </c>
    </row>
    <row r="147" spans="3:3" x14ac:dyDescent="0.2">
      <c r="C147" s="34" t="str">
        <f>+Q$16</f>
        <v>Minnesota Vikings</v>
      </c>
    </row>
    <row r="148" spans="3:3" x14ac:dyDescent="0.2">
      <c r="C148" s="34" t="str">
        <f>+Q$17</f>
        <v>Jason Myers</v>
      </c>
    </row>
    <row r="149" spans="3:3" x14ac:dyDescent="0.2">
      <c r="C149" s="34" t="str">
        <f>+Q$18</f>
        <v>Mason Crosby</v>
      </c>
    </row>
    <row r="150" spans="3:3" x14ac:dyDescent="0.2">
      <c r="C150" s="51" t="str">
        <f>+C$22</f>
        <v>Russell Wilson</v>
      </c>
    </row>
    <row r="151" spans="3:3" x14ac:dyDescent="0.2">
      <c r="C151" s="34" t="str">
        <f>+C$23</f>
        <v>Derek Carr</v>
      </c>
    </row>
    <row r="152" spans="3:3" x14ac:dyDescent="0.2">
      <c r="C152" s="34" t="str">
        <f>+C$24</f>
        <v>Jamaal Williams</v>
      </c>
    </row>
    <row r="153" spans="3:3" x14ac:dyDescent="0.2">
      <c r="C153" s="34" t="str">
        <f>+C$25</f>
        <v>James White</v>
      </c>
    </row>
    <row r="154" spans="3:3" x14ac:dyDescent="0.2">
      <c r="C154" s="34" t="str">
        <f>+C$26</f>
        <v>Tevin Coleman</v>
      </c>
    </row>
    <row r="155" spans="3:3" x14ac:dyDescent="0.2">
      <c r="C155" s="34" t="str">
        <f>+C$27</f>
        <v>Robby Anderson</v>
      </c>
    </row>
    <row r="156" spans="3:3" x14ac:dyDescent="0.2">
      <c r="C156" s="34" t="str">
        <f>+C$28</f>
        <v>Tyler Lockett</v>
      </c>
    </row>
    <row r="157" spans="3:3" x14ac:dyDescent="0.2">
      <c r="C157" s="34" t="str">
        <f>+C$29</f>
        <v>Kenny Golloday</v>
      </c>
    </row>
    <row r="158" spans="3:3" x14ac:dyDescent="0.2">
      <c r="C158" s="34" t="str">
        <f>+C$30</f>
        <v>Cameron Brate</v>
      </c>
    </row>
    <row r="159" spans="3:3" x14ac:dyDescent="0.2">
      <c r="C159" s="34" t="str">
        <f>+C$31</f>
        <v>Jordan Akins</v>
      </c>
    </row>
    <row r="160" spans="3:3" x14ac:dyDescent="0.2">
      <c r="C160" s="34" t="str">
        <f>+C$32</f>
        <v>Buffalo Bills</v>
      </c>
    </row>
    <row r="161" spans="3:3" x14ac:dyDescent="0.2">
      <c r="C161" s="34" t="str">
        <f>+C$33</f>
        <v>Miami Dolphins</v>
      </c>
    </row>
    <row r="162" spans="3:3" x14ac:dyDescent="0.2">
      <c r="C162" s="34" t="str">
        <f>+C$34</f>
        <v>Daniel Carlson</v>
      </c>
    </row>
    <row r="163" spans="3:3" x14ac:dyDescent="0.2">
      <c r="C163" s="34" t="str">
        <f>+C$35</f>
        <v>Brandon McManus</v>
      </c>
    </row>
    <row r="164" spans="3:3" x14ac:dyDescent="0.2">
      <c r="C164" s="51" t="str">
        <f>+E$22</f>
        <v>Lamar Jackson</v>
      </c>
    </row>
    <row r="165" spans="3:3" x14ac:dyDescent="0.2">
      <c r="C165" s="34" t="str">
        <f>+E$23</f>
        <v>Jacoby Brissett</v>
      </c>
    </row>
    <row r="166" spans="3:3" x14ac:dyDescent="0.2">
      <c r="C166" s="34" t="str">
        <f>+E$24</f>
        <v>Marlon Mack</v>
      </c>
    </row>
    <row r="167" spans="3:3" x14ac:dyDescent="0.2">
      <c r="C167" s="34" t="str">
        <f>+E$25</f>
        <v>Devin Singletary</v>
      </c>
    </row>
    <row r="168" spans="3:3" x14ac:dyDescent="0.2">
      <c r="C168" s="34" t="str">
        <f>+E$26</f>
        <v>Melvin Gordon</v>
      </c>
    </row>
    <row r="169" spans="3:3" x14ac:dyDescent="0.2">
      <c r="C169" s="34" t="str">
        <f>+E$27</f>
        <v>Keenan Allen</v>
      </c>
    </row>
    <row r="170" spans="3:3" x14ac:dyDescent="0.2">
      <c r="C170" s="34" t="str">
        <f>+E$28</f>
        <v>Allen Robinson</v>
      </c>
    </row>
    <row r="171" spans="3:3" x14ac:dyDescent="0.2">
      <c r="C171" s="34" t="str">
        <f>+E$29</f>
        <v>Christian Kirk</v>
      </c>
    </row>
    <row r="172" spans="3:3" x14ac:dyDescent="0.2">
      <c r="C172" s="34" t="str">
        <f>+E$30</f>
        <v>Jared Cook</v>
      </c>
    </row>
    <row r="173" spans="3:3" x14ac:dyDescent="0.2">
      <c r="C173" s="34" t="str">
        <f>+E$31</f>
        <v>O.J. Howard</v>
      </c>
    </row>
    <row r="174" spans="3:3" x14ac:dyDescent="0.2">
      <c r="C174" s="34" t="str">
        <f>+E$32</f>
        <v>Tampa Bay Buccaneers</v>
      </c>
    </row>
    <row r="175" spans="3:3" x14ac:dyDescent="0.2">
      <c r="C175" s="34" t="str">
        <f>+E$33</f>
        <v>Kansas City Chiefs</v>
      </c>
    </row>
    <row r="176" spans="3:3" x14ac:dyDescent="0.2">
      <c r="C176" s="34" t="str">
        <f>+E$34</f>
        <v>Mike Badgley</v>
      </c>
    </row>
    <row r="177" spans="3:3" x14ac:dyDescent="0.2">
      <c r="C177" s="34" t="str">
        <f>+E$35</f>
        <v>Chris Boswell</v>
      </c>
    </row>
    <row r="178" spans="3:3" x14ac:dyDescent="0.2">
      <c r="C178" s="51" t="str">
        <f>+G$22</f>
        <v>Deshaun Watson</v>
      </c>
    </row>
    <row r="179" spans="3:3" x14ac:dyDescent="0.2">
      <c r="C179" s="34" t="str">
        <f>+G$23</f>
        <v>Dak Prescott</v>
      </c>
    </row>
    <row r="180" spans="3:3" x14ac:dyDescent="0.2">
      <c r="C180" s="34" t="str">
        <f>+G$24</f>
        <v>Ezekiel Elliott</v>
      </c>
    </row>
    <row r="181" spans="3:3" x14ac:dyDescent="0.2">
      <c r="C181" s="34" t="str">
        <f>+G$25</f>
        <v>Damien Williams</v>
      </c>
    </row>
    <row r="182" spans="3:3" x14ac:dyDescent="0.2">
      <c r="C182" s="34" t="str">
        <f>+G$26</f>
        <v>Josh Jacobs</v>
      </c>
    </row>
    <row r="183" spans="3:3" x14ac:dyDescent="0.2">
      <c r="C183" s="34" t="str">
        <f>+G$27</f>
        <v>Amari Cooper</v>
      </c>
    </row>
    <row r="184" spans="3:3" x14ac:dyDescent="0.2">
      <c r="C184" s="34" t="str">
        <f>+G$28</f>
        <v>Deebo Samuel</v>
      </c>
    </row>
    <row r="185" spans="3:3" x14ac:dyDescent="0.2">
      <c r="C185" s="34" t="str">
        <f>+G$29</f>
        <v>DeAndre Hopkins</v>
      </c>
    </row>
    <row r="186" spans="3:3" x14ac:dyDescent="0.2">
      <c r="C186" s="34" t="str">
        <f>+G$30</f>
        <v>Ross Dwelley</v>
      </c>
    </row>
    <row r="187" spans="3:3" x14ac:dyDescent="0.2">
      <c r="C187" s="34" t="str">
        <f>+G$31</f>
        <v>Kyle Rudolph</v>
      </c>
    </row>
    <row r="188" spans="3:3" x14ac:dyDescent="0.2">
      <c r="C188" s="34" t="str">
        <f>+G$32</f>
        <v>Sam Ficken</v>
      </c>
    </row>
    <row r="189" spans="3:3" x14ac:dyDescent="0.2">
      <c r="C189" s="34" t="str">
        <f>+G$33</f>
        <v>Younghoe Koo</v>
      </c>
    </row>
    <row r="190" spans="3:3" x14ac:dyDescent="0.2">
      <c r="C190" s="34" t="str">
        <f>+G$34</f>
        <v>Washington Redskins</v>
      </c>
    </row>
    <row r="191" spans="3:3" x14ac:dyDescent="0.2">
      <c r="C191" s="34" t="str">
        <f>+G$35</f>
        <v>Minnesota Vikings</v>
      </c>
    </row>
    <row r="192" spans="3:3" x14ac:dyDescent="0.2">
      <c r="C192" s="51" t="str">
        <f>+I$22</f>
        <v>Jeff Driskel</v>
      </c>
    </row>
    <row r="193" spans="3:3" x14ac:dyDescent="0.2">
      <c r="C193" s="34" t="str">
        <f>+I$23</f>
        <v>Dwayne Haskins</v>
      </c>
    </row>
    <row r="194" spans="3:3" x14ac:dyDescent="0.2">
      <c r="C194" s="34" t="str">
        <f>+I$24</f>
        <v>Derrius Guice</v>
      </c>
    </row>
    <row r="195" spans="3:3" x14ac:dyDescent="0.2">
      <c r="C195" s="34" t="str">
        <f>+I$25</f>
        <v>Miles Sanders</v>
      </c>
    </row>
    <row r="196" spans="3:3" x14ac:dyDescent="0.2">
      <c r="C196" s="34" t="str">
        <f>+I$26</f>
        <v>Bo Scarbrough</v>
      </c>
    </row>
    <row r="197" spans="3:3" x14ac:dyDescent="0.2">
      <c r="C197" s="34" t="str">
        <f>+I$27</f>
        <v>Julio Jones</v>
      </c>
    </row>
    <row r="198" spans="3:3" x14ac:dyDescent="0.2">
      <c r="C198" s="34" t="str">
        <f>+I$28</f>
        <v>Jamison Crowder</v>
      </c>
    </row>
    <row r="199" spans="3:3" x14ac:dyDescent="0.2">
      <c r="C199" s="34" t="str">
        <f>+I$29</f>
        <v>JuJu Smith-Schuster</v>
      </c>
    </row>
    <row r="200" spans="3:3" x14ac:dyDescent="0.2">
      <c r="C200" s="34" t="str">
        <f>+I$30</f>
        <v>Dallas Goedert</v>
      </c>
    </row>
    <row r="201" spans="3:3" x14ac:dyDescent="0.2">
      <c r="C201" s="34" t="str">
        <f>+I$31</f>
        <v>Ryan Griffin</v>
      </c>
    </row>
    <row r="202" spans="3:3" x14ac:dyDescent="0.2">
      <c r="C202" s="34" t="str">
        <f>+I$32</f>
        <v>Chicago Bears</v>
      </c>
    </row>
    <row r="203" spans="3:3" x14ac:dyDescent="0.2">
      <c r="C203" s="34" t="str">
        <f>+I$33</f>
        <v>Oakland Raiders</v>
      </c>
    </row>
    <row r="204" spans="3:3" x14ac:dyDescent="0.2">
      <c r="C204" s="34" t="str">
        <f>+I$34</f>
        <v>Austin Seibert</v>
      </c>
    </row>
    <row r="205" spans="3:3" x14ac:dyDescent="0.2">
      <c r="C205" s="34" t="str">
        <f>+I$35</f>
        <v>Jake Elliott</v>
      </c>
    </row>
    <row r="206" spans="3:3" x14ac:dyDescent="0.2">
      <c r="C206" s="51" t="str">
        <f>+K$22</f>
        <v>Patrick Mahomes</v>
      </c>
    </row>
    <row r="207" spans="3:3" x14ac:dyDescent="0.2">
      <c r="C207" s="34" t="str">
        <f>+K$23</f>
        <v>Drew Brees</v>
      </c>
    </row>
    <row r="208" spans="3:3" x14ac:dyDescent="0.2">
      <c r="C208" s="34" t="str">
        <f>+K$24</f>
        <v>Le'Veon Bell</v>
      </c>
    </row>
    <row r="209" spans="3:3" x14ac:dyDescent="0.2">
      <c r="C209" s="34" t="str">
        <f>+K$25</f>
        <v>Derrick Henry</v>
      </c>
    </row>
    <row r="210" spans="3:3" x14ac:dyDescent="0.2">
      <c r="C210" s="34" t="str">
        <f>+K$26</f>
        <v>Christian McCaffrey</v>
      </c>
    </row>
    <row r="211" spans="3:3" x14ac:dyDescent="0.2">
      <c r="C211" s="34" t="str">
        <f>+K$27</f>
        <v>Michael Thomas</v>
      </c>
    </row>
    <row r="212" spans="3:3" x14ac:dyDescent="0.2">
      <c r="C212" s="34" t="str">
        <f>+K$28</f>
        <v>Tyreek Hill</v>
      </c>
    </row>
    <row r="213" spans="3:3" x14ac:dyDescent="0.2">
      <c r="C213" s="34" t="str">
        <f>+K$29</f>
        <v>DJ Chark</v>
      </c>
    </row>
    <row r="214" spans="3:3" x14ac:dyDescent="0.2">
      <c r="C214" s="34" t="str">
        <f>+K$30</f>
        <v>Darren Waller</v>
      </c>
    </row>
    <row r="215" spans="3:3" x14ac:dyDescent="0.2">
      <c r="C215" s="34" t="str">
        <f>+K$31</f>
        <v>Zach Ertz</v>
      </c>
    </row>
    <row r="216" spans="3:3" x14ac:dyDescent="0.2">
      <c r="C216" s="34" t="str">
        <f>+K$32</f>
        <v>Wil Lutz</v>
      </c>
    </row>
    <row r="217" spans="3:3" x14ac:dyDescent="0.2">
      <c r="C217" s="34" t="str">
        <f>+K$33</f>
        <v>Greg Zuerlein</v>
      </c>
    </row>
    <row r="218" spans="3:3" x14ac:dyDescent="0.2">
      <c r="C218" s="34" t="str">
        <f>+K$34</f>
        <v>Carolina Panthers</v>
      </c>
    </row>
    <row r="219" spans="3:3" x14ac:dyDescent="0.2">
      <c r="C219" s="34" t="str">
        <f>+K$35</f>
        <v>Philadelphia Eagles</v>
      </c>
    </row>
    <row r="220" spans="3:3" x14ac:dyDescent="0.2">
      <c r="C220" s="51">
        <f>+M$22</f>
        <v>0</v>
      </c>
    </row>
    <row r="221" spans="3:3" x14ac:dyDescent="0.2">
      <c r="C221" s="34">
        <f>+M$23</f>
        <v>0</v>
      </c>
    </row>
    <row r="222" spans="3:3" x14ac:dyDescent="0.2">
      <c r="C222" s="34">
        <f>+M$24</f>
        <v>0</v>
      </c>
    </row>
    <row r="223" spans="3:3" x14ac:dyDescent="0.2">
      <c r="C223" s="34">
        <f>+M$25</f>
        <v>0</v>
      </c>
    </row>
    <row r="224" spans="3:3" x14ac:dyDescent="0.2">
      <c r="C224" s="34">
        <f>+M$26</f>
        <v>0</v>
      </c>
    </row>
    <row r="225" spans="3:3" x14ac:dyDescent="0.2">
      <c r="C225" s="34">
        <f>+M$27</f>
        <v>0</v>
      </c>
    </row>
    <row r="226" spans="3:3" x14ac:dyDescent="0.2">
      <c r="C226" s="34">
        <f>+M$28</f>
        <v>0</v>
      </c>
    </row>
    <row r="227" spans="3:3" x14ac:dyDescent="0.2">
      <c r="C227" s="34">
        <f>+M$29</f>
        <v>0</v>
      </c>
    </row>
    <row r="228" spans="3:3" x14ac:dyDescent="0.2">
      <c r="C228" s="34">
        <f>+M$30</f>
        <v>0</v>
      </c>
    </row>
    <row r="229" spans="3:3" x14ac:dyDescent="0.2">
      <c r="C229" s="34">
        <f>+M$31</f>
        <v>0</v>
      </c>
    </row>
    <row r="230" spans="3:3" x14ac:dyDescent="0.2">
      <c r="C230" s="34">
        <f>+M$32</f>
        <v>0</v>
      </c>
    </row>
    <row r="231" spans="3:3" x14ac:dyDescent="0.2">
      <c r="C231" s="34">
        <f>+M$33</f>
        <v>0</v>
      </c>
    </row>
    <row r="232" spans="3:3" x14ac:dyDescent="0.2">
      <c r="C232" s="34">
        <f>+M$34</f>
        <v>0</v>
      </c>
    </row>
    <row r="233" spans="3:3" x14ac:dyDescent="0.2">
      <c r="C233" s="34">
        <f>+M$35</f>
        <v>0</v>
      </c>
    </row>
    <row r="234" spans="3:3" x14ac:dyDescent="0.2">
      <c r="C234" s="51">
        <f>+O$22</f>
        <v>0</v>
      </c>
    </row>
    <row r="235" spans="3:3" x14ac:dyDescent="0.2">
      <c r="C235" s="34">
        <f>+O$23</f>
        <v>0</v>
      </c>
    </row>
    <row r="236" spans="3:3" x14ac:dyDescent="0.2">
      <c r="C236" s="34">
        <f>+O$24</f>
        <v>0</v>
      </c>
    </row>
    <row r="237" spans="3:3" x14ac:dyDescent="0.2">
      <c r="C237" s="34">
        <f>+O$25</f>
        <v>0</v>
      </c>
    </row>
    <row r="238" spans="3:3" x14ac:dyDescent="0.2">
      <c r="C238" s="34">
        <f>+O$26</f>
        <v>0</v>
      </c>
    </row>
    <row r="239" spans="3:3" x14ac:dyDescent="0.2">
      <c r="C239" s="34">
        <f>+O$27</f>
        <v>0</v>
      </c>
    </row>
    <row r="240" spans="3:3" x14ac:dyDescent="0.2">
      <c r="C240" s="34">
        <f>+O$28</f>
        <v>0</v>
      </c>
    </row>
    <row r="241" spans="3:3" x14ac:dyDescent="0.2">
      <c r="C241" s="34">
        <f>+O$29</f>
        <v>0</v>
      </c>
    </row>
    <row r="242" spans="3:3" x14ac:dyDescent="0.2">
      <c r="C242" s="34">
        <f>+O$30</f>
        <v>0</v>
      </c>
    </row>
    <row r="243" spans="3:3" x14ac:dyDescent="0.2">
      <c r="C243" s="34">
        <f>+O$31</f>
        <v>0</v>
      </c>
    </row>
    <row r="244" spans="3:3" x14ac:dyDescent="0.2">
      <c r="C244" s="34">
        <f>+O$32</f>
        <v>0</v>
      </c>
    </row>
    <row r="245" spans="3:3" x14ac:dyDescent="0.2">
      <c r="C245" s="34">
        <f>+O$33</f>
        <v>0</v>
      </c>
    </row>
    <row r="246" spans="3:3" x14ac:dyDescent="0.2">
      <c r="C246" s="34">
        <f>+O$34</f>
        <v>0</v>
      </c>
    </row>
    <row r="247" spans="3:3" x14ac:dyDescent="0.2">
      <c r="C247" s="34">
        <f>+O$35</f>
        <v>0</v>
      </c>
    </row>
    <row r="248" spans="3:3" x14ac:dyDescent="0.2">
      <c r="C248" s="51">
        <f>+Q$22</f>
        <v>0</v>
      </c>
    </row>
    <row r="249" spans="3:3" x14ac:dyDescent="0.2">
      <c r="C249" s="34">
        <f>+Q$23</f>
        <v>0</v>
      </c>
    </row>
    <row r="250" spans="3:3" x14ac:dyDescent="0.2">
      <c r="C250" s="34">
        <f>+Q$24</f>
        <v>0</v>
      </c>
    </row>
    <row r="251" spans="3:3" x14ac:dyDescent="0.2">
      <c r="C251" s="34">
        <f>+Q$25</f>
        <v>0</v>
      </c>
    </row>
    <row r="252" spans="3:3" x14ac:dyDescent="0.2">
      <c r="C252" s="34">
        <f>+Q$26</f>
        <v>0</v>
      </c>
    </row>
    <row r="253" spans="3:3" x14ac:dyDescent="0.2">
      <c r="C253" s="34">
        <f>+Q$27</f>
        <v>0</v>
      </c>
    </row>
    <row r="254" spans="3:3" x14ac:dyDescent="0.2">
      <c r="C254" s="34">
        <f>+Q$28</f>
        <v>0</v>
      </c>
    </row>
    <row r="255" spans="3:3" x14ac:dyDescent="0.2">
      <c r="C255" s="34">
        <f>+Q$29</f>
        <v>0</v>
      </c>
    </row>
    <row r="256" spans="3:3" x14ac:dyDescent="0.2">
      <c r="C256" s="34">
        <f>+Q$30</f>
        <v>0</v>
      </c>
    </row>
    <row r="257" spans="3:3" x14ac:dyDescent="0.2">
      <c r="C257" s="34">
        <f>+Q$31</f>
        <v>0</v>
      </c>
    </row>
    <row r="258" spans="3:3" x14ac:dyDescent="0.2">
      <c r="C258" s="34">
        <f>+Q$32</f>
        <v>0</v>
      </c>
    </row>
    <row r="259" spans="3:3" x14ac:dyDescent="0.2">
      <c r="C259" s="34">
        <f>+Q$33</f>
        <v>0</v>
      </c>
    </row>
    <row r="260" spans="3:3" x14ac:dyDescent="0.2">
      <c r="C260" s="34">
        <f>+Q$34</f>
        <v>0</v>
      </c>
    </row>
    <row r="261" spans="3:3" x14ac:dyDescent="0.2">
      <c r="C261" s="34">
        <f>+Q$35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917-3894-4544-9740-130945172CAD}">
  <dimension ref="A1:L27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11" max="11" width="20.83203125" style="6" customWidth="1"/>
  </cols>
  <sheetData>
    <row r="1" spans="1:11" x14ac:dyDescent="0.15">
      <c r="A1" s="22" t="s">
        <v>860</v>
      </c>
      <c r="B1" s="8" t="s">
        <v>0</v>
      </c>
      <c r="C1" s="8" t="s">
        <v>1</v>
      </c>
      <c r="D1" s="8" t="s">
        <v>2</v>
      </c>
      <c r="E1" s="24"/>
      <c r="G1" s="25" t="s">
        <v>894</v>
      </c>
      <c r="H1" s="23"/>
      <c r="J1" s="25" t="s">
        <v>895</v>
      </c>
      <c r="K1" s="29"/>
    </row>
    <row r="2" spans="1:11" x14ac:dyDescent="0.15">
      <c r="A2" s="11">
        <v>1</v>
      </c>
      <c r="B2" s="3">
        <f ca="1">IFERROR(__xludf.DUMMYFUNCTION("""COMPUTED_VALUE"""),433)</f>
        <v>433</v>
      </c>
      <c r="C2" s="3" t="str">
        <f ca="1">IFERROR(__xludf.DUMMYFUNCTION("""COMPUTED_VALUE"""),"Tyrell Williams")</f>
        <v>Tyrell Williams</v>
      </c>
      <c r="D2" s="3" t="str">
        <f ca="1">IFERROR(__xludf.DUMMYFUNCTION("""COMPUTED_VALUE"""),"WR")</f>
        <v>WR</v>
      </c>
      <c r="G2" t="s">
        <v>49</v>
      </c>
      <c r="H2" s="26">
        <f t="shared" ref="H2:H7" ca="1" si="0">+COUNTIF($D$2:$D$75,G2)</f>
        <v>3</v>
      </c>
      <c r="J2" s="21" t="s">
        <v>880</v>
      </c>
      <c r="K2" s="30" t="s">
        <v>297</v>
      </c>
    </row>
    <row r="3" spans="1:11" x14ac:dyDescent="0.15">
      <c r="A3" s="16">
        <f>+A2+1</f>
        <v>2</v>
      </c>
      <c r="B3" s="3">
        <f ca="1">IFERROR(__xludf.DUMMYFUNCTION("""COMPUTED_VALUE"""),140)</f>
        <v>140</v>
      </c>
      <c r="C3" s="3" t="str">
        <f ca="1">IFERROR(__xludf.DUMMYFUNCTION("""COMPUTED_VALUE"""),"Dede Westbrook")</f>
        <v>Dede Westbrook</v>
      </c>
      <c r="D3" s="3" t="str">
        <f ca="1">IFERROR(__xludf.DUMMYFUNCTION("""COMPUTED_VALUE"""),"WR")</f>
        <v>WR</v>
      </c>
      <c r="G3" t="s">
        <v>8</v>
      </c>
      <c r="H3" s="26">
        <f t="shared" ca="1" si="0"/>
        <v>4</v>
      </c>
      <c r="J3" s="21" t="s">
        <v>881</v>
      </c>
      <c r="K3" s="30" t="s">
        <v>209</v>
      </c>
    </row>
    <row r="4" spans="1:11" x14ac:dyDescent="0.15">
      <c r="A4" s="16">
        <f t="shared" ref="A4:A21" si="1">+A3+1</f>
        <v>3</v>
      </c>
      <c r="B4" s="3">
        <f ca="1">IFERROR(__xludf.DUMMYFUNCTION("""COMPUTED_VALUE"""),65)</f>
        <v>65</v>
      </c>
      <c r="C4" s="3" t="str">
        <f ca="1">IFERROR(__xludf.DUMMYFUNCTION("""COMPUTED_VALUE"""),"Peyton Barber")</f>
        <v>Peyton Barber</v>
      </c>
      <c r="D4" s="3" t="str">
        <f ca="1">IFERROR(__xludf.DUMMYFUNCTION("""COMPUTED_VALUE"""),"RB")</f>
        <v>RB</v>
      </c>
      <c r="G4" t="s">
        <v>6</v>
      </c>
      <c r="H4" s="26">
        <f t="shared" ca="1" si="0"/>
        <v>4</v>
      </c>
      <c r="J4" s="21" t="s">
        <v>882</v>
      </c>
      <c r="K4" s="30" t="s">
        <v>71</v>
      </c>
    </row>
    <row r="5" spans="1:11" x14ac:dyDescent="0.15">
      <c r="A5" s="16">
        <f t="shared" si="1"/>
        <v>4</v>
      </c>
      <c r="B5" s="3">
        <f ca="1">IFERROR(__xludf.DUMMYFUNCTION("""COMPUTED_VALUE"""),271)</f>
        <v>271</v>
      </c>
      <c r="C5" s="3" t="str">
        <f ca="1">IFERROR(__xludf.DUMMYFUNCTION("""COMPUTED_VALUE"""),"Marquise Goodwin")</f>
        <v>Marquise Goodwin</v>
      </c>
      <c r="D5" s="3" t="str">
        <f ca="1">IFERROR(__xludf.DUMMYFUNCTION("""COMPUTED_VALUE"""),"WR")</f>
        <v>WR</v>
      </c>
      <c r="G5" t="s">
        <v>4</v>
      </c>
      <c r="H5" s="26">
        <f t="shared" ca="1" si="0"/>
        <v>3</v>
      </c>
      <c r="J5" s="21" t="s">
        <v>883</v>
      </c>
      <c r="K5" s="30" t="s">
        <v>217</v>
      </c>
    </row>
    <row r="6" spans="1:11" x14ac:dyDescent="0.15">
      <c r="A6" s="16">
        <f t="shared" si="1"/>
        <v>5</v>
      </c>
      <c r="B6" s="3">
        <f ca="1">IFERROR(__xludf.DUMMYFUNCTION("""COMPUTED_VALUE"""),291)</f>
        <v>291</v>
      </c>
      <c r="C6" s="3" t="str">
        <f ca="1">IFERROR(__xludf.DUMMYFUNCTION("""COMPUTED_VALUE"""),"Matthew Stafford")</f>
        <v>Matthew Stafford</v>
      </c>
      <c r="D6" s="3" t="str">
        <f ca="1">IFERROR(__xludf.DUMMYFUNCTION("""COMPUTED_VALUE"""),"QB")</f>
        <v>QB</v>
      </c>
      <c r="G6" s="21" t="s">
        <v>782</v>
      </c>
      <c r="H6" s="26">
        <f t="shared" ca="1" si="0"/>
        <v>3</v>
      </c>
      <c r="J6" s="21" t="s">
        <v>884</v>
      </c>
      <c r="K6" s="30" t="s">
        <v>564</v>
      </c>
    </row>
    <row r="7" spans="1:11" x14ac:dyDescent="0.15">
      <c r="A7" s="16">
        <f t="shared" si="1"/>
        <v>6</v>
      </c>
      <c r="B7" s="3">
        <f ca="1">IFERROR(__xludf.DUMMYFUNCTION("""COMPUTED_VALUE"""),211)</f>
        <v>211</v>
      </c>
      <c r="C7" s="3" t="str">
        <f ca="1">IFERROR(__xludf.DUMMYFUNCTION("""COMPUTED_VALUE"""),"Jordan Howard")</f>
        <v>Jordan Howard</v>
      </c>
      <c r="D7" s="3" t="str">
        <f ca="1">IFERROR(__xludf.DUMMYFUNCTION("""COMPUTED_VALUE"""),"RB")</f>
        <v>RB</v>
      </c>
      <c r="G7" s="23" t="s">
        <v>815</v>
      </c>
      <c r="H7" s="27">
        <f t="shared" ca="1" si="0"/>
        <v>3</v>
      </c>
      <c r="J7" s="28" t="s">
        <v>885</v>
      </c>
      <c r="K7" s="31" t="s">
        <v>438</v>
      </c>
    </row>
    <row r="8" spans="1:11" x14ac:dyDescent="0.15">
      <c r="A8" s="16">
        <f t="shared" si="1"/>
        <v>7</v>
      </c>
      <c r="B8" s="3">
        <f ca="1">IFERROR(__xludf.DUMMYFUNCTION("""COMPUTED_VALUE"""),561)</f>
        <v>561</v>
      </c>
      <c r="C8" s="3" t="str">
        <f ca="1">IFERROR(__xludf.DUMMYFUNCTION("""COMPUTED_VALUE"""),"Rashaad Penny")</f>
        <v>Rashaad Penny</v>
      </c>
      <c r="D8" s="3" t="str">
        <f ca="1">IFERROR(__xludf.DUMMYFUNCTION("""COMPUTED_VALUE"""),"RB")</f>
        <v>RB</v>
      </c>
      <c r="J8" s="28" t="s">
        <v>886</v>
      </c>
      <c r="K8" s="31" t="s">
        <v>146</v>
      </c>
    </row>
    <row r="9" spans="1:11" x14ac:dyDescent="0.15">
      <c r="A9" s="16">
        <f t="shared" si="1"/>
        <v>8</v>
      </c>
      <c r="B9" s="3">
        <f ca="1">IFERROR(__xludf.DUMMYFUNCTION("""COMPUTED_VALUE"""),203)</f>
        <v>203</v>
      </c>
      <c r="C9" s="3" t="str">
        <f ca="1">IFERROR(__xludf.DUMMYFUNCTION("""COMPUTED_VALUE"""),"Jimmy Garoppolo")</f>
        <v>Jimmy Garoppolo</v>
      </c>
      <c r="D9" s="3" t="str">
        <f ca="1">IFERROR(__xludf.DUMMYFUNCTION("""COMPUTED_VALUE"""),"QB")</f>
        <v>QB</v>
      </c>
      <c r="J9" s="28" t="s">
        <v>887</v>
      </c>
      <c r="K9" s="31" t="s">
        <v>277</v>
      </c>
    </row>
    <row r="10" spans="1:11" x14ac:dyDescent="0.15">
      <c r="A10" s="16">
        <f t="shared" si="1"/>
        <v>9</v>
      </c>
      <c r="B10" s="3">
        <f ca="1">IFERROR(__xludf.DUMMYFUNCTION("""COMPUTED_VALUE"""),591)</f>
        <v>591</v>
      </c>
      <c r="C10" s="3" t="str">
        <f ca="1">IFERROR(__xludf.DUMMYFUNCTION("""COMPUTED_VALUE"""),"Will Dissly")</f>
        <v>Will Dissly</v>
      </c>
      <c r="D10" s="3" t="str">
        <f ca="1">IFERROR(__xludf.DUMMYFUNCTION("""COMPUTED_VALUE"""),"TE")</f>
        <v>TE</v>
      </c>
      <c r="J10" s="31" t="s">
        <v>888</v>
      </c>
      <c r="K10" s="13" t="s">
        <v>592</v>
      </c>
    </row>
    <row r="11" spans="1:11" x14ac:dyDescent="0.15">
      <c r="A11" s="16">
        <f t="shared" si="1"/>
        <v>10</v>
      </c>
      <c r="B11" s="3">
        <f ca="1">IFERROR(__xludf.DUMMYFUNCTION("""COMPUTED_VALUE"""),798)</f>
        <v>798</v>
      </c>
      <c r="C11" s="3" t="str">
        <f ca="1">IFERROR(__xludf.DUMMYFUNCTION("""COMPUTED_VALUE"""),"Denver Broncos")</f>
        <v>Denver Broncos</v>
      </c>
      <c r="D11" s="3" t="str">
        <f ca="1">IFERROR(__xludf.DUMMYFUNCTION("""COMPUTED_VALUE"""),"D/ST")</f>
        <v>D/ST</v>
      </c>
      <c r="J11" s="31" t="s">
        <v>889</v>
      </c>
      <c r="K11" s="6" t="s">
        <v>587</v>
      </c>
    </row>
    <row r="12" spans="1:11" x14ac:dyDescent="0.15">
      <c r="A12" s="16">
        <f t="shared" si="1"/>
        <v>11</v>
      </c>
      <c r="B12" s="3">
        <f ca="1">IFERROR(__xludf.DUMMYFUNCTION("""COMPUTED_VALUE"""),586)</f>
        <v>586</v>
      </c>
      <c r="C12" s="3" t="str">
        <f ca="1">IFERROR(__xludf.DUMMYFUNCTION("""COMPUTED_VALUE"""),"Matt LaCosse")</f>
        <v>Matt LaCosse</v>
      </c>
      <c r="D12" s="3" t="str">
        <f ca="1">IFERROR(__xludf.DUMMYFUNCTION("""COMPUTED_VALUE"""),"TE")</f>
        <v>TE</v>
      </c>
      <c r="J12" s="31" t="s">
        <v>890</v>
      </c>
      <c r="K12" s="30" t="s">
        <v>791</v>
      </c>
    </row>
    <row r="13" spans="1:11" x14ac:dyDescent="0.15">
      <c r="A13" s="16">
        <f t="shared" si="1"/>
        <v>12</v>
      </c>
      <c r="B13" s="3">
        <f ca="1">IFERROR(__xludf.DUMMYFUNCTION("""COMPUTED_VALUE"""),799)</f>
        <v>799</v>
      </c>
      <c r="C13" s="3" t="str">
        <f ca="1">IFERROR(__xludf.DUMMYFUNCTION("""COMPUTED_VALUE"""),"Detroit Lions")</f>
        <v>Detroit Lions</v>
      </c>
      <c r="D13" s="3" t="str">
        <f ca="1">IFERROR(__xludf.DUMMYFUNCTION("""COMPUTED_VALUE"""),"D/ST")</f>
        <v>D/ST</v>
      </c>
      <c r="J13" s="31" t="s">
        <v>891</v>
      </c>
      <c r="K13" s="30" t="s">
        <v>792</v>
      </c>
    </row>
    <row r="14" spans="1:11" x14ac:dyDescent="0.15">
      <c r="A14" s="16">
        <f t="shared" si="1"/>
        <v>13</v>
      </c>
      <c r="B14" s="3">
        <f ca="1">IFERROR(__xludf.DUMMYFUNCTION("""COMPUTED_VALUE"""),848)</f>
        <v>848</v>
      </c>
      <c r="C14" s="3" t="str">
        <f ca="1">IFERROR(__xludf.DUMMYFUNCTION("""COMPUTED_VALUE"""),"Brett Maher")</f>
        <v>Brett Maher</v>
      </c>
      <c r="D14" s="3" t="str">
        <f ca="1">IFERROR(__xludf.DUMMYFUNCTION("""COMPUTED_VALUE"""),"K")</f>
        <v>K</v>
      </c>
      <c r="J14" s="31" t="s">
        <v>892</v>
      </c>
      <c r="K14" s="6" t="s">
        <v>842</v>
      </c>
    </row>
    <row r="15" spans="1:11" x14ac:dyDescent="0.15">
      <c r="A15" s="16">
        <f t="shared" si="1"/>
        <v>14</v>
      </c>
      <c r="B15" s="3">
        <f ca="1">IFERROR(__xludf.DUMMYFUNCTION("""COMPUTED_VALUE"""),218)</f>
        <v>218</v>
      </c>
      <c r="C15" s="3" t="str">
        <f ca="1">IFERROR(__xludf.DUMMYFUNCTION("""COMPUTED_VALUE"""),"Geronimo Allison")</f>
        <v>Geronimo Allison</v>
      </c>
      <c r="D15" s="3" t="str">
        <f ca="1">IFERROR(__xludf.DUMMYFUNCTION("""COMPUTED_VALUE"""),"WR")</f>
        <v>WR</v>
      </c>
      <c r="J15" s="33" t="s">
        <v>893</v>
      </c>
      <c r="K15" s="33" t="s">
        <v>849</v>
      </c>
    </row>
    <row r="16" spans="1:11" x14ac:dyDescent="0.15">
      <c r="A16" s="16">
        <f t="shared" si="1"/>
        <v>15</v>
      </c>
      <c r="B16" s="3">
        <f ca="1">IFERROR(__xludf.DUMMYFUNCTION("""COMPUTED_VALUE"""),127)</f>
        <v>127</v>
      </c>
      <c r="C16" s="3" t="str">
        <f ca="1">IFERROR(__xludf.DUMMYFUNCTION("""COMPUTED_VALUE"""),"Chris Thompson")</f>
        <v>Chris Thompson</v>
      </c>
      <c r="D16" s="3" t="str">
        <f ca="1">IFERROR(__xludf.DUMMYFUNCTION("""COMPUTED_VALUE"""),"RB")</f>
        <v>RB</v>
      </c>
    </row>
    <row r="17" spans="1:12" x14ac:dyDescent="0.15">
      <c r="A17" s="16">
        <f t="shared" si="1"/>
        <v>16</v>
      </c>
      <c r="B17" s="3">
        <f ca="1">IFERROR(__xludf.DUMMYFUNCTION("""COMPUTED_VALUE"""),855)</f>
        <v>855</v>
      </c>
      <c r="C17" s="3" t="str">
        <f ca="1">IFERROR(__xludf.DUMMYFUNCTION("""COMPUTED_VALUE"""),"Matt Prater")</f>
        <v>Matt Prater</v>
      </c>
      <c r="D17" s="3" t="str">
        <f ca="1">IFERROR(__xludf.DUMMYFUNCTION("""COMPUTED_VALUE"""),"K")</f>
        <v>K</v>
      </c>
    </row>
    <row r="18" spans="1:12" x14ac:dyDescent="0.15">
      <c r="A18" s="16">
        <f t="shared" si="1"/>
        <v>17</v>
      </c>
      <c r="B18" s="3">
        <f ca="1">IFERROR(__xludf.DUMMYFUNCTION("""COMPUTED_VALUE"""),205)</f>
        <v>205</v>
      </c>
      <c r="C18" s="3" t="str">
        <f ca="1">IFERROR(__xludf.DUMMYFUNCTION("""COMPUTED_VALUE"""),"Joe Flacco")</f>
        <v>Joe Flacco</v>
      </c>
      <c r="D18" s="3" t="str">
        <f ca="1">IFERROR(__xludf.DUMMYFUNCTION("""COMPUTED_VALUE"""),"QB")</f>
        <v>QB</v>
      </c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IFERROR(__xludf.DUMMYFUNCTION("""COMPUTED_VALUE"""),477)</f>
        <v>477</v>
      </c>
      <c r="C19" s="3" t="str">
        <f ca="1">IFERROR(__xludf.DUMMYFUNCTION("""COMPUTED_VALUE"""),"Geoff Swaim")</f>
        <v>Geoff Swaim</v>
      </c>
      <c r="D19" s="3" t="str">
        <f ca="1">IFERROR(__xludf.DUMMYFUNCTION("""COMPUTED_VALUE"""),"TE")</f>
        <v>TE</v>
      </c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IFERROR(__xludf.DUMMYFUNCTION("""COMPUTED_VALUE"""),812)</f>
        <v>812</v>
      </c>
      <c r="C20" s="3" t="str">
        <f ca="1">IFERROR(__xludf.DUMMYFUNCTION("""COMPUTED_VALUE"""),"New York Jets")</f>
        <v>New York Jets</v>
      </c>
      <c r="D20" s="3" t="str">
        <f ca="1">IFERROR(__xludf.DUMMYFUNCTION("""COMPUTED_VALUE"""),"D/ST")</f>
        <v>D/ST</v>
      </c>
    </row>
    <row r="21" spans="1:12" x14ac:dyDescent="0.15">
      <c r="A21" s="16">
        <f t="shared" si="1"/>
        <v>20</v>
      </c>
      <c r="B21" s="3">
        <f ca="1">IFERROR(__xludf.DUMMYFUNCTION("""COMPUTED_VALUE"""),822)</f>
        <v>822</v>
      </c>
      <c r="C21" s="3" t="str">
        <f ca="1">IFERROR(__xludf.DUMMYFUNCTION("""COMPUTED_VALUE"""),"Dan Bailey")</f>
        <v>Dan Bailey</v>
      </c>
      <c r="D21" s="3" t="str">
        <f ca="1">IFERROR(__xludf.DUMMYFUNCTION("""COMPUTED_VALUE"""),"K")</f>
        <v>K</v>
      </c>
    </row>
    <row r="22" spans="1:12" x14ac:dyDescent="0.15">
      <c r="A22" s="32"/>
    </row>
    <row r="23" spans="1:12" x14ac:dyDescent="0.15">
      <c r="A23" s="32" t="s">
        <v>907</v>
      </c>
      <c r="B23" s="52" t="s">
        <v>910</v>
      </c>
      <c r="C23" s="3"/>
      <c r="D23" s="3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</sheetData>
  <conditionalFormatting sqref="A3:A5 A6:C7 A23:C27 A8:A22 B20:C20 B16:C16 B18:C18 B8:C8">
    <cfRule type="expression" dxfId="3335" priority="105">
      <formula>E3=1</formula>
    </cfRule>
  </conditionalFormatting>
  <conditionalFormatting sqref="B23:C27 B20:C20 B18:C18 B7:C8">
    <cfRule type="expression" dxfId="3334" priority="104">
      <formula>E7=1</formula>
    </cfRule>
  </conditionalFormatting>
  <conditionalFormatting sqref="C23:C27 C20 C18 C7:C8">
    <cfRule type="expression" dxfId="3333" priority="103">
      <formula>E7=1</formula>
    </cfRule>
  </conditionalFormatting>
  <conditionalFormatting sqref="A2">
    <cfRule type="expression" dxfId="3332" priority="101">
      <formula>E2=1</formula>
    </cfRule>
  </conditionalFormatting>
  <conditionalFormatting sqref="H2">
    <cfRule type="expression" dxfId="3331" priority="96">
      <formula>$H$2&gt;=3</formula>
    </cfRule>
  </conditionalFormatting>
  <conditionalFormatting sqref="H3">
    <cfRule type="expression" dxfId="3330" priority="95">
      <formula>$H$3&gt;=4</formula>
    </cfRule>
  </conditionalFormatting>
  <conditionalFormatting sqref="H4">
    <cfRule type="expression" dxfId="3329" priority="94">
      <formula>$H$4&gt;=4</formula>
    </cfRule>
  </conditionalFormatting>
  <conditionalFormatting sqref="H5">
    <cfRule type="expression" dxfId="3328" priority="93">
      <formula>$H$5&gt;=3</formula>
    </cfRule>
  </conditionalFormatting>
  <conditionalFormatting sqref="H6">
    <cfRule type="expression" dxfId="3327" priority="92">
      <formula>$H$6&gt;=3</formula>
    </cfRule>
  </conditionalFormatting>
  <conditionalFormatting sqref="H7">
    <cfRule type="expression" dxfId="3326" priority="91">
      <formula>$H$7&gt;=3</formula>
    </cfRule>
  </conditionalFormatting>
  <conditionalFormatting sqref="B3:C3">
    <cfRule type="expression" dxfId="3325" priority="90">
      <formula>F2=1</formula>
    </cfRule>
  </conditionalFormatting>
  <conditionalFormatting sqref="B3:C3">
    <cfRule type="expression" dxfId="3324" priority="89">
      <formula>E2=1</formula>
    </cfRule>
  </conditionalFormatting>
  <conditionalFormatting sqref="C3">
    <cfRule type="expression" dxfId="3323" priority="88">
      <formula>E2=1</formula>
    </cfRule>
  </conditionalFormatting>
  <conditionalFormatting sqref="B4:C4">
    <cfRule type="expression" dxfId="3322" priority="86">
      <formula>F3=1</formula>
    </cfRule>
  </conditionalFormatting>
  <conditionalFormatting sqref="B4:C4">
    <cfRule type="expression" dxfId="3321" priority="85">
      <formula>E3=1</formula>
    </cfRule>
  </conditionalFormatting>
  <conditionalFormatting sqref="C4">
    <cfRule type="expression" dxfId="3320" priority="84">
      <formula>E3=1</formula>
    </cfRule>
  </conditionalFormatting>
  <conditionalFormatting sqref="B6:C6">
    <cfRule type="expression" dxfId="3319" priority="72">
      <formula>F5=1</formula>
    </cfRule>
  </conditionalFormatting>
  <conditionalFormatting sqref="B6:C6">
    <cfRule type="expression" dxfId="3318" priority="71">
      <formula>E5=1</formula>
    </cfRule>
  </conditionalFormatting>
  <conditionalFormatting sqref="C6">
    <cfRule type="expression" dxfId="3317" priority="70">
      <formula>E5=1</formula>
    </cfRule>
  </conditionalFormatting>
  <conditionalFormatting sqref="B7:C7">
    <cfRule type="expression" dxfId="3316" priority="68">
      <formula>F11=1</formula>
    </cfRule>
  </conditionalFormatting>
  <conditionalFormatting sqref="B7:C7">
    <cfRule type="expression" dxfId="3315" priority="67">
      <formula>E11=1</formula>
    </cfRule>
  </conditionalFormatting>
  <conditionalFormatting sqref="C7">
    <cfRule type="expression" dxfId="3314" priority="66">
      <formula>E11=1</formula>
    </cfRule>
  </conditionalFormatting>
  <conditionalFormatting sqref="B8:C8">
    <cfRule type="expression" dxfId="3313" priority="64">
      <formula>F12=1</formula>
    </cfRule>
  </conditionalFormatting>
  <conditionalFormatting sqref="B8:C8">
    <cfRule type="expression" dxfId="3312" priority="63">
      <formula>E12=1</formula>
    </cfRule>
  </conditionalFormatting>
  <conditionalFormatting sqref="C8">
    <cfRule type="expression" dxfId="3311" priority="62">
      <formula>E12=1</formula>
    </cfRule>
  </conditionalFormatting>
  <conditionalFormatting sqref="B2:C2">
    <cfRule type="expression" dxfId="3310" priority="60">
      <formula>F2=1</formula>
    </cfRule>
  </conditionalFormatting>
  <conditionalFormatting sqref="B2:C2">
    <cfRule type="expression" dxfId="3309" priority="59">
      <formula>E2=1</formula>
    </cfRule>
  </conditionalFormatting>
  <conditionalFormatting sqref="C2">
    <cfRule type="expression" dxfId="3308" priority="58">
      <formula>E2=1</formula>
    </cfRule>
  </conditionalFormatting>
  <conditionalFormatting sqref="B10:C10">
    <cfRule type="expression" dxfId="3307" priority="56">
      <formula>F9=1</formula>
    </cfRule>
  </conditionalFormatting>
  <conditionalFormatting sqref="B10:C10">
    <cfRule type="expression" dxfId="3306" priority="55">
      <formula>E9=1</formula>
    </cfRule>
  </conditionalFormatting>
  <conditionalFormatting sqref="C10">
    <cfRule type="expression" dxfId="3305" priority="54">
      <formula>E9=1</formula>
    </cfRule>
  </conditionalFormatting>
  <conditionalFormatting sqref="B20:C20">
    <cfRule type="expression" dxfId="3304" priority="52">
      <formula>F10=1</formula>
    </cfRule>
  </conditionalFormatting>
  <conditionalFormatting sqref="B20:C20">
    <cfRule type="expression" dxfId="3303" priority="51">
      <formula>E10=1</formula>
    </cfRule>
  </conditionalFormatting>
  <conditionalFormatting sqref="C20">
    <cfRule type="expression" dxfId="3302" priority="50">
      <formula>E10=1</formula>
    </cfRule>
  </conditionalFormatting>
  <conditionalFormatting sqref="B9:C9">
    <cfRule type="expression" dxfId="3301" priority="48">
      <formula>F11=1</formula>
    </cfRule>
  </conditionalFormatting>
  <conditionalFormatting sqref="B9:C9">
    <cfRule type="expression" dxfId="3300" priority="47">
      <formula>E11=1</formula>
    </cfRule>
  </conditionalFormatting>
  <conditionalFormatting sqref="C9">
    <cfRule type="expression" dxfId="3299" priority="46">
      <formula>E11=1</formula>
    </cfRule>
  </conditionalFormatting>
  <conditionalFormatting sqref="B12:C12">
    <cfRule type="expression" dxfId="3298" priority="44">
      <formula>F12=1</formula>
    </cfRule>
  </conditionalFormatting>
  <conditionalFormatting sqref="B12:C12">
    <cfRule type="expression" dxfId="3297" priority="43">
      <formula>E12=1</formula>
    </cfRule>
  </conditionalFormatting>
  <conditionalFormatting sqref="C12">
    <cfRule type="expression" dxfId="3296" priority="42">
      <formula>E12=1</formula>
    </cfRule>
  </conditionalFormatting>
  <conditionalFormatting sqref="B18:D18">
    <cfRule type="expression" dxfId="3295" priority="40">
      <formula>F30=1</formula>
    </cfRule>
  </conditionalFormatting>
  <conditionalFormatting sqref="B18:D18">
    <cfRule type="expression" dxfId="3294" priority="39">
      <formula>E30=1</formula>
    </cfRule>
  </conditionalFormatting>
  <conditionalFormatting sqref="C18">
    <cfRule type="expression" dxfId="3293" priority="38">
      <formula>E30=1</formula>
    </cfRule>
  </conditionalFormatting>
  <conditionalFormatting sqref="D18">
    <cfRule type="expression" dxfId="3292" priority="37">
      <formula>E30=1</formula>
    </cfRule>
  </conditionalFormatting>
  <conditionalFormatting sqref="B13:C13">
    <cfRule type="expression" dxfId="3291" priority="36">
      <formula>F13=1</formula>
    </cfRule>
  </conditionalFormatting>
  <conditionalFormatting sqref="B13:C13">
    <cfRule type="expression" dxfId="3290" priority="35">
      <formula>E13=1</formula>
    </cfRule>
  </conditionalFormatting>
  <conditionalFormatting sqref="C13">
    <cfRule type="expression" dxfId="3289" priority="34">
      <formula>E13=1</formula>
    </cfRule>
  </conditionalFormatting>
  <conditionalFormatting sqref="B15:C15">
    <cfRule type="expression" dxfId="3288" priority="32">
      <formula>F14=1</formula>
    </cfRule>
  </conditionalFormatting>
  <conditionalFormatting sqref="B15:C15">
    <cfRule type="expression" dxfId="3287" priority="31">
      <formula>E14=1</formula>
    </cfRule>
  </conditionalFormatting>
  <conditionalFormatting sqref="C15">
    <cfRule type="expression" dxfId="3286" priority="30">
      <formula>E14=1</formula>
    </cfRule>
  </conditionalFormatting>
  <conditionalFormatting sqref="B16:C16">
    <cfRule type="expression" dxfId="3285" priority="28">
      <formula>F15=1</formula>
    </cfRule>
  </conditionalFormatting>
  <conditionalFormatting sqref="B16:C16">
    <cfRule type="expression" dxfId="3284" priority="27">
      <formula>E15=1</formula>
    </cfRule>
  </conditionalFormatting>
  <conditionalFormatting sqref="C16">
    <cfRule type="expression" dxfId="3283" priority="26">
      <formula>E15=1</formula>
    </cfRule>
  </conditionalFormatting>
  <conditionalFormatting sqref="B14:C14">
    <cfRule type="expression" dxfId="3282" priority="24">
      <formula>F14=1</formula>
    </cfRule>
  </conditionalFormatting>
  <conditionalFormatting sqref="B14:C14">
    <cfRule type="expression" dxfId="3281" priority="23">
      <formula>E14=1</formula>
    </cfRule>
  </conditionalFormatting>
  <conditionalFormatting sqref="C14">
    <cfRule type="expression" dxfId="3280" priority="22">
      <formula>E14=1</formula>
    </cfRule>
  </conditionalFormatting>
  <conditionalFormatting sqref="B17:C17">
    <cfRule type="expression" dxfId="3279" priority="20">
      <formula>F17=1</formula>
    </cfRule>
  </conditionalFormatting>
  <conditionalFormatting sqref="B17:C17">
    <cfRule type="expression" dxfId="3278" priority="19">
      <formula>E17=1</formula>
    </cfRule>
  </conditionalFormatting>
  <conditionalFormatting sqref="C17">
    <cfRule type="expression" dxfId="3277" priority="18">
      <formula>E17=1</formula>
    </cfRule>
  </conditionalFormatting>
  <conditionalFormatting sqref="B19:D19">
    <cfRule type="expression" dxfId="3276" priority="16">
      <formula>F19=1</formula>
    </cfRule>
  </conditionalFormatting>
  <conditionalFormatting sqref="B19:D19">
    <cfRule type="expression" dxfId="3275" priority="15">
      <formula>E19=1</formula>
    </cfRule>
  </conditionalFormatting>
  <conditionalFormatting sqref="C19">
    <cfRule type="expression" dxfId="3274" priority="14">
      <formula>E19=1</formula>
    </cfRule>
  </conditionalFormatting>
  <conditionalFormatting sqref="D19">
    <cfRule type="expression" dxfId="3273" priority="13">
      <formula>E19=1</formula>
    </cfRule>
  </conditionalFormatting>
  <conditionalFormatting sqref="B11:C11">
    <cfRule type="expression" dxfId="3272" priority="12">
      <formula>F10=1</formula>
    </cfRule>
  </conditionalFormatting>
  <conditionalFormatting sqref="B11:C11">
    <cfRule type="expression" dxfId="3271" priority="11">
      <formula>E10=1</formula>
    </cfRule>
  </conditionalFormatting>
  <conditionalFormatting sqref="C11">
    <cfRule type="expression" dxfId="3270" priority="10">
      <formula>E10=1</formula>
    </cfRule>
  </conditionalFormatting>
  <conditionalFormatting sqref="D21">
    <cfRule type="expression" dxfId="3269" priority="5">
      <formula>E21=1</formula>
    </cfRule>
  </conditionalFormatting>
  <conditionalFormatting sqref="B21:D21">
    <cfRule type="expression" dxfId="3268" priority="8">
      <formula>F21=1</formula>
    </cfRule>
  </conditionalFormatting>
  <conditionalFormatting sqref="B21:D21">
    <cfRule type="expression" dxfId="3267" priority="7">
      <formula>E21=1</formula>
    </cfRule>
  </conditionalFormatting>
  <conditionalFormatting sqref="C21">
    <cfRule type="expression" dxfId="3266" priority="6">
      <formula>E21=1</formula>
    </cfRule>
  </conditionalFormatting>
  <conditionalFormatting sqref="B5:C5">
    <cfRule type="expression" dxfId="3265" priority="4">
      <formula>F5=1</formula>
    </cfRule>
  </conditionalFormatting>
  <conditionalFormatting sqref="B5:C5">
    <cfRule type="expression" dxfId="3264" priority="3">
      <formula>E5=1</formula>
    </cfRule>
  </conditionalFormatting>
  <conditionalFormatting sqref="C5">
    <cfRule type="expression" dxfId="3263" priority="2">
      <formula>E5=1</formula>
    </cfRule>
  </conditionalFormatting>
  <conditionalFormatting sqref="B21:C21">
    <cfRule type="expression" dxfId="3262" priority="107">
      <formula>F22=1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F8C-186B-4666-B9F4-3F6787E9C503}">
  <dimension ref="A1:L27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11" max="11" width="20.83203125" style="6" customWidth="1"/>
  </cols>
  <sheetData>
    <row r="1" spans="1:12" x14ac:dyDescent="0.15">
      <c r="A1" s="22" t="s">
        <v>860</v>
      </c>
      <c r="B1" s="8" t="s">
        <v>0</v>
      </c>
      <c r="C1" s="8" t="s">
        <v>1</v>
      </c>
      <c r="D1" s="8" t="s">
        <v>2</v>
      </c>
      <c r="E1" s="24"/>
      <c r="G1" s="25" t="s">
        <v>894</v>
      </c>
      <c r="H1" s="23"/>
      <c r="J1" s="25" t="s">
        <v>895</v>
      </c>
      <c r="K1" s="29"/>
    </row>
    <row r="2" spans="1:12" x14ac:dyDescent="0.15">
      <c r="A2" s="11">
        <v>1</v>
      </c>
      <c r="B2" s="3">
        <f ca="1">IFERROR(__xludf.DUMMYFUNCTION("""COMPUTED_VALUE"""),536)</f>
        <v>536</v>
      </c>
      <c r="C2" s="3" t="str">
        <f ca="1">IFERROR(__xludf.DUMMYFUNCTION("""COMPUTED_VALUE"""),"Sony Michel")</f>
        <v>Sony Michel</v>
      </c>
      <c r="D2" s="3" t="str">
        <f ca="1">IFERROR(__xludf.DUMMYFUNCTION("""COMPUTED_VALUE"""),"RB")</f>
        <v>RB</v>
      </c>
      <c r="G2" t="s">
        <v>49</v>
      </c>
      <c r="H2" s="26">
        <f t="shared" ref="H2:H7" ca="1" si="0">+COUNTIF($D$2:$D$75,G2)</f>
        <v>3</v>
      </c>
      <c r="J2" s="21" t="s">
        <v>880</v>
      </c>
      <c r="K2" s="30" t="s">
        <v>150</v>
      </c>
      <c r="L2" s="30"/>
    </row>
    <row r="3" spans="1:12" x14ac:dyDescent="0.15">
      <c r="A3" s="16">
        <f>+A2+1</f>
        <v>2</v>
      </c>
      <c r="B3" s="3">
        <f ca="1">IFERROR(__xludf.DUMMYFUNCTION("""COMPUTED_VALUE"""),144)</f>
        <v>144</v>
      </c>
      <c r="C3" s="3" t="str">
        <f ca="1">IFERROR(__xludf.DUMMYFUNCTION("""COMPUTED_VALUE"""),"Derek Carr")</f>
        <v>Derek Carr</v>
      </c>
      <c r="D3" s="3" t="str">
        <f ca="1">IFERROR(__xludf.DUMMYFUNCTION("""COMPUTED_VALUE"""),"QB")</f>
        <v>QB</v>
      </c>
      <c r="G3" t="s">
        <v>8</v>
      </c>
      <c r="H3" s="26">
        <f t="shared" ca="1" si="0"/>
        <v>4</v>
      </c>
      <c r="J3" s="21" t="s">
        <v>881</v>
      </c>
      <c r="K3" s="30" t="s">
        <v>531</v>
      </c>
      <c r="L3" s="30"/>
    </row>
    <row r="4" spans="1:12" x14ac:dyDescent="0.15">
      <c r="A4" s="16">
        <f t="shared" ref="A4:A21" si="1">+A3+1</f>
        <v>3</v>
      </c>
      <c r="B4" s="3">
        <f ca="1">IFERROR(__xludf.DUMMYFUNCTION("""COMPUTED_VALUE"""),209)</f>
        <v>209</v>
      </c>
      <c r="C4" s="3" t="str">
        <f ca="1">IFERROR(__xludf.DUMMYFUNCTION("""COMPUTED_VALUE"""),"John Brown")</f>
        <v>John Brown</v>
      </c>
      <c r="D4" s="3" t="str">
        <f ca="1">IFERROR(__xludf.DUMMYFUNCTION("""COMPUTED_VALUE"""),"WR")</f>
        <v>WR</v>
      </c>
      <c r="G4" t="s">
        <v>6</v>
      </c>
      <c r="H4" s="26">
        <f t="shared" ca="1" si="0"/>
        <v>4</v>
      </c>
      <c r="J4" s="21" t="s">
        <v>882</v>
      </c>
      <c r="K4" s="30" t="s">
        <v>539</v>
      </c>
      <c r="L4" s="30"/>
    </row>
    <row r="5" spans="1:12" x14ac:dyDescent="0.15">
      <c r="A5" s="16">
        <f t="shared" si="1"/>
        <v>4</v>
      </c>
      <c r="B5" s="3">
        <f ca="1">IFERROR(__xludf.DUMMYFUNCTION("""COMPUTED_VALUE"""),280)</f>
        <v>280</v>
      </c>
      <c r="C5" s="3" t="str">
        <f ca="1">IFERROR(__xludf.DUMMYFUNCTION("""COMPUTED_VALUE"""),"Matt Breida")</f>
        <v>Matt Breida</v>
      </c>
      <c r="D5" s="3" t="str">
        <f ca="1">IFERROR(__xludf.DUMMYFUNCTION("""COMPUTED_VALUE"""),"RB")</f>
        <v>RB</v>
      </c>
      <c r="G5" t="s">
        <v>4</v>
      </c>
      <c r="H5" s="26">
        <f t="shared" ca="1" si="0"/>
        <v>3</v>
      </c>
      <c r="J5" s="21" t="s">
        <v>883</v>
      </c>
      <c r="K5" s="30" t="s">
        <v>36</v>
      </c>
      <c r="L5" s="30"/>
    </row>
    <row r="6" spans="1:12" x14ac:dyDescent="0.15">
      <c r="A6" s="16">
        <f t="shared" si="1"/>
        <v>5</v>
      </c>
      <c r="B6" s="3">
        <f ca="1">IFERROR(__xludf.DUMMYFUNCTION("""COMPUTED_VALUE"""),31)</f>
        <v>31</v>
      </c>
      <c r="C6" s="3" t="str">
        <f ca="1">IFERROR(__xludf.DUMMYFUNCTION("""COMPUTED_VALUE"""),"Darren Sproles")</f>
        <v>Darren Sproles</v>
      </c>
      <c r="D6" s="3" t="str">
        <f ca="1">IFERROR(__xludf.DUMMYFUNCTION("""COMPUTED_VALUE"""),"RB")</f>
        <v>RB</v>
      </c>
      <c r="G6" s="21" t="s">
        <v>782</v>
      </c>
      <c r="H6" s="26">
        <f t="shared" ca="1" si="0"/>
        <v>3</v>
      </c>
      <c r="J6" s="21" t="s">
        <v>884</v>
      </c>
      <c r="K6" s="30" t="s">
        <v>286</v>
      </c>
      <c r="L6" s="30"/>
    </row>
    <row r="7" spans="1:12" x14ac:dyDescent="0.15">
      <c r="A7" s="16">
        <f t="shared" si="1"/>
        <v>6</v>
      </c>
      <c r="B7" s="3">
        <f ca="1">IFERROR(__xludf.DUMMYFUNCTION("""COMPUTED_VALUE"""),100)</f>
        <v>100</v>
      </c>
      <c r="C7" s="3" t="str">
        <f ca="1">IFERROR(__xludf.DUMMYFUNCTION("""COMPUTED_VALUE"""),"Antonio Brown")</f>
        <v>Antonio Brown</v>
      </c>
      <c r="D7" s="3" t="str">
        <f ca="1">IFERROR(__xludf.DUMMYFUNCTION("""COMPUTED_VALUE"""),"WR")</f>
        <v>WR</v>
      </c>
      <c r="G7" s="23" t="s">
        <v>815</v>
      </c>
      <c r="H7" s="27">
        <f t="shared" ca="1" si="0"/>
        <v>3</v>
      </c>
      <c r="J7" s="28" t="s">
        <v>885</v>
      </c>
      <c r="K7" s="31" t="s">
        <v>215</v>
      </c>
      <c r="L7" s="31"/>
    </row>
    <row r="8" spans="1:12" x14ac:dyDescent="0.15">
      <c r="A8" s="16">
        <f t="shared" si="1"/>
        <v>7</v>
      </c>
      <c r="B8" s="3">
        <f ca="1">IFERROR(__xludf.DUMMYFUNCTION("""COMPUTED_VALUE"""),527)</f>
        <v>527</v>
      </c>
      <c r="C8" s="3" t="str">
        <f ca="1">IFERROR(__xludf.DUMMYFUNCTION("""COMPUTED_VALUE"""),"Josh Allen")</f>
        <v>Josh Allen</v>
      </c>
      <c r="D8" s="3" t="str">
        <f ca="1">IFERROR(__xludf.DUMMYFUNCTION("""COMPUTED_VALUE"""),"QB")</f>
        <v>QB</v>
      </c>
      <c r="J8" s="28" t="s">
        <v>886</v>
      </c>
      <c r="K8" s="31" t="s">
        <v>106</v>
      </c>
      <c r="L8" s="31"/>
    </row>
    <row r="9" spans="1:12" x14ac:dyDescent="0.15">
      <c r="A9" s="16">
        <f t="shared" si="1"/>
        <v>8</v>
      </c>
      <c r="B9" s="3">
        <f ca="1">IFERROR(__xludf.DUMMYFUNCTION("""COMPUTED_VALUE"""),148)</f>
        <v>148</v>
      </c>
      <c r="C9" s="3" t="str">
        <f ca="1">IFERROR(__xludf.DUMMYFUNCTION("""COMPUTED_VALUE"""),"DeSean Jackson")</f>
        <v>DeSean Jackson</v>
      </c>
      <c r="D9" s="3" t="str">
        <f ca="1">IFERROR(__xludf.DUMMYFUNCTION("""COMPUTED_VALUE"""),"WR")</f>
        <v>WR</v>
      </c>
      <c r="J9" s="28" t="s">
        <v>887</v>
      </c>
      <c r="K9" s="31" t="s">
        <v>896</v>
      </c>
      <c r="L9" s="31"/>
    </row>
    <row r="10" spans="1:12" x14ac:dyDescent="0.15">
      <c r="A10" s="16">
        <f t="shared" si="1"/>
        <v>9</v>
      </c>
      <c r="B10" s="3">
        <f ca="1">IFERROR(__xludf.DUMMYFUNCTION("""COMPUTED_VALUE"""),369)</f>
        <v>369</v>
      </c>
      <c r="C10" s="3" t="str">
        <f ca="1">IFERROR(__xludf.DUMMYFUNCTION("""COMPUTED_VALUE"""),"Vernon Davis")</f>
        <v>Vernon Davis</v>
      </c>
      <c r="D10" s="3" t="str">
        <f ca="1">IFERROR(__xludf.DUMMYFUNCTION("""COMPUTED_VALUE"""),"TE")</f>
        <v>TE</v>
      </c>
      <c r="J10" s="31" t="s">
        <v>888</v>
      </c>
      <c r="K10" s="31" t="s">
        <v>375</v>
      </c>
      <c r="L10" s="31"/>
    </row>
    <row r="11" spans="1:12" x14ac:dyDescent="0.15">
      <c r="A11" s="16">
        <f t="shared" si="1"/>
        <v>10</v>
      </c>
      <c r="B11" s="3">
        <f ca="1">IFERROR(__xludf.DUMMYFUNCTION("""COMPUTED_VALUE"""),45)</f>
        <v>45</v>
      </c>
      <c r="C11" s="3" t="str">
        <f ca="1">IFERROR(__xludf.DUMMYFUNCTION("""COMPUTED_VALUE"""),"Greg Olsen")</f>
        <v>Greg Olsen</v>
      </c>
      <c r="D11" s="3" t="str">
        <f ca="1">IFERROR(__xludf.DUMMYFUNCTION("""COMPUTED_VALUE"""),"TE")</f>
        <v>TE</v>
      </c>
      <c r="J11" s="31" t="s">
        <v>889</v>
      </c>
      <c r="K11" s="31" t="s">
        <v>51</v>
      </c>
      <c r="L11" s="31"/>
    </row>
    <row r="12" spans="1:12" x14ac:dyDescent="0.15">
      <c r="A12" s="16">
        <f t="shared" si="1"/>
        <v>11</v>
      </c>
      <c r="B12" s="3">
        <f ca="1">IFERROR(__xludf.DUMMYFUNCTION("""COMPUTED_VALUE"""),796)</f>
        <v>796</v>
      </c>
      <c r="C12" s="3" t="str">
        <f ca="1">IFERROR(__xludf.DUMMYFUNCTION("""COMPUTED_VALUE"""),"Cleveland Browns")</f>
        <v>Cleveland Browns</v>
      </c>
      <c r="D12" s="3" t="str">
        <f ca="1">IFERROR(__xludf.DUMMYFUNCTION("""COMPUTED_VALUE"""),"D/ST")</f>
        <v>D/ST</v>
      </c>
      <c r="J12" s="31" t="s">
        <v>890</v>
      </c>
      <c r="K12" s="31" t="s">
        <v>789</v>
      </c>
      <c r="L12" s="31"/>
    </row>
    <row r="13" spans="1:12" x14ac:dyDescent="0.15">
      <c r="A13" s="16">
        <f t="shared" si="1"/>
        <v>12</v>
      </c>
      <c r="B13" s="3">
        <f ca="1">IFERROR(__xludf.DUMMYFUNCTION("""COMPUTED_VALUE"""),816)</f>
        <v>816</v>
      </c>
      <c r="C13" s="3" t="str">
        <f ca="1">IFERROR(__xludf.DUMMYFUNCTION("""COMPUTED_VALUE"""),"San Francisco 49ers")</f>
        <v>San Francisco 49ers</v>
      </c>
      <c r="D13" s="3" t="str">
        <f ca="1">IFERROR(__xludf.DUMMYFUNCTION("""COMPUTED_VALUE"""),"D/ST")</f>
        <v>D/ST</v>
      </c>
      <c r="J13" s="31" t="s">
        <v>891</v>
      </c>
      <c r="K13" s="31" t="s">
        <v>809</v>
      </c>
      <c r="L13" s="31"/>
    </row>
    <row r="14" spans="1:12" x14ac:dyDescent="0.15">
      <c r="A14" s="16">
        <f t="shared" si="1"/>
        <v>13</v>
      </c>
      <c r="B14" s="3">
        <f ca="1">IFERROR(__xludf.DUMMYFUNCTION("""COMPUTED_VALUE"""),178)</f>
        <v>178</v>
      </c>
      <c r="C14" s="3" t="str">
        <f ca="1">IFERROR(__xludf.DUMMYFUNCTION("""COMPUTED_VALUE"""),"Giovani Bernard")</f>
        <v>Giovani Bernard</v>
      </c>
      <c r="D14" s="3" t="str">
        <f ca="1">IFERROR(__xludf.DUMMYFUNCTION("""COMPUTED_VALUE"""),"RB")</f>
        <v>RB</v>
      </c>
      <c r="J14" s="31" t="s">
        <v>892</v>
      </c>
      <c r="K14" s="31" t="s">
        <v>852</v>
      </c>
      <c r="L14" s="31"/>
    </row>
    <row r="15" spans="1:12" x14ac:dyDescent="0.15">
      <c r="A15" s="16">
        <f t="shared" si="1"/>
        <v>14</v>
      </c>
      <c r="B15" s="3">
        <f ca="1">IFERROR(__xludf.DUMMYFUNCTION("""COMPUTED_VALUE"""),408)</f>
        <v>408</v>
      </c>
      <c r="C15" s="3" t="str">
        <f ca="1">IFERROR(__xludf.DUMMYFUNCTION("""COMPUTED_VALUE"""),"Willie Snead")</f>
        <v>Willie Snead</v>
      </c>
      <c r="D15" s="3" t="str">
        <f ca="1">IFERROR(__xludf.DUMMYFUNCTION("""COMPUTED_VALUE"""),"WR")</f>
        <v>WR</v>
      </c>
      <c r="J15" s="33" t="s">
        <v>893</v>
      </c>
      <c r="K15" s="33" t="s">
        <v>848</v>
      </c>
      <c r="L15" s="31"/>
    </row>
    <row r="16" spans="1:12" x14ac:dyDescent="0.15">
      <c r="A16" s="16">
        <f t="shared" si="1"/>
        <v>15</v>
      </c>
      <c r="B16" s="3">
        <f ca="1">IFERROR(__xludf.DUMMYFUNCTION("""COMPUTED_VALUE"""),858)</f>
        <v>858</v>
      </c>
      <c r="C16" s="3" t="str">
        <f ca="1">IFERROR(__xludf.DUMMYFUNCTION("""COMPUTED_VALUE"""),"Cairo Santos")</f>
        <v>Cairo Santos</v>
      </c>
      <c r="D16" s="3" t="str">
        <f ca="1">IFERROR(__xludf.DUMMYFUNCTION("""COMPUTED_VALUE"""),"K")</f>
        <v>K</v>
      </c>
    </row>
    <row r="17" spans="1:12" x14ac:dyDescent="0.15">
      <c r="A17" s="16">
        <f t="shared" si="1"/>
        <v>16</v>
      </c>
      <c r="B17" s="3">
        <f ca="1">IFERROR(__xludf.DUMMYFUNCTION("""COMPUTED_VALUE"""),854)</f>
        <v>854</v>
      </c>
      <c r="C17" s="3" t="str">
        <f ca="1">IFERROR(__xludf.DUMMYFUNCTION("""COMPUTED_VALUE"""),"Eddy Pineiro")</f>
        <v>Eddy Pineiro</v>
      </c>
      <c r="D17" s="3" t="str">
        <f ca="1">IFERROR(__xludf.DUMMYFUNCTION("""COMPUTED_VALUE"""),"K")</f>
        <v>K</v>
      </c>
    </row>
    <row r="18" spans="1:12" x14ac:dyDescent="0.15">
      <c r="A18" s="16">
        <f t="shared" si="1"/>
        <v>17</v>
      </c>
      <c r="B18" s="3">
        <f ca="1">IFERROR(__xludf.DUMMYFUNCTION("""COMPUTED_VALUE"""),119)</f>
        <v>119</v>
      </c>
      <c r="C18" s="3" t="str">
        <f ca="1">IFERROR(__xludf.DUMMYFUNCTION("""COMPUTED_VALUE"""),"Cameron Brate")</f>
        <v>Cameron Brate</v>
      </c>
      <c r="D18" s="3" t="str">
        <f ca="1">IFERROR(__xludf.DUMMYFUNCTION("""COMPUTED_VALUE"""),"TE")</f>
        <v>TE</v>
      </c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IFERROR(__xludf.DUMMYFUNCTION("""COMPUTED_VALUE"""),191)</f>
        <v>191</v>
      </c>
      <c r="C19" s="3" t="str">
        <f ca="1">IFERROR(__xludf.DUMMYFUNCTION("""COMPUTED_VALUE"""),"Jared Goff")</f>
        <v>Jared Goff</v>
      </c>
      <c r="D19" s="3" t="str">
        <f ca="1">IFERROR(__xludf.DUMMYFUNCTION("""COMPUTED_VALUE"""),"QB")</f>
        <v>QB</v>
      </c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IFERROR(__xludf.DUMMYFUNCTION("""COMPUTED_VALUE"""),801)</f>
        <v>801</v>
      </c>
      <c r="C20" s="3" t="str">
        <f ca="1">IFERROR(__xludf.DUMMYFUNCTION("""COMPUTED_VALUE"""),"Houston Texans")</f>
        <v>Houston Texans</v>
      </c>
      <c r="D20" s="3" t="str">
        <f ca="1">IFERROR(__xludf.DUMMYFUNCTION("""COMPUTED_VALUE"""),"D/ST")</f>
        <v>D/ST</v>
      </c>
    </row>
    <row r="21" spans="1:12" x14ac:dyDescent="0.15">
      <c r="A21" s="16">
        <f t="shared" si="1"/>
        <v>20</v>
      </c>
      <c r="B21" s="3">
        <f ca="1">IFERROR(__xludf.DUMMYFUNCTION("""COMPUTED_VALUE"""),856)</f>
        <v>856</v>
      </c>
      <c r="C21" s="3" t="str">
        <f ca="1">IFERROR(__xludf.DUMMYFUNCTION("""COMPUTED_VALUE"""),"Aldrick Rosas")</f>
        <v>Aldrick Rosas</v>
      </c>
      <c r="D21" s="3" t="str">
        <f ca="1">IFERROR(__xludf.DUMMYFUNCTION("""COMPUTED_VALUE"""),"K")</f>
        <v>K</v>
      </c>
    </row>
    <row r="22" spans="1:12" x14ac:dyDescent="0.15">
      <c r="A22" s="32"/>
    </row>
    <row r="23" spans="1:12" x14ac:dyDescent="0.15">
      <c r="A23" s="32" t="s">
        <v>907</v>
      </c>
      <c r="B23" s="52" t="s">
        <v>908</v>
      </c>
      <c r="C23" s="3"/>
      <c r="D23" s="3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</sheetData>
  <conditionalFormatting sqref="A3:A5 A6:C6 A24:C27 A7:A22 C23">
    <cfRule type="expression" dxfId="3261" priority="189">
      <formula>E3=1</formula>
    </cfRule>
  </conditionalFormatting>
  <conditionalFormatting sqref="B24:C27 C23">
    <cfRule type="expression" dxfId="3260" priority="188">
      <formula>E23=1</formula>
    </cfRule>
  </conditionalFormatting>
  <conditionalFormatting sqref="C23:C27">
    <cfRule type="expression" dxfId="3259" priority="187">
      <formula>E23=1</formula>
    </cfRule>
  </conditionalFormatting>
  <conditionalFormatting sqref="A2">
    <cfRule type="expression" dxfId="3258" priority="186">
      <formula>E2=1</formula>
    </cfRule>
  </conditionalFormatting>
  <conditionalFormatting sqref="H2">
    <cfRule type="expression" dxfId="3257" priority="185">
      <formula>$H$2&gt;=3</formula>
    </cfRule>
  </conditionalFormatting>
  <conditionalFormatting sqref="H3">
    <cfRule type="expression" dxfId="3256" priority="184">
      <formula>$H$3&gt;=4</formula>
    </cfRule>
  </conditionalFormatting>
  <conditionalFormatting sqref="H4">
    <cfRule type="expression" dxfId="3255" priority="183">
      <formula>$H$4&gt;=4</formula>
    </cfRule>
  </conditionalFormatting>
  <conditionalFormatting sqref="H5">
    <cfRule type="expression" dxfId="3254" priority="182">
      <formula>$H$5&gt;=3</formula>
    </cfRule>
  </conditionalFormatting>
  <conditionalFormatting sqref="H6">
    <cfRule type="expression" dxfId="3253" priority="181">
      <formula>$H$6&gt;=3</formula>
    </cfRule>
  </conditionalFormatting>
  <conditionalFormatting sqref="H7">
    <cfRule type="expression" dxfId="3252" priority="180">
      <formula>$H$7&gt;=3</formula>
    </cfRule>
  </conditionalFormatting>
  <conditionalFormatting sqref="B2:C2">
    <cfRule type="expression" dxfId="3251" priority="116">
      <formula>F2=1</formula>
    </cfRule>
  </conditionalFormatting>
  <conditionalFormatting sqref="B2:C2">
    <cfRule type="expression" dxfId="3250" priority="115">
      <formula>E2=1</formula>
    </cfRule>
  </conditionalFormatting>
  <conditionalFormatting sqref="C2">
    <cfRule type="expression" dxfId="3249" priority="114">
      <formula>E2=1</formula>
    </cfRule>
  </conditionalFormatting>
  <conditionalFormatting sqref="D2">
    <cfRule type="expression" dxfId="3248" priority="113">
      <formula>H2=1</formula>
    </cfRule>
  </conditionalFormatting>
  <conditionalFormatting sqref="D2">
    <cfRule type="expression" dxfId="3247" priority="112">
      <formula>G2=1</formula>
    </cfRule>
  </conditionalFormatting>
  <conditionalFormatting sqref="D2">
    <cfRule type="expression" dxfId="3246" priority="111">
      <formula>E2=1</formula>
    </cfRule>
  </conditionalFormatting>
  <conditionalFormatting sqref="B3:D3">
    <cfRule type="expression" dxfId="3245" priority="110">
      <formula>F3=1</formula>
    </cfRule>
  </conditionalFormatting>
  <conditionalFormatting sqref="B3:D3">
    <cfRule type="expression" dxfId="3244" priority="109">
      <formula>E3=1</formula>
    </cfRule>
  </conditionalFormatting>
  <conditionalFormatting sqref="C3">
    <cfRule type="expression" dxfId="3243" priority="108">
      <formula>E3=1</formula>
    </cfRule>
  </conditionalFormatting>
  <conditionalFormatting sqref="D3">
    <cfRule type="expression" dxfId="3242" priority="107">
      <formula>E3=1</formula>
    </cfRule>
  </conditionalFormatting>
  <conditionalFormatting sqref="B6:D6">
    <cfRule type="expression" dxfId="3241" priority="102">
      <formula>F5=1</formula>
    </cfRule>
  </conditionalFormatting>
  <conditionalFormatting sqref="B6:D6">
    <cfRule type="expression" dxfId="3240" priority="101">
      <formula>E5=1</formula>
    </cfRule>
  </conditionalFormatting>
  <conditionalFormatting sqref="C6">
    <cfRule type="expression" dxfId="3239" priority="100">
      <formula>E5=1</formula>
    </cfRule>
  </conditionalFormatting>
  <conditionalFormatting sqref="D6">
    <cfRule type="expression" dxfId="3238" priority="99">
      <formula>E5=1</formula>
    </cfRule>
  </conditionalFormatting>
  <conditionalFormatting sqref="B5:D5">
    <cfRule type="expression" dxfId="3237" priority="82">
      <formula>F5=1</formula>
    </cfRule>
  </conditionalFormatting>
  <conditionalFormatting sqref="B5:D5">
    <cfRule type="expression" dxfId="3236" priority="81">
      <formula>E5=1</formula>
    </cfRule>
  </conditionalFormatting>
  <conditionalFormatting sqref="C5">
    <cfRule type="expression" dxfId="3235" priority="80">
      <formula>E5=1</formula>
    </cfRule>
  </conditionalFormatting>
  <conditionalFormatting sqref="D5">
    <cfRule type="expression" dxfId="3234" priority="79">
      <formula>E5=1</formula>
    </cfRule>
  </conditionalFormatting>
  <conditionalFormatting sqref="D4">
    <cfRule type="expression" dxfId="3233" priority="75">
      <formula>E7=1</formula>
    </cfRule>
  </conditionalFormatting>
  <conditionalFormatting sqref="B4:D4">
    <cfRule type="expression" dxfId="3232" priority="78">
      <formula>F7=1</formula>
    </cfRule>
  </conditionalFormatting>
  <conditionalFormatting sqref="B4:D4">
    <cfRule type="expression" dxfId="3231" priority="77">
      <formula>E7=1</formula>
    </cfRule>
  </conditionalFormatting>
  <conditionalFormatting sqref="C4">
    <cfRule type="expression" dxfId="3230" priority="76">
      <formula>E7=1</formula>
    </cfRule>
  </conditionalFormatting>
  <conditionalFormatting sqref="B8:D8">
    <cfRule type="expression" dxfId="3229" priority="74">
      <formula>F8=1</formula>
    </cfRule>
  </conditionalFormatting>
  <conditionalFormatting sqref="B8:D8">
    <cfRule type="expression" dxfId="3228" priority="73">
      <formula>E8=1</formula>
    </cfRule>
  </conditionalFormatting>
  <conditionalFormatting sqref="C8">
    <cfRule type="expression" dxfId="3227" priority="72">
      <formula>E8=1</formula>
    </cfRule>
  </conditionalFormatting>
  <conditionalFormatting sqref="D8">
    <cfRule type="expression" dxfId="3226" priority="71">
      <formula>E8=1</formula>
    </cfRule>
  </conditionalFormatting>
  <conditionalFormatting sqref="D7">
    <cfRule type="expression" dxfId="3225" priority="63">
      <formula>E11=1</formula>
    </cfRule>
  </conditionalFormatting>
  <conditionalFormatting sqref="B7:D7">
    <cfRule type="expression" dxfId="3224" priority="66">
      <formula>F11=1</formula>
    </cfRule>
  </conditionalFormatting>
  <conditionalFormatting sqref="B7:D7">
    <cfRule type="expression" dxfId="3223" priority="65">
      <formula>E11=1</formula>
    </cfRule>
  </conditionalFormatting>
  <conditionalFormatting sqref="C7">
    <cfRule type="expression" dxfId="3222" priority="64">
      <formula>E11=1</formula>
    </cfRule>
  </conditionalFormatting>
  <conditionalFormatting sqref="B11:D11">
    <cfRule type="expression" dxfId="3221" priority="62">
      <formula>F10=1</formula>
    </cfRule>
  </conditionalFormatting>
  <conditionalFormatting sqref="B11:D11">
    <cfRule type="expression" dxfId="3220" priority="61">
      <formula>E10=1</formula>
    </cfRule>
  </conditionalFormatting>
  <conditionalFormatting sqref="C11">
    <cfRule type="expression" dxfId="3219" priority="60">
      <formula>E10=1</formula>
    </cfRule>
  </conditionalFormatting>
  <conditionalFormatting sqref="D11">
    <cfRule type="expression" dxfId="3218" priority="59">
      <formula>E10=1</formula>
    </cfRule>
  </conditionalFormatting>
  <conditionalFormatting sqref="B10:D10">
    <cfRule type="expression" dxfId="3217" priority="58">
      <formula>F10=1</formula>
    </cfRule>
  </conditionalFormatting>
  <conditionalFormatting sqref="B10:D10">
    <cfRule type="expression" dxfId="3216" priority="57">
      <formula>E10=1</formula>
    </cfRule>
  </conditionalFormatting>
  <conditionalFormatting sqref="C10">
    <cfRule type="expression" dxfId="3215" priority="56">
      <formula>E10=1</formula>
    </cfRule>
  </conditionalFormatting>
  <conditionalFormatting sqref="D10">
    <cfRule type="expression" dxfId="3214" priority="55">
      <formula>E10=1</formula>
    </cfRule>
  </conditionalFormatting>
  <conditionalFormatting sqref="B12:D12">
    <cfRule type="expression" dxfId="3213" priority="54">
      <formula>F12=1</formula>
    </cfRule>
  </conditionalFormatting>
  <conditionalFormatting sqref="B12:D12">
    <cfRule type="expression" dxfId="3212" priority="53">
      <formula>E12=1</formula>
    </cfRule>
  </conditionalFormatting>
  <conditionalFormatting sqref="C12">
    <cfRule type="expression" dxfId="3211" priority="52">
      <formula>E12=1</formula>
    </cfRule>
  </conditionalFormatting>
  <conditionalFormatting sqref="D12">
    <cfRule type="expression" dxfId="3210" priority="51">
      <formula>E12=1</formula>
    </cfRule>
  </conditionalFormatting>
  <conditionalFormatting sqref="B13:D13">
    <cfRule type="expression" dxfId="3209" priority="50">
      <formula>F13=1</formula>
    </cfRule>
  </conditionalFormatting>
  <conditionalFormatting sqref="B13:D13">
    <cfRule type="expression" dxfId="3208" priority="49">
      <formula>E13=1</formula>
    </cfRule>
  </conditionalFormatting>
  <conditionalFormatting sqref="C13">
    <cfRule type="expression" dxfId="3207" priority="48">
      <formula>E13=1</formula>
    </cfRule>
  </conditionalFormatting>
  <conditionalFormatting sqref="D13">
    <cfRule type="expression" dxfId="3206" priority="47">
      <formula>E13=1</formula>
    </cfRule>
  </conditionalFormatting>
  <conditionalFormatting sqref="B16:D16">
    <cfRule type="expression" dxfId="3205" priority="38">
      <formula>F16=1</formula>
    </cfRule>
  </conditionalFormatting>
  <conditionalFormatting sqref="B16:D16">
    <cfRule type="expression" dxfId="3204" priority="37">
      <formula>E16=1</formula>
    </cfRule>
  </conditionalFormatting>
  <conditionalFormatting sqref="C16">
    <cfRule type="expression" dxfId="3203" priority="36">
      <formula>E16=1</formula>
    </cfRule>
  </conditionalFormatting>
  <conditionalFormatting sqref="D16">
    <cfRule type="expression" dxfId="3202" priority="35">
      <formula>E16=1</formula>
    </cfRule>
  </conditionalFormatting>
  <conditionalFormatting sqref="B17:D17">
    <cfRule type="expression" dxfId="3201" priority="34">
      <formula>F17=1</formula>
    </cfRule>
  </conditionalFormatting>
  <conditionalFormatting sqref="B17:D17">
    <cfRule type="expression" dxfId="3200" priority="33">
      <formula>E17=1</formula>
    </cfRule>
  </conditionalFormatting>
  <conditionalFormatting sqref="C17">
    <cfRule type="expression" dxfId="3199" priority="32">
      <formula>E17=1</formula>
    </cfRule>
  </conditionalFormatting>
  <conditionalFormatting sqref="D17">
    <cfRule type="expression" dxfId="3198" priority="31">
      <formula>E17=1</formula>
    </cfRule>
  </conditionalFormatting>
  <conditionalFormatting sqref="B14:D14">
    <cfRule type="expression" dxfId="3197" priority="30">
      <formula>F14=1</formula>
    </cfRule>
  </conditionalFormatting>
  <conditionalFormatting sqref="B14:D14">
    <cfRule type="expression" dxfId="3196" priority="29">
      <formula>E14=1</formula>
    </cfRule>
  </conditionalFormatting>
  <conditionalFormatting sqref="C14">
    <cfRule type="expression" dxfId="3195" priority="28">
      <formula>E14=1</formula>
    </cfRule>
  </conditionalFormatting>
  <conditionalFormatting sqref="D14">
    <cfRule type="expression" dxfId="3194" priority="27">
      <formula>E14=1</formula>
    </cfRule>
  </conditionalFormatting>
  <conditionalFormatting sqref="D15">
    <cfRule type="expression" dxfId="3193" priority="23">
      <formula>E15=1</formula>
    </cfRule>
  </conditionalFormatting>
  <conditionalFormatting sqref="B15:D15">
    <cfRule type="expression" dxfId="3192" priority="26">
      <formula>F15=1</formula>
    </cfRule>
  </conditionalFormatting>
  <conditionalFormatting sqref="B15:D15">
    <cfRule type="expression" dxfId="3191" priority="25">
      <formula>E15=1</formula>
    </cfRule>
  </conditionalFormatting>
  <conditionalFormatting sqref="C15">
    <cfRule type="expression" dxfId="3190" priority="24">
      <formula>E15=1</formula>
    </cfRule>
  </conditionalFormatting>
  <conditionalFormatting sqref="D9">
    <cfRule type="expression" dxfId="3189" priority="19">
      <formula>E9=1</formula>
    </cfRule>
  </conditionalFormatting>
  <conditionalFormatting sqref="B9:D9">
    <cfRule type="expression" dxfId="3188" priority="22">
      <formula>F9=1</formula>
    </cfRule>
  </conditionalFormatting>
  <conditionalFormatting sqref="B9:D9">
    <cfRule type="expression" dxfId="3187" priority="21">
      <formula>E9=1</formula>
    </cfRule>
  </conditionalFormatting>
  <conditionalFormatting sqref="C9">
    <cfRule type="expression" dxfId="3186" priority="20">
      <formula>E9=1</formula>
    </cfRule>
  </conditionalFormatting>
  <conditionalFormatting sqref="B18:D18">
    <cfRule type="expression" dxfId="3185" priority="18">
      <formula>F18=1</formula>
    </cfRule>
  </conditionalFormatting>
  <conditionalFormatting sqref="B18:D18">
    <cfRule type="expression" dxfId="3184" priority="17">
      <formula>E18=1</formula>
    </cfRule>
  </conditionalFormatting>
  <conditionalFormatting sqref="C18">
    <cfRule type="expression" dxfId="3183" priority="16">
      <formula>E18=1</formula>
    </cfRule>
  </conditionalFormatting>
  <conditionalFormatting sqref="D18">
    <cfRule type="expression" dxfId="3182" priority="15">
      <formula>E18=1</formula>
    </cfRule>
  </conditionalFormatting>
  <conditionalFormatting sqref="B19:D19">
    <cfRule type="expression" dxfId="3181" priority="14">
      <formula>F19=1</formula>
    </cfRule>
  </conditionalFormatting>
  <conditionalFormatting sqref="B19:D19">
    <cfRule type="expression" dxfId="3180" priority="13">
      <formula>E19=1</formula>
    </cfRule>
  </conditionalFormatting>
  <conditionalFormatting sqref="C19">
    <cfRule type="expression" dxfId="3179" priority="12">
      <formula>E19=1</formula>
    </cfRule>
  </conditionalFormatting>
  <conditionalFormatting sqref="D19">
    <cfRule type="expression" dxfId="3178" priority="11">
      <formula>E19=1</formula>
    </cfRule>
  </conditionalFormatting>
  <conditionalFormatting sqref="B20:D20">
    <cfRule type="expression" dxfId="3177" priority="10">
      <formula>F20=1</formula>
    </cfRule>
  </conditionalFormatting>
  <conditionalFormatting sqref="B20:D20">
    <cfRule type="expression" dxfId="3176" priority="9">
      <formula>E20=1</formula>
    </cfRule>
  </conditionalFormatting>
  <conditionalFormatting sqref="C20">
    <cfRule type="expression" dxfId="3175" priority="8">
      <formula>E20=1</formula>
    </cfRule>
  </conditionalFormatting>
  <conditionalFormatting sqref="D20">
    <cfRule type="expression" dxfId="3174" priority="7">
      <formula>E20=1</formula>
    </cfRule>
  </conditionalFormatting>
  <conditionalFormatting sqref="B21:D21">
    <cfRule type="expression" dxfId="3173" priority="6">
      <formula>F21=1</formula>
    </cfRule>
  </conditionalFormatting>
  <conditionalFormatting sqref="B21:D21">
    <cfRule type="expression" dxfId="3172" priority="5">
      <formula>E21=1</formula>
    </cfRule>
  </conditionalFormatting>
  <conditionalFormatting sqref="C21">
    <cfRule type="expression" dxfId="3171" priority="4">
      <formula>E21=1</formula>
    </cfRule>
  </conditionalFormatting>
  <conditionalFormatting sqref="D21">
    <cfRule type="expression" dxfId="3170" priority="3">
      <formula>E21=1</formula>
    </cfRule>
  </conditionalFormatting>
  <conditionalFormatting sqref="A23:B23">
    <cfRule type="expression" dxfId="3169" priority="2">
      <formula>E23=1</formula>
    </cfRule>
  </conditionalFormatting>
  <conditionalFormatting sqref="B23">
    <cfRule type="expression" dxfId="3168" priority="1">
      <formula>E23=1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1C7-8E31-4B9A-8D1D-C26EA4487572}">
  <dimension ref="A1:L27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1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1" x14ac:dyDescent="0.15">
      <c r="A2" s="11">
        <v>1</v>
      </c>
      <c r="B2" s="3">
        <f ca="1">IFERROR(__xludf.DUMMYFUNCTION("""COMPUTED_VALUE"""),797)</f>
        <v>797</v>
      </c>
      <c r="C2" s="3" t="str">
        <f ca="1">IFERROR(__xludf.DUMMYFUNCTION("""COMPUTED_VALUE"""),"Dallas Cowboys")</f>
        <v>Dallas Cowboys</v>
      </c>
      <c r="D2" s="3" t="str">
        <f ca="1">IFERROR(__xludf.DUMMYFUNCTION("""COMPUTED_VALUE"""),"D/ST")</f>
        <v>D/ST</v>
      </c>
      <c r="E2" t="b">
        <f ca="1">NOT(ISERROR(MATCH(C2,'Geoff Usage (2)'!$C$38:$C$500,0)))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194</v>
      </c>
    </row>
    <row r="3" spans="1:11" x14ac:dyDescent="0.15">
      <c r="A3" s="16">
        <f>+A2+1</f>
        <v>2</v>
      </c>
      <c r="B3" s="3">
        <f ca="1">IFERROR(__xludf.DUMMYFUNCTION("""COMPUTED_VALUE"""),177)</f>
        <v>177</v>
      </c>
      <c r="C3" s="3" t="str">
        <f ca="1">IFERROR(__xludf.DUMMYFUNCTION("""COMPUTED_VALUE"""),"Frank Gore")</f>
        <v>Frank Gore</v>
      </c>
      <c r="D3" s="3" t="str">
        <f ca="1">IFERROR(__xludf.DUMMYFUNCTION("""COMPUTED_VALUE"""),"RB")</f>
        <v>RB</v>
      </c>
      <c r="E3" t="b">
        <f ca="1">NOT(ISERROR(MATCH(C3,'Geoff Usage (2)'!$C$38:$C$500,0)))</f>
        <v>0</v>
      </c>
      <c r="G3" t="s">
        <v>8</v>
      </c>
      <c r="H3" s="26">
        <f t="shared" ca="1" si="0"/>
        <v>4</v>
      </c>
      <c r="J3" s="21" t="s">
        <v>881</v>
      </c>
      <c r="K3" s="30" t="s">
        <v>594</v>
      </c>
    </row>
    <row r="4" spans="1:11" x14ac:dyDescent="0.15">
      <c r="A4" s="16">
        <f t="shared" ref="A4:A21" si="1">+A3+1</f>
        <v>3</v>
      </c>
      <c r="B4" s="3">
        <f ca="1">IFERROR(__xludf.DUMMYFUNCTION("""COMPUTED_VALUE"""),323)</f>
        <v>323</v>
      </c>
      <c r="C4" s="3" t="str">
        <f ca="1">IFERROR(__xludf.DUMMYFUNCTION("""COMPUTED_VALUE"""),"Nelson Agholor")</f>
        <v>Nelson Agholor</v>
      </c>
      <c r="D4" s="3" t="str">
        <f ca="1">IFERROR(__xludf.DUMMYFUNCTION("""COMPUTED_VALUE"""),"WR")</f>
        <v>WR</v>
      </c>
      <c r="E4" t="b">
        <f ca="1">NOT(ISERROR(MATCH(C4,'Geoff Usage (2)'!$C$38:$C$500,0)))</f>
        <v>0</v>
      </c>
      <c r="G4" t="s">
        <v>6</v>
      </c>
      <c r="H4" s="26">
        <f t="shared" ca="1" si="0"/>
        <v>4</v>
      </c>
      <c r="J4" s="21" t="s">
        <v>882</v>
      </c>
      <c r="K4" s="30" t="s">
        <v>183</v>
      </c>
    </row>
    <row r="5" spans="1:11" x14ac:dyDescent="0.15">
      <c r="A5" s="16">
        <f t="shared" si="1"/>
        <v>4</v>
      </c>
      <c r="B5" s="3">
        <f ca="1">IFERROR(__xludf.DUMMYFUNCTION("""COMPUTED_VALUE"""),711)</f>
        <v>711</v>
      </c>
      <c r="C5" s="3" t="str">
        <f ca="1">IFERROR(__xludf.DUMMYFUNCTION("""COMPUTED_VALUE"""),"David Montgomery")</f>
        <v>David Montgomery</v>
      </c>
      <c r="D5" s="3" t="str">
        <f ca="1">IFERROR(__xludf.DUMMYFUNCTION("""COMPUTED_VALUE"""),"RB")</f>
        <v>RB</v>
      </c>
      <c r="E5" t="b">
        <f ca="1">NOT(ISERROR(MATCH(C5,'Geoff Usage (2)'!$C$38:$C$500,0)))</f>
        <v>1</v>
      </c>
      <c r="G5" t="s">
        <v>4</v>
      </c>
      <c r="H5" s="26">
        <f t="shared" ca="1" si="0"/>
        <v>3</v>
      </c>
      <c r="J5" s="21" t="s">
        <v>883</v>
      </c>
      <c r="K5" s="30" t="s">
        <v>704</v>
      </c>
    </row>
    <row r="6" spans="1:11" x14ac:dyDescent="0.15">
      <c r="A6" s="16">
        <f t="shared" si="1"/>
        <v>5</v>
      </c>
      <c r="B6" s="3">
        <f ca="1">IFERROR(__xludf.DUMMYFUNCTION("""COMPUTED_VALUE"""),278)</f>
        <v>278</v>
      </c>
      <c r="C6" s="3" t="str">
        <f ca="1">IFERROR(__xludf.DUMMYFUNCTION("""COMPUTED_VALUE"""),"Marvin Jones")</f>
        <v>Marvin Jones</v>
      </c>
      <c r="D6" s="3" t="str">
        <f ca="1">IFERROR(__xludf.DUMMYFUNCTION("""COMPUTED_VALUE"""),"WR")</f>
        <v>WR</v>
      </c>
      <c r="E6" t="b">
        <f ca="1">NOT(ISERROR(MATCH(C6,'Geoff Usage (2)'!$C$38:$C$500,0)))</f>
        <v>0</v>
      </c>
      <c r="G6" s="21" t="s">
        <v>782</v>
      </c>
      <c r="H6" s="26">
        <f t="shared" ca="1" si="0"/>
        <v>3</v>
      </c>
      <c r="J6" s="21" t="s">
        <v>884</v>
      </c>
      <c r="K6" s="30" t="s">
        <v>510</v>
      </c>
    </row>
    <row r="7" spans="1:11" x14ac:dyDescent="0.15">
      <c r="A7" s="16">
        <f t="shared" si="1"/>
        <v>6</v>
      </c>
      <c r="B7" s="3">
        <f ca="1">IFERROR(__xludf.DUMMYFUNCTION("""COMPUTED_VALUE"""),593)</f>
        <v>593</v>
      </c>
      <c r="C7" s="3" t="str">
        <f ca="1">IFERROR(__xludf.DUMMYFUNCTION("""COMPUTED_VALUE"""),"Kyle Allen")</f>
        <v>Kyle Allen</v>
      </c>
      <c r="D7" s="3" t="str">
        <f ca="1">IFERROR(__xludf.DUMMYFUNCTION("""COMPUTED_VALUE"""),"QB")</f>
        <v>QB</v>
      </c>
      <c r="E7" t="b">
        <f ca="1">NOT(ISERROR(MATCH(C7,'Geoff Usage (2)'!$C$38:$C$500,0)))</f>
        <v>1</v>
      </c>
      <c r="G7" s="23" t="s">
        <v>815</v>
      </c>
      <c r="H7" s="27">
        <f t="shared" ca="1" si="0"/>
        <v>3</v>
      </c>
      <c r="J7" s="28" t="s">
        <v>885</v>
      </c>
      <c r="K7" s="31" t="s">
        <v>329</v>
      </c>
    </row>
    <row r="8" spans="1:11" x14ac:dyDescent="0.15">
      <c r="A8" s="16">
        <f t="shared" si="1"/>
        <v>7</v>
      </c>
      <c r="B8" s="3">
        <f ca="1">IFERROR(__xludf.DUMMYFUNCTION("""COMPUTED_VALUE"""),193)</f>
        <v>193</v>
      </c>
      <c r="C8" s="3" t="str">
        <f ca="1">IFERROR(__xludf.DUMMYFUNCTION("""COMPUTED_VALUE"""),"Jason Witten")</f>
        <v>Jason Witten</v>
      </c>
      <c r="D8" s="3" t="str">
        <f ca="1">IFERROR(__xludf.DUMMYFUNCTION("""COMPUTED_VALUE"""),"TE")</f>
        <v>TE</v>
      </c>
      <c r="E8" t="b">
        <f ca="1">NOT(ISERROR(MATCH(C8,'Geoff Usage (2)'!$C$38:$C$500,0)))</f>
        <v>0</v>
      </c>
      <c r="J8" s="28" t="s">
        <v>886</v>
      </c>
      <c r="K8" s="31" t="s">
        <v>284</v>
      </c>
    </row>
    <row r="9" spans="1:11" x14ac:dyDescent="0.15">
      <c r="A9" s="16">
        <f t="shared" si="1"/>
        <v>8</v>
      </c>
      <c r="B9" s="3">
        <f ca="1">IFERROR(__xludf.DUMMYFUNCTION("""COMPUTED_VALUE"""),188)</f>
        <v>188</v>
      </c>
      <c r="C9" s="3" t="str">
        <f ca="1">IFERROR(__xludf.DUMMYFUNCTION("""COMPUTED_VALUE"""),"Jameis Winston")</f>
        <v>Jameis Winston</v>
      </c>
      <c r="D9" s="3" t="str">
        <f ca="1">IFERROR(__xludf.DUMMYFUNCTION("""COMPUTED_VALUE"""),"QB")</f>
        <v>QB</v>
      </c>
      <c r="E9" t="b">
        <f ca="1">NOT(ISERROR(MATCH(C9,'Geoff Usage (2)'!$C$38:$C$500,0)))</f>
        <v>1</v>
      </c>
      <c r="J9" s="28" t="s">
        <v>887</v>
      </c>
      <c r="K9" s="31" t="s">
        <v>902</v>
      </c>
    </row>
    <row r="10" spans="1:11" x14ac:dyDescent="0.15">
      <c r="A10" s="16">
        <f t="shared" si="1"/>
        <v>9</v>
      </c>
      <c r="B10" s="3">
        <f ca="1">IFERROR(__xludf.DUMMYFUNCTION("""COMPUTED_VALUE"""),505)</f>
        <v>505</v>
      </c>
      <c r="C10" s="3" t="str">
        <f ca="1">IFERROR(__xludf.DUMMYFUNCTION("""COMPUTED_VALUE"""),"Raheem Mostert")</f>
        <v>Raheem Mostert</v>
      </c>
      <c r="D10" s="3" t="str">
        <f ca="1">IFERROR(__xludf.DUMMYFUNCTION("""COMPUTED_VALUE"""),"RB")</f>
        <v>RB</v>
      </c>
      <c r="E10" t="b">
        <f ca="1">NOT(ISERROR(MATCH(C10,'Geoff Usage (2)'!$C$38:$C$500,0)))</f>
        <v>1</v>
      </c>
      <c r="J10" s="31" t="s">
        <v>888</v>
      </c>
      <c r="K10" s="31" t="s">
        <v>199</v>
      </c>
    </row>
    <row r="11" spans="1:11" x14ac:dyDescent="0.15">
      <c r="A11" s="16">
        <f t="shared" si="1"/>
        <v>10</v>
      </c>
      <c r="B11" s="3">
        <f ca="1">IFERROR(__xludf.DUMMYFUNCTION("""COMPUTED_VALUE"""),817)</f>
        <v>817</v>
      </c>
      <c r="C11" s="3" t="str">
        <f ca="1">IFERROR(__xludf.DUMMYFUNCTION("""COMPUTED_VALUE"""),"Seattle Seahawks")</f>
        <v>Seattle Seahawks</v>
      </c>
      <c r="D11" s="3" t="str">
        <f ca="1">IFERROR(__xludf.DUMMYFUNCTION("""COMPUTED_VALUE"""),"D/ST")</f>
        <v>D/ST</v>
      </c>
      <c r="E11" t="b">
        <f ca="1">NOT(ISERROR(MATCH(C11,'Geoff Usage (2)'!$C$38:$C$500,0)))</f>
        <v>0</v>
      </c>
      <c r="J11" s="31" t="s">
        <v>889</v>
      </c>
      <c r="K11" s="31" t="s">
        <v>904</v>
      </c>
    </row>
    <row r="12" spans="1:11" x14ac:dyDescent="0.15">
      <c r="A12" s="16">
        <f t="shared" si="1"/>
        <v>11</v>
      </c>
      <c r="B12" s="3">
        <f ca="1">IFERROR(__xludf.DUMMYFUNCTION("""COMPUTED_VALUE"""),158)</f>
        <v>158</v>
      </c>
      <c r="C12" s="3" t="str">
        <f ca="1">IFERROR(__xludf.DUMMYFUNCTION("""COMPUTED_VALUE"""),"Demetrius Harris")</f>
        <v>Demetrius Harris</v>
      </c>
      <c r="D12" s="3" t="str">
        <f ca="1">IFERROR(__xludf.DUMMYFUNCTION("""COMPUTED_VALUE"""),"TE")</f>
        <v>TE</v>
      </c>
      <c r="E12" t="b">
        <f ca="1">NOT(ISERROR(MATCH(C12,'Geoff Usage (2)'!$C$38:$C$500,0)))</f>
        <v>0</v>
      </c>
      <c r="J12" s="31" t="s">
        <v>890</v>
      </c>
      <c r="K12" s="31" t="s">
        <v>897</v>
      </c>
    </row>
    <row r="13" spans="1:11" x14ac:dyDescent="0.15">
      <c r="A13" s="16">
        <f t="shared" si="1"/>
        <v>12</v>
      </c>
      <c r="B13" s="3">
        <f ca="1">IFERROR(__xludf.DUMMYFUNCTION("""COMPUTED_VALUE"""),860)</f>
        <v>860</v>
      </c>
      <c r="C13" s="3" t="str">
        <f ca="1">IFERROR(__xludf.DUMMYFUNCTION("""COMPUTED_VALUE"""),"Joey Slye")</f>
        <v>Joey Slye</v>
      </c>
      <c r="D13" s="3" t="str">
        <f ca="1">IFERROR(__xludf.DUMMYFUNCTION("""COMPUTED_VALUE"""),"K")</f>
        <v>K</v>
      </c>
      <c r="E13" t="b">
        <f ca="1">NOT(ISERROR(MATCH(C13,'Geoff Usage (2)'!$C$38:$C$500,0)))</f>
        <v>1</v>
      </c>
      <c r="J13" s="31" t="s">
        <v>891</v>
      </c>
      <c r="K13" s="31" t="s">
        <v>903</v>
      </c>
    </row>
    <row r="14" spans="1:11" x14ac:dyDescent="0.15">
      <c r="A14" s="16">
        <f t="shared" si="1"/>
        <v>13</v>
      </c>
      <c r="B14" s="3">
        <f ca="1">IFERROR(__xludf.DUMMYFUNCTION("""COMPUTED_VALUE"""),838)</f>
        <v>838</v>
      </c>
      <c r="C14" s="3" t="str">
        <f ca="1">IFERROR(__xludf.DUMMYFUNCTION("""COMPUTED_VALUE"""),"Zane Gonzalez")</f>
        <v>Zane Gonzalez</v>
      </c>
      <c r="D14" s="3" t="str">
        <f ca="1">IFERROR(__xludf.DUMMYFUNCTION("""COMPUTED_VALUE"""),"K")</f>
        <v>K</v>
      </c>
      <c r="E14" t="b">
        <f ca="1">NOT(ISERROR(MATCH(C14,'Geoff Usage (2)'!$C$38:$C$500,0)))</f>
        <v>1</v>
      </c>
      <c r="J14" s="31" t="s">
        <v>892</v>
      </c>
      <c r="K14" s="31" t="s">
        <v>854</v>
      </c>
    </row>
    <row r="15" spans="1:11" x14ac:dyDescent="0.15">
      <c r="A15" s="16">
        <f t="shared" si="1"/>
        <v>14</v>
      </c>
      <c r="B15" s="3">
        <v>866</v>
      </c>
      <c r="C15" s="3" t="s">
        <v>902</v>
      </c>
      <c r="D15" s="3" t="s">
        <v>6</v>
      </c>
      <c r="E15" t="b">
        <f>NOT(ISERROR(MATCH(C15,'Geoff Usage (2)'!$C$38:$C$500,0)))</f>
        <v>0</v>
      </c>
      <c r="J15" s="33" t="s">
        <v>893</v>
      </c>
      <c r="K15" s="33" t="s">
        <v>832</v>
      </c>
    </row>
    <row r="16" spans="1:11" x14ac:dyDescent="0.15">
      <c r="A16" s="16">
        <f t="shared" si="1"/>
        <v>15</v>
      </c>
      <c r="B16" s="3">
        <f ca="1">IFERROR(__xludf.DUMMYFUNCTION("""COMPUTED_VALUE"""),719)</f>
        <v>719</v>
      </c>
      <c r="C16" s="3" t="str">
        <f ca="1">IFERROR(__xludf.DUMMYFUNCTION("""COMPUTED_VALUE"""),"Marquise Brown")</f>
        <v>Marquise Brown</v>
      </c>
      <c r="D16" s="3" t="str">
        <f ca="1">IFERROR(__xludf.DUMMYFUNCTION("""COMPUTED_VALUE"""),"WR")</f>
        <v>WR</v>
      </c>
      <c r="E16" t="b">
        <f ca="1">NOT(ISERROR(MATCH(C16,'Geoff Usage (2)'!$C$38:$C$500,0)))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IFERROR(__xludf.DUMMYFUNCTION("""COMPUTED_VALUE"""),166)</f>
        <v>166</v>
      </c>
      <c r="C17" s="3" t="str">
        <f ca="1">IFERROR(__xludf.DUMMYFUNCTION("""COMPUTED_VALUE"""),"Duke Johnson")</f>
        <v>Duke Johnson</v>
      </c>
      <c r="D17" s="3" t="str">
        <f ca="1">IFERROR(__xludf.DUMMYFUNCTION("""COMPUTED_VALUE"""),"RB")</f>
        <v>RB</v>
      </c>
      <c r="E17" t="b">
        <f ca="1">NOT(ISERROR(MATCH(C17,'Geoff Usage (2)'!$C$38:$C$500,0)))</f>
        <v>0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IFERROR(__xludf.DUMMYFUNCTION("""COMPUTED_VALUE"""),608)</f>
        <v>608</v>
      </c>
      <c r="C18" s="3" t="str">
        <f ca="1">IFERROR(__xludf.DUMMYFUNCTION("""COMPUTED_VALUE"""),"Mike Gesicki")</f>
        <v>Mike Gesicki</v>
      </c>
      <c r="D18" s="3" t="str">
        <f ca="1">IFERROR(__xludf.DUMMYFUNCTION("""COMPUTED_VALUE"""),"TE")</f>
        <v>TE</v>
      </c>
      <c r="E18" t="b">
        <f ca="1">NOT(ISERROR(MATCH(C18,'Geoff Usage (2)'!$C$38:$C$500,0)))</f>
        <v>0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IFERROR(__xludf.DUMMYFUNCTION("FILTER(All_Players!A2:C866, All_Players!C2:All_Players!C866= ""D/ST"")"),789)</f>
        <v>789</v>
      </c>
      <c r="C19" s="3" t="str">
        <f ca="1">IFERROR(__xludf.DUMMYFUNCTION("""COMPUTED_VALUE"""),"Arizona Cardinals")</f>
        <v>Arizona Cardinals</v>
      </c>
      <c r="D19" s="3" t="str">
        <f ca="1">IFERROR(__xludf.DUMMYFUNCTION("""COMPUTED_VALUE"""),"D/ST")</f>
        <v>D/ST</v>
      </c>
      <c r="E19" t="b">
        <f ca="1">NOT(ISERROR(MATCH(C19,'Geoff Usage (2)'!$C$38:$C$500,0)))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IFERROR(__xludf.DUMMYFUNCTION("""COMPUTED_VALUE"""),827)</f>
        <v>827</v>
      </c>
      <c r="C20" s="3" t="str">
        <f ca="1">IFERROR(__xludf.DUMMYFUNCTION("""COMPUTED_VALUE"""),"Matt Bryant")</f>
        <v>Matt Bryant</v>
      </c>
      <c r="D20" s="3" t="str">
        <f ca="1">IFERROR(__xludf.DUMMYFUNCTION("""COMPUTED_VALUE"""),"K")</f>
        <v>K</v>
      </c>
      <c r="E20" t="b">
        <f ca="1">NOT(ISERROR(MATCH(C20,'Geoff Usage (2)'!$C$38:$C$500,0)))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IFERROR(__xludf.DUMMYFUNCTION("""COMPUTED_VALUE"""),242)</f>
        <v>242</v>
      </c>
      <c r="C21" s="3" t="str">
        <f ca="1">IFERROR(__xludf.DUMMYFUNCTION("""COMPUTED_VALUE"""),"Kirk Cousins")</f>
        <v>Kirk Cousins</v>
      </c>
      <c r="D21" s="3" t="str">
        <f ca="1">IFERROR(__xludf.DUMMYFUNCTION("""COMPUTED_VALUE"""),"QB")</f>
        <v>QB</v>
      </c>
      <c r="E21" t="b">
        <f ca="1">NOT(ISERROR(MATCH(C21,'Geoff Usage (2)'!$C$38:$C$500,0)))</f>
        <v>1</v>
      </c>
      <c r="F21" s="21"/>
    </row>
    <row r="22" spans="1:12" x14ac:dyDescent="0.15">
      <c r="A22" s="32"/>
    </row>
    <row r="23" spans="1:12" x14ac:dyDescent="0.15">
      <c r="A23" s="32" t="s">
        <v>907</v>
      </c>
      <c r="B23" s="52" t="s">
        <v>909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</sheetData>
  <conditionalFormatting sqref="A24:C27 A5:A15 C16 C17:D17 B16:B21 C23">
    <cfRule type="expression" dxfId="3167" priority="169">
      <formula>E5=1</formula>
    </cfRule>
  </conditionalFormatting>
  <conditionalFormatting sqref="B24:C27 B12:B13 B3:B4 B9:C10 C13 C12:D12 B6:C6 D17 C16:C21 C23">
    <cfRule type="expression" dxfId="3166" priority="168">
      <formula>E3=1</formula>
    </cfRule>
  </conditionalFormatting>
  <conditionalFormatting sqref="C23:C27 D17:D21">
    <cfRule type="expression" dxfId="3165" priority="167">
      <formula>E17=1</formula>
    </cfRule>
  </conditionalFormatting>
  <conditionalFormatting sqref="H2">
    <cfRule type="expression" dxfId="3164" priority="165">
      <formula>$H$2&gt;=3</formula>
    </cfRule>
  </conditionalFormatting>
  <conditionalFormatting sqref="H3">
    <cfRule type="expression" dxfId="3163" priority="164">
      <formula>$H$3&gt;=4</formula>
    </cfRule>
  </conditionalFormatting>
  <conditionalFormatting sqref="H4">
    <cfRule type="expression" dxfId="3162" priority="163">
      <formula>$H$4&gt;=4</formula>
    </cfRule>
  </conditionalFormatting>
  <conditionalFormatting sqref="H5">
    <cfRule type="expression" dxfId="3161" priority="162">
      <formula>$H$5&gt;=3</formula>
    </cfRule>
  </conditionalFormatting>
  <conditionalFormatting sqref="H6">
    <cfRule type="expression" dxfId="3160" priority="161">
      <formula>$H$6&gt;=3</formula>
    </cfRule>
  </conditionalFormatting>
  <conditionalFormatting sqref="H7">
    <cfRule type="expression" dxfId="3159" priority="160">
      <formula>$H$7&gt;=3</formula>
    </cfRule>
  </conditionalFormatting>
  <conditionalFormatting sqref="D23">
    <cfRule type="expression" dxfId="3158" priority="141">
      <formula>H21=1</formula>
    </cfRule>
  </conditionalFormatting>
  <conditionalFormatting sqref="C3:C4 B14:C14">
    <cfRule type="expression" dxfId="3157" priority="140">
      <formula>E2=1</formula>
    </cfRule>
  </conditionalFormatting>
  <conditionalFormatting sqref="B2:C2">
    <cfRule type="expression" dxfId="3156" priority="87">
      <formula>F4=1</formula>
    </cfRule>
  </conditionalFormatting>
  <conditionalFormatting sqref="A2:A3 B15:C15 C18:D20">
    <cfRule type="expression" dxfId="3155" priority="170">
      <formula>E3=1</formula>
    </cfRule>
  </conditionalFormatting>
  <conditionalFormatting sqref="B3:C3">
    <cfRule type="expression" dxfId="3154" priority="96">
      <formula>F2=1</formula>
    </cfRule>
  </conditionalFormatting>
  <conditionalFormatting sqref="C3">
    <cfRule type="expression" dxfId="3153" priority="94">
      <formula>E3=1</formula>
    </cfRule>
  </conditionalFormatting>
  <conditionalFormatting sqref="B4:C4">
    <cfRule type="expression" dxfId="3152" priority="92">
      <formula>F3=1</formula>
    </cfRule>
  </conditionalFormatting>
  <conditionalFormatting sqref="C4">
    <cfRule type="expression" dxfId="3151" priority="90">
      <formula>E4=1</formula>
    </cfRule>
  </conditionalFormatting>
  <conditionalFormatting sqref="B7:C7">
    <cfRule type="expression" dxfId="3150" priority="83">
      <formula>F5=1</formula>
    </cfRule>
  </conditionalFormatting>
  <conditionalFormatting sqref="B7:B8 D23">
    <cfRule type="expression" dxfId="3149" priority="82">
      <formula>E5=1</formula>
    </cfRule>
  </conditionalFormatting>
  <conditionalFormatting sqref="C7">
    <cfRule type="expression" dxfId="3148" priority="81">
      <formula>E5=1</formula>
    </cfRule>
  </conditionalFormatting>
  <conditionalFormatting sqref="B8:C8">
    <cfRule type="expression" dxfId="3147" priority="79">
      <formula>F6=1</formula>
    </cfRule>
  </conditionalFormatting>
  <conditionalFormatting sqref="C8">
    <cfRule type="expression" dxfId="3146" priority="77">
      <formula>E6=1</formula>
    </cfRule>
  </conditionalFormatting>
  <conditionalFormatting sqref="B5:C5">
    <cfRule type="expression" dxfId="3145" priority="75">
      <formula>F7=1</formula>
    </cfRule>
  </conditionalFormatting>
  <conditionalFormatting sqref="C2 B5:C5">
    <cfRule type="expression" dxfId="3144" priority="74">
      <formula>E4=1</formula>
    </cfRule>
  </conditionalFormatting>
  <conditionalFormatting sqref="C5">
    <cfRule type="expression" dxfId="3143" priority="73">
      <formula>E7=1</formula>
    </cfRule>
  </conditionalFormatting>
  <conditionalFormatting sqref="B6:C6">
    <cfRule type="expression" dxfId="3142" priority="71">
      <formula>F6=1</formula>
    </cfRule>
  </conditionalFormatting>
  <conditionalFormatting sqref="C6">
    <cfRule type="expression" dxfId="3141" priority="69">
      <formula>E6=1</formula>
    </cfRule>
  </conditionalFormatting>
  <conditionalFormatting sqref="B9:C9">
    <cfRule type="expression" dxfId="3140" priority="67">
      <formula>F9=1</formula>
    </cfRule>
  </conditionalFormatting>
  <conditionalFormatting sqref="C9">
    <cfRule type="expression" dxfId="3139" priority="65">
      <formula>E9=1</formula>
    </cfRule>
  </conditionalFormatting>
  <conditionalFormatting sqref="B11:C11">
    <cfRule type="expression" dxfId="3138" priority="62">
      <formula>F17=1</formula>
    </cfRule>
  </conditionalFormatting>
  <conditionalFormatting sqref="C11">
    <cfRule type="expression" dxfId="3137" priority="61">
      <formula>F17=1</formula>
    </cfRule>
  </conditionalFormatting>
  <conditionalFormatting sqref="B10:C10">
    <cfRule type="expression" dxfId="3136" priority="58">
      <formula>F10=1</formula>
    </cfRule>
  </conditionalFormatting>
  <conditionalFormatting sqref="C10">
    <cfRule type="expression" dxfId="3135" priority="56">
      <formula>E10=1</formula>
    </cfRule>
  </conditionalFormatting>
  <conditionalFormatting sqref="C15 D18:D20">
    <cfRule type="expression" dxfId="3134" priority="53">
      <formula>F16=1</formula>
    </cfRule>
  </conditionalFormatting>
  <conditionalFormatting sqref="B13:C13">
    <cfRule type="expression" dxfId="3133" priority="50">
      <formula>F13=1</formula>
    </cfRule>
  </conditionalFormatting>
  <conditionalFormatting sqref="C13">
    <cfRule type="expression" dxfId="3132" priority="48">
      <formula>E13=1</formula>
    </cfRule>
  </conditionalFormatting>
  <conditionalFormatting sqref="B14:C14">
    <cfRule type="expression" dxfId="3131" priority="46">
      <formula>F13=1</formula>
    </cfRule>
  </conditionalFormatting>
  <conditionalFormatting sqref="C14">
    <cfRule type="expression" dxfId="3130" priority="44">
      <formula>E13=1</formula>
    </cfRule>
  </conditionalFormatting>
  <conditionalFormatting sqref="B12:D12">
    <cfRule type="expression" dxfId="3129" priority="34">
      <formula>F12=1</formula>
    </cfRule>
  </conditionalFormatting>
  <conditionalFormatting sqref="C12">
    <cfRule type="expression" dxfId="3128" priority="32">
      <formula>E12=1</formula>
    </cfRule>
  </conditionalFormatting>
  <conditionalFormatting sqref="D12">
    <cfRule type="expression" dxfId="3127" priority="31">
      <formula>E12=1</formula>
    </cfRule>
  </conditionalFormatting>
  <conditionalFormatting sqref="A20 A22 B16:B21">
    <cfRule type="expression" dxfId="3126" priority="242">
      <formula>#REF!=1</formula>
    </cfRule>
  </conditionalFormatting>
  <conditionalFormatting sqref="C7:C8">
    <cfRule type="expression" dxfId="3125" priority="251">
      <formula>F5=1</formula>
    </cfRule>
  </conditionalFormatting>
  <conditionalFormatting sqref="C2">
    <cfRule type="expression" dxfId="3124" priority="261">
      <formula>#REF!=1</formula>
    </cfRule>
  </conditionalFormatting>
  <conditionalFormatting sqref="A4 B15">
    <cfRule type="expression" dxfId="3123" priority="264">
      <formula>#REF!=1</formula>
    </cfRule>
  </conditionalFormatting>
  <conditionalFormatting sqref="B2">
    <cfRule type="expression" dxfId="3122" priority="267">
      <formula>#REF!=1</formula>
    </cfRule>
  </conditionalFormatting>
  <conditionalFormatting sqref="A16:A17">
    <cfRule type="expression" dxfId="3121" priority="269">
      <formula>F16=1</formula>
    </cfRule>
  </conditionalFormatting>
  <conditionalFormatting sqref="C16:C21">
    <cfRule type="expression" dxfId="3120" priority="273">
      <formula>#REF!=1</formula>
    </cfRule>
  </conditionalFormatting>
  <conditionalFormatting sqref="B11">
    <cfRule type="expression" dxfId="3119" priority="277">
      <formula>#REF!=1</formula>
    </cfRule>
  </conditionalFormatting>
  <conditionalFormatting sqref="C15">
    <cfRule type="expression" dxfId="3118" priority="282">
      <formula>#REF!=1</formula>
    </cfRule>
  </conditionalFormatting>
  <conditionalFormatting sqref="C11">
    <cfRule type="expression" dxfId="3117" priority="288">
      <formula>#REF!=1</formula>
    </cfRule>
  </conditionalFormatting>
  <conditionalFormatting sqref="C21:D21">
    <cfRule type="expression" dxfId="3116" priority="293">
      <formula>G18=1</formula>
    </cfRule>
  </conditionalFormatting>
  <conditionalFormatting sqref="D21">
    <cfRule type="expression" dxfId="3115" priority="295">
      <formula>G18=1</formula>
    </cfRule>
  </conditionalFormatting>
  <conditionalFormatting sqref="A21 A19">
    <cfRule type="expression" dxfId="3114" priority="309">
      <formula>F18=1</formula>
    </cfRule>
  </conditionalFormatting>
  <conditionalFormatting sqref="A18">
    <cfRule type="expression" dxfId="3113" priority="311">
      <formula>F21=1</formula>
    </cfRule>
  </conditionalFormatting>
  <conditionalFormatting sqref="A23:B23">
    <cfRule type="expression" dxfId="3112" priority="2">
      <formula>E23=1</formula>
    </cfRule>
  </conditionalFormatting>
  <conditionalFormatting sqref="B23">
    <cfRule type="expression" dxfId="3111" priority="1">
      <formula>E23=1</formula>
    </cfRule>
  </conditionalFormatting>
  <pageMargins left="0.7" right="0.7" top="0.75" bottom="0.75" header="0.3" footer="0.3"/>
  <pageSetup orientation="portrait" r:id="rId1"/>
  <customProperties>
    <customPr name="Gu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52EC-F953-404E-A1DE-06F890BA71EB}">
  <dimension ref="A1:M27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IFERROR(__xludf.DUMMYFUNCTION("""COMPUTED_VALUE"""),805)</f>
        <v>805</v>
      </c>
      <c r="C2" s="3" t="str">
        <f ca="1">IFERROR(__xludf.DUMMYFUNCTION("""COMPUTED_VALUE"""),"Los Angeles Chargers")</f>
        <v>Los Angeles Chargers</v>
      </c>
      <c r="D2" s="3" t="str">
        <f ca="1">IFERROR(__xludf.DUMMYFUNCTION("""COMPUTED_VALUE"""),"D/ST")</f>
        <v>D/ST</v>
      </c>
      <c r="E2" t="b">
        <f ca="1">NOT(ISERROR(MATCH(C2,'Keyur Usage'!$C$38:$C$500,0)))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129</v>
      </c>
      <c r="M2" s="21"/>
    </row>
    <row r="3" spans="1:13" x14ac:dyDescent="0.15">
      <c r="A3" s="16">
        <f>+A2+1</f>
        <v>2</v>
      </c>
      <c r="B3" s="3">
        <f ca="1">IFERROR(__xludf.DUMMYFUNCTION("""COMPUTED_VALUE"""),337)</f>
        <v>337</v>
      </c>
      <c r="C3" s="3" t="str">
        <f ca="1">IFERROR(__xludf.DUMMYFUNCTION("""COMPUTED_VALUE"""),"Philip Rivers")</f>
        <v>Philip Rivers</v>
      </c>
      <c r="D3" s="3" t="str">
        <f ca="1">IFERROR(__xludf.DUMMYFUNCTION("""COMPUTED_VALUE"""),"QB")</f>
        <v>QB</v>
      </c>
      <c r="E3" t="b">
        <f ca="1">NOT(ISERROR(MATCH(C3,'Keyur Usage'!$C$38:$C$500,0)))</f>
        <v>1</v>
      </c>
      <c r="G3" t="s">
        <v>8</v>
      </c>
      <c r="H3" s="26">
        <f t="shared" ca="1" si="0"/>
        <v>4</v>
      </c>
      <c r="J3" s="21" t="s">
        <v>881</v>
      </c>
      <c r="K3" s="21" t="s">
        <v>913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IFERROR(__xludf.DUMMYFUNCTION("""COMPUTED_VALUE"""),123)</f>
        <v>123</v>
      </c>
      <c r="C4" s="3" t="str">
        <f ca="1">IFERROR(__xludf.DUMMYFUNCTION("""COMPUTED_VALUE"""),"Case Keenum")</f>
        <v>Case Keenum</v>
      </c>
      <c r="D4" s="3" t="str">
        <f ca="1">IFERROR(__xludf.DUMMYFUNCTION("""COMPUTED_VALUE"""),"QB")</f>
        <v>QB</v>
      </c>
      <c r="E4" t="b">
        <f ca="1">NOT(ISERROR(MATCH(C5,'Keyur Usage'!$C$38:$C$500,0)))</f>
        <v>1</v>
      </c>
      <c r="G4" t="s">
        <v>6</v>
      </c>
      <c r="H4" s="26">
        <f t="shared" ca="1" si="0"/>
        <v>4</v>
      </c>
      <c r="J4" s="21" t="s">
        <v>882</v>
      </c>
      <c r="K4" s="30" t="s">
        <v>12</v>
      </c>
    </row>
    <row r="5" spans="1:13" x14ac:dyDescent="0.15">
      <c r="A5" s="16">
        <f t="shared" si="1"/>
        <v>4</v>
      </c>
      <c r="B5" s="3">
        <f ca="1">IFERROR(__xludf.DUMMYFUNCTION("""COMPUTED_VALUE"""),729)</f>
        <v>729</v>
      </c>
      <c r="C5" s="3" t="str">
        <f ca="1">IFERROR(__xludf.DUMMYFUNCTION("""COMPUTED_VALUE"""),"Terry McLaurin")</f>
        <v>Terry McLaurin</v>
      </c>
      <c r="D5" s="3" t="str">
        <f ca="1">IFERROR(__xludf.DUMMYFUNCTION("""COMPUTED_VALUE"""),"WR")</f>
        <v>WR</v>
      </c>
      <c r="E5" t="b">
        <f ca="1">NOT(ISERROR(MATCH(C6,'Keyur Usage'!$C$38:$C$500,0)))</f>
        <v>1</v>
      </c>
      <c r="G5" t="s">
        <v>4</v>
      </c>
      <c r="H5" s="26">
        <f t="shared" ca="1" si="0"/>
        <v>3</v>
      </c>
      <c r="J5" s="21" t="s">
        <v>883</v>
      </c>
      <c r="K5" s="30" t="s">
        <v>310</v>
      </c>
    </row>
    <row r="6" spans="1:13" x14ac:dyDescent="0.15">
      <c r="A6" s="16">
        <f t="shared" si="1"/>
        <v>5</v>
      </c>
      <c r="B6" s="3">
        <f ca="1">IFERROR(__xludf.DUMMYFUNCTION("""COMPUTED_VALUE"""),304)</f>
        <v>304</v>
      </c>
      <c r="C6" s="3" t="str">
        <f ca="1">IFERROR(__xludf.DUMMYFUNCTION("""COMPUTED_VALUE"""),"James Conner")</f>
        <v>James Conner</v>
      </c>
      <c r="D6" s="3" t="str">
        <f ca="1">IFERROR(__xludf.DUMMYFUNCTION("""COMPUTED_VALUE"""),"RB")</f>
        <v>RB</v>
      </c>
      <c r="E6" t="b">
        <f ca="1">NOT(ISERROR(MATCH(C7,'Keyur Usage'!$C$38:$C$500,0)))</f>
        <v>1</v>
      </c>
      <c r="G6" s="21" t="s">
        <v>782</v>
      </c>
      <c r="H6" s="26">
        <f t="shared" ca="1" si="0"/>
        <v>3</v>
      </c>
      <c r="J6" s="21" t="s">
        <v>884</v>
      </c>
      <c r="K6" s="30" t="s">
        <v>628</v>
      </c>
    </row>
    <row r="7" spans="1:13" x14ac:dyDescent="0.15">
      <c r="A7" s="16">
        <f t="shared" si="1"/>
        <v>6</v>
      </c>
      <c r="B7" s="3">
        <f ca="1">IFERROR(__xludf.DUMMYFUNCTION("""COMPUTED_VALUE"""),361)</f>
        <v>361</v>
      </c>
      <c r="C7" s="3" t="str">
        <f ca="1">IFERROR(__xludf.DUMMYFUNCTION("""COMPUTED_VALUE"""),"Mike Williams")</f>
        <v>Mike Williams</v>
      </c>
      <c r="D7" s="3" t="str">
        <f ca="1">IFERROR(__xludf.DUMMYFUNCTION("""COMPUTED_VALUE"""),"WR")</f>
        <v>WR</v>
      </c>
      <c r="E7" t="b">
        <f>NOT(ISERROR(MATCH(#REF!,'Keyur Usage'!$C$38:$C$500,0)))</f>
        <v>0</v>
      </c>
      <c r="G7" s="23" t="s">
        <v>815</v>
      </c>
      <c r="H7" s="27">
        <f t="shared" ca="1" si="0"/>
        <v>3</v>
      </c>
      <c r="J7" s="28" t="s">
        <v>885</v>
      </c>
      <c r="K7" s="30" t="s">
        <v>911</v>
      </c>
    </row>
    <row r="8" spans="1:13" x14ac:dyDescent="0.15">
      <c r="A8" s="16">
        <f t="shared" si="1"/>
        <v>7</v>
      </c>
      <c r="B8" s="3">
        <f ca="1">IFERROR(__xludf.DUMMYFUNCTION("""COMPUTED_VALUE"""),629)</f>
        <v>629</v>
      </c>
      <c r="C8" s="3" t="str">
        <f ca="1">IFERROR(__xludf.DUMMYFUNCTION("""COMPUTED_VALUE"""),"Darrel Williams")</f>
        <v>Darrel Williams</v>
      </c>
      <c r="D8" s="3" t="str">
        <f ca="1">IFERROR(__xludf.DUMMYFUNCTION("""COMPUTED_VALUE"""),"RB")</f>
        <v>RB</v>
      </c>
      <c r="E8" t="b">
        <f>NOT(ISERROR(MATCH(#REF!,'Keyur Usage'!$C$38:$C$500,0)))</f>
        <v>0</v>
      </c>
      <c r="J8" s="28" t="s">
        <v>886</v>
      </c>
      <c r="K8" s="31" t="s">
        <v>912</v>
      </c>
    </row>
    <row r="9" spans="1:13" x14ac:dyDescent="0.15">
      <c r="A9" s="16">
        <f t="shared" si="1"/>
        <v>8</v>
      </c>
      <c r="B9" s="3">
        <f ca="1">IFERROR(__xludf.DUMMYFUNCTION("""COMPUTED_VALUE"""),370)</f>
        <v>370</v>
      </c>
      <c r="C9" s="3" t="str">
        <f ca="1">IFERROR(__xludf.DUMMYFUNCTION("""COMPUTED_VALUE"""),"Sterling Shepard")</f>
        <v>Sterling Shepard</v>
      </c>
      <c r="D9" s="3" t="str">
        <f ca="1">IFERROR(__xludf.DUMMYFUNCTION("""COMPUTED_VALUE"""),"WR")</f>
        <v>WR</v>
      </c>
      <c r="E9" t="b">
        <f ca="1">NOT(ISERROR(MATCH(C19,'Keyur Usage'!$C$38:$C$500,0)))</f>
        <v>0</v>
      </c>
      <c r="J9" s="28" t="s">
        <v>887</v>
      </c>
      <c r="K9" s="31" t="s">
        <v>376</v>
      </c>
    </row>
    <row r="10" spans="1:13" x14ac:dyDescent="0.15">
      <c r="A10" s="16">
        <f t="shared" si="1"/>
        <v>9</v>
      </c>
      <c r="B10" s="3">
        <f ca="1">IFERROR(__xludf.DUMMYFUNCTION("""COMPUTED_VALUE"""),802)</f>
        <v>802</v>
      </c>
      <c r="C10" s="3" t="str">
        <f ca="1">IFERROR(__xludf.DUMMYFUNCTION("""COMPUTED_VALUE"""),"Indianapolis Colts")</f>
        <v>Indianapolis Colts</v>
      </c>
      <c r="D10" s="3" t="str">
        <f ca="1">IFERROR(__xludf.DUMMYFUNCTION("""COMPUTED_VALUE"""),"D/ST")</f>
        <v>D/ST</v>
      </c>
      <c r="E10" t="b">
        <f ca="1">NOT(ISERROR(MATCH(C10,'Keyur Usage'!$C$38:$C$500,0)))</f>
        <v>1</v>
      </c>
      <c r="J10" s="31" t="s">
        <v>888</v>
      </c>
      <c r="K10" s="31" t="s">
        <v>113</v>
      </c>
    </row>
    <row r="11" spans="1:13" x14ac:dyDescent="0.15">
      <c r="A11" s="16">
        <f t="shared" si="1"/>
        <v>10</v>
      </c>
      <c r="B11" s="3">
        <f ca="1">IFERROR(__xludf.DUMMYFUNCTION("""COMPUTED_VALUE"""),107)</f>
        <v>107</v>
      </c>
      <c r="C11" s="3" t="str">
        <f ca="1">IFERROR(__xludf.DUMMYFUNCTION("""COMPUTED_VALUE"""),"Gerald Everett")</f>
        <v>Gerald Everett</v>
      </c>
      <c r="D11" s="3" t="str">
        <f ca="1">IFERROR(__xludf.DUMMYFUNCTION("""COMPUTED_VALUE"""),"TE")</f>
        <v>TE</v>
      </c>
      <c r="E11" t="b">
        <f ca="1">NOT(ISERROR(MATCH(C11,'Keyur Usage'!$C$38:$C$500,0)))</f>
        <v>1</v>
      </c>
      <c r="J11" s="31" t="s">
        <v>889</v>
      </c>
      <c r="K11" s="31" t="s">
        <v>608</v>
      </c>
    </row>
    <row r="12" spans="1:13" x14ac:dyDescent="0.15">
      <c r="A12" s="16">
        <f t="shared" si="1"/>
        <v>11</v>
      </c>
      <c r="B12" s="3">
        <f ca="1">IFERROR(__xludf.DUMMYFUNCTION("""COMPUTED_VALUE"""),608)</f>
        <v>608</v>
      </c>
      <c r="C12" s="3" t="str">
        <f ca="1">IFERROR(__xludf.DUMMYFUNCTION("""COMPUTED_VALUE"""),"Mike Gesicki")</f>
        <v>Mike Gesicki</v>
      </c>
      <c r="D12" s="3" t="str">
        <f ca="1">IFERROR(__xludf.DUMMYFUNCTION("""COMPUTED_VALUE"""),"TE")</f>
        <v>TE</v>
      </c>
      <c r="E12" t="b">
        <f ca="1">NOT(ISERROR(MATCH(C12,'Keyur Usage'!$C$38:$C$500,0)))</f>
        <v>1</v>
      </c>
      <c r="J12" s="31" t="s">
        <v>890</v>
      </c>
      <c r="K12" s="31" t="s">
        <v>798</v>
      </c>
    </row>
    <row r="13" spans="1:13" x14ac:dyDescent="0.15">
      <c r="A13" s="16">
        <f t="shared" si="1"/>
        <v>12</v>
      </c>
      <c r="B13" s="3">
        <f ca="1">IFERROR(__xludf.DUMMYFUNCTION("""COMPUTED_VALUE"""),863)</f>
        <v>863</v>
      </c>
      <c r="C13" s="3" t="str">
        <f ca="1">IFERROR(__xludf.DUMMYFUNCTION("""COMPUTED_VALUE"""),"Adam Vinatieri")</f>
        <v>Adam Vinatieri</v>
      </c>
      <c r="D13" s="3" t="str">
        <f ca="1">IFERROR(__xludf.DUMMYFUNCTION("""COMPUTED_VALUE"""),"K")</f>
        <v>K</v>
      </c>
      <c r="E13" t="b">
        <f ca="1">NOT(ISERROR(MATCH(C13,'Keyur Usage'!$C$38:$C$500,0)))</f>
        <v>1</v>
      </c>
      <c r="J13" s="31" t="s">
        <v>891</v>
      </c>
      <c r="K13" s="31" t="s">
        <v>795</v>
      </c>
    </row>
    <row r="14" spans="1:13" x14ac:dyDescent="0.15">
      <c r="A14" s="16">
        <f t="shared" si="1"/>
        <v>13</v>
      </c>
      <c r="B14" s="3">
        <f ca="1">IFERROR(__xludf.DUMMYFUNCTION("""COMPUTED_VALUE"""),837)</f>
        <v>837</v>
      </c>
      <c r="C14" s="3" t="str">
        <f ca="1">IFERROR(__xludf.DUMMYFUNCTION("""COMPUTED_VALUE"""),"Matt Gay")</f>
        <v>Matt Gay</v>
      </c>
      <c r="D14" s="3" t="str">
        <f ca="1">IFERROR(__xludf.DUMMYFUNCTION("""COMPUTED_VALUE"""),"K")</f>
        <v>K</v>
      </c>
      <c r="E14" t="b">
        <f ca="1">NOT(ISERROR(MATCH(C14,'Keyur Usage'!$C$38:$C$500,0)))</f>
        <v>1</v>
      </c>
      <c r="J14" s="31" t="s">
        <v>892</v>
      </c>
      <c r="K14" s="31" t="s">
        <v>857</v>
      </c>
    </row>
    <row r="15" spans="1:13" x14ac:dyDescent="0.15">
      <c r="A15" s="16">
        <f t="shared" si="1"/>
        <v>14</v>
      </c>
      <c r="B15" s="3">
        <f ca="1">IFERROR(__xludf.DUMMYFUNCTION("""COMPUTED_VALUE"""),99)</f>
        <v>99</v>
      </c>
      <c r="C15" s="3" t="str">
        <f ca="1">IFERROR(__xludf.DUMMYFUNCTION("""COMPUTED_VALUE"""),"Andy Dalton")</f>
        <v>Andy Dalton</v>
      </c>
      <c r="D15" s="3" t="str">
        <f ca="1">IFERROR(__xludf.DUMMYFUNCTION("""COMPUTED_VALUE"""),"QB")</f>
        <v>QB</v>
      </c>
      <c r="E15" t="b">
        <f ca="1">NOT(ISERROR(MATCH(C15,'Keyur Usage'!$C$38:$C$500,0)))</f>
        <v>0</v>
      </c>
      <c r="J15" s="33" t="s">
        <v>893</v>
      </c>
      <c r="K15" s="33" t="s">
        <v>831</v>
      </c>
    </row>
    <row r="16" spans="1:13" x14ac:dyDescent="0.15">
      <c r="A16" s="16">
        <f t="shared" si="1"/>
        <v>15</v>
      </c>
      <c r="B16" s="3">
        <f ca="1">IFERROR(__xludf.DUMMYFUNCTION("""COMPUTED_VALUE"""),834)</f>
        <v>834</v>
      </c>
      <c r="C16" s="3" t="str">
        <f ca="1">IFERROR(__xludf.DUMMYFUNCTION("""COMPUTED_VALUE"""),"Ka'imi Fairbairn")</f>
        <v>Ka'imi Fairbairn</v>
      </c>
      <c r="D16" s="3" t="str">
        <f ca="1">IFERROR(__xludf.DUMMYFUNCTION("""COMPUTED_VALUE"""),"K")</f>
        <v>K</v>
      </c>
      <c r="E16" t="b">
        <f ca="1">NOT(ISERROR(MATCH(C16,'Keyur Usage'!$C$38:$C$500,0)))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IFERROR(__xludf.DUMMYFUNCTION("""COMPUTED_VALUE"""),790)</f>
        <v>790</v>
      </c>
      <c r="C17" s="3" t="str">
        <f ca="1">IFERROR(__xludf.DUMMYFUNCTION("""COMPUTED_VALUE"""),"Atlanta Falcons")</f>
        <v>Atlanta Falcons</v>
      </c>
      <c r="D17" s="3" t="str">
        <f ca="1">IFERROR(__xludf.DUMMYFUNCTION("""COMPUTED_VALUE"""),"D/ST")</f>
        <v>D/ST</v>
      </c>
      <c r="E17" t="b">
        <f ca="1">NOT(ISERROR(MATCH(C17,'Keyur Usage'!$C$38:$C$500,0)))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IFERROR(__xludf.DUMMYFUNCTION("""COMPUTED_VALUE"""),322)</f>
        <v>322</v>
      </c>
      <c r="C18" s="3" t="str">
        <f ca="1">IFERROR(__xludf.DUMMYFUNCTION("""COMPUTED_VALUE"""),"Tyler Boyd")</f>
        <v>Tyler Boyd</v>
      </c>
      <c r="D18" s="3" t="str">
        <f ca="1">IFERROR(__xludf.DUMMYFUNCTION("""COMPUTED_VALUE"""),"WR")</f>
        <v>WR</v>
      </c>
      <c r="E18" t="b">
        <f ca="1">NOT(ISERROR(MATCH(C18,'Keyur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IFERROR(__xludf.DUMMYFUNCTION("""COMPUTED_VALUE"""),441)</f>
        <v>441</v>
      </c>
      <c r="C19" s="3" t="str">
        <f ca="1">IFERROR(__xludf.DUMMYFUNCTION("""COMPUTED_VALUE"""),"Tyler Eifert")</f>
        <v>Tyler Eifert</v>
      </c>
      <c r="D19" s="3" t="str">
        <f ca="1">IFERROR(__xludf.DUMMYFUNCTION("""COMPUTED_VALUE"""),"TE")</f>
        <v>TE</v>
      </c>
      <c r="E19" t="b">
        <f>NOT(ISERROR(MATCH(#REF!,'Keyur Usage'!$C$38:$C$500,0)))</f>
        <v>0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IFERROR(__xludf.DUMMYFUNCTION("""COMPUTED_VALUE"""),7)</f>
        <v>7</v>
      </c>
      <c r="C20" s="3" t="str">
        <f ca="1">IFERROR(__xludf.DUMMYFUNCTION("""COMPUTED_VALUE"""),"Austin Ekeler")</f>
        <v>Austin Ekeler</v>
      </c>
      <c r="D20" s="3" t="str">
        <f ca="1">IFERROR(__xludf.DUMMYFUNCTION("""COMPUTED_VALUE"""),"RB")</f>
        <v>RB</v>
      </c>
      <c r="E20" t="b">
        <f ca="1">NOT(ISERROR(MATCH(C20,'Keyur Usage'!$C$38:$C$500,0)))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IFERROR(__xludf.DUMMYFUNCTION("""COMPUTED_VALUE"""),127)</f>
        <v>127</v>
      </c>
      <c r="C21" s="3" t="str">
        <f ca="1">IFERROR(__xludf.DUMMYFUNCTION("""COMPUTED_VALUE"""),"Chris Thompson")</f>
        <v>Chris Thompson</v>
      </c>
      <c r="D21" s="3" t="str">
        <f ca="1">IFERROR(__xludf.DUMMYFUNCTION("""COMPUTED_VALUE"""),"RB")</f>
        <v>RB</v>
      </c>
      <c r="E21" t="b">
        <f ca="1">NOT(ISERROR(MATCH(C21,'Keyur Usage'!$C$38:$C$500,0)))</f>
        <v>0</v>
      </c>
      <c r="F21" s="21"/>
    </row>
    <row r="22" spans="1:12" x14ac:dyDescent="0.15">
      <c r="A22" s="32"/>
    </row>
    <row r="23" spans="1:12" x14ac:dyDescent="0.15">
      <c r="A23" s="32" t="s">
        <v>907</v>
      </c>
      <c r="B23" s="52" t="s">
        <v>910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</sheetData>
  <conditionalFormatting sqref="A24:C27 A5:A15 C23">
    <cfRule type="expression" dxfId="3110" priority="337">
      <formula>E5=1</formula>
    </cfRule>
  </conditionalFormatting>
  <conditionalFormatting sqref="B24:C27 C23">
    <cfRule type="expression" dxfId="3109" priority="336">
      <formula>E23=1</formula>
    </cfRule>
  </conditionalFormatting>
  <conditionalFormatting sqref="C23:C27">
    <cfRule type="expression" dxfId="3108" priority="335">
      <formula>E23=1</formula>
    </cfRule>
  </conditionalFormatting>
  <conditionalFormatting sqref="H2">
    <cfRule type="expression" dxfId="3107" priority="334">
      <formula>$H$2&gt;=3</formula>
    </cfRule>
  </conditionalFormatting>
  <conditionalFormatting sqref="H3">
    <cfRule type="expression" dxfId="3106" priority="333">
      <formula>$H$3&gt;=4</formula>
    </cfRule>
  </conditionalFormatting>
  <conditionalFormatting sqref="H4">
    <cfRule type="expression" dxfId="3105" priority="332">
      <formula>$H$4&gt;=4</formula>
    </cfRule>
  </conditionalFormatting>
  <conditionalFormatting sqref="H5">
    <cfRule type="expression" dxfId="3104" priority="331">
      <formula>$H$5&gt;=3</formula>
    </cfRule>
  </conditionalFormatting>
  <conditionalFormatting sqref="H6">
    <cfRule type="expression" dxfId="3103" priority="330">
      <formula>$H$6&gt;=3</formula>
    </cfRule>
  </conditionalFormatting>
  <conditionalFormatting sqref="H7">
    <cfRule type="expression" dxfId="3102" priority="329">
      <formula>$H$7&gt;=3</formula>
    </cfRule>
  </conditionalFormatting>
  <conditionalFormatting sqref="D23">
    <cfRule type="expression" dxfId="3101" priority="328">
      <formula>H21=1</formula>
    </cfRule>
  </conditionalFormatting>
  <conditionalFormatting sqref="A2:A3">
    <cfRule type="expression" dxfId="3100" priority="338">
      <formula>E3=1</formula>
    </cfRule>
  </conditionalFormatting>
  <conditionalFormatting sqref="D23">
    <cfRule type="expression" dxfId="3099" priority="320">
      <formula>G21=1</formula>
    </cfRule>
  </conditionalFormatting>
  <conditionalFormatting sqref="A20 A22">
    <cfRule type="expression" dxfId="3098" priority="339">
      <formula>#REF!=1</formula>
    </cfRule>
  </conditionalFormatting>
  <conditionalFormatting sqref="A4">
    <cfRule type="expression" dxfId="3097" priority="342">
      <formula>#REF!=1</formula>
    </cfRule>
  </conditionalFormatting>
  <conditionalFormatting sqref="A16:A17">
    <cfRule type="expression" dxfId="3096" priority="344">
      <formula>F16=1</formula>
    </cfRule>
  </conditionalFormatting>
  <conditionalFormatting sqref="A21 A19">
    <cfRule type="expression" dxfId="3095" priority="351">
      <formula>F18=1</formula>
    </cfRule>
  </conditionalFormatting>
  <conditionalFormatting sqref="A18">
    <cfRule type="expression" dxfId="3094" priority="352">
      <formula>F21=1</formula>
    </cfRule>
  </conditionalFormatting>
  <conditionalFormatting sqref="A23:B23">
    <cfRule type="expression" dxfId="3093" priority="297">
      <formula>E23=1</formula>
    </cfRule>
  </conditionalFormatting>
  <conditionalFormatting sqref="B23">
    <cfRule type="expression" dxfId="3092" priority="296">
      <formula>E23=1</formula>
    </cfRule>
  </conditionalFormatting>
  <conditionalFormatting sqref="C2">
    <cfRule type="expression" dxfId="3091" priority="280">
      <formula>G2=1</formula>
    </cfRule>
  </conditionalFormatting>
  <conditionalFormatting sqref="B2 D2">
    <cfRule type="expression" dxfId="3090" priority="279">
      <formula>E2=1</formula>
    </cfRule>
  </conditionalFormatting>
  <conditionalFormatting sqref="C2">
    <cfRule type="expression" dxfId="3089" priority="278">
      <formula>E2=1</formula>
    </cfRule>
  </conditionalFormatting>
  <conditionalFormatting sqref="D2">
    <cfRule type="expression" dxfId="3088" priority="277">
      <formula>E2=1</formula>
    </cfRule>
  </conditionalFormatting>
  <conditionalFormatting sqref="D2">
    <cfRule type="expression" dxfId="3087" priority="281">
      <formula>#REF!=1</formula>
    </cfRule>
  </conditionalFormatting>
  <conditionalFormatting sqref="B2">
    <cfRule type="expression" dxfId="3086" priority="282">
      <formula>F1048575=1</formula>
    </cfRule>
  </conditionalFormatting>
  <conditionalFormatting sqref="C2">
    <cfRule type="expression" dxfId="3085" priority="283">
      <formula>F1048575=1</formula>
    </cfRule>
  </conditionalFormatting>
  <conditionalFormatting sqref="D5">
    <cfRule type="expression" dxfId="3084" priority="273">
      <formula>E4=1</formula>
    </cfRule>
  </conditionalFormatting>
  <conditionalFormatting sqref="B5:D5">
    <cfRule type="expression" dxfId="3083" priority="276">
      <formula>F4=1</formula>
    </cfRule>
  </conditionalFormatting>
  <conditionalFormatting sqref="B5:D5">
    <cfRule type="expression" dxfId="3082" priority="275">
      <formula>E4=1</formula>
    </cfRule>
  </conditionalFormatting>
  <conditionalFormatting sqref="C5">
    <cfRule type="expression" dxfId="3081" priority="274">
      <formula>E4=1</formula>
    </cfRule>
  </conditionalFormatting>
  <conditionalFormatting sqref="B20">
    <cfRule type="expression" dxfId="3080" priority="258">
      <formula>F20=1</formula>
    </cfRule>
  </conditionalFormatting>
  <conditionalFormatting sqref="C20">
    <cfRule type="expression" dxfId="3079" priority="257">
      <formula>F20=1</formula>
    </cfRule>
  </conditionalFormatting>
  <conditionalFormatting sqref="D20">
    <cfRule type="expression" dxfId="3078" priority="256">
      <formula>F20=1</formula>
    </cfRule>
  </conditionalFormatting>
  <conditionalFormatting sqref="B20">
    <cfRule type="expression" dxfId="3077" priority="259">
      <formula>#REF!=1</formula>
    </cfRule>
  </conditionalFormatting>
  <conditionalFormatting sqref="C20">
    <cfRule type="expression" dxfId="3076" priority="260">
      <formula>#REF!=1</formula>
    </cfRule>
  </conditionalFormatting>
  <conditionalFormatting sqref="B20:D20">
    <cfRule type="expression" dxfId="3075" priority="255">
      <formula>F2=1</formula>
    </cfRule>
  </conditionalFormatting>
  <conditionalFormatting sqref="B20:D20">
    <cfRule type="expression" dxfId="3074" priority="254">
      <formula>E2=1</formula>
    </cfRule>
  </conditionalFormatting>
  <conditionalFormatting sqref="C20">
    <cfRule type="expression" dxfId="3073" priority="253">
      <formula>E2=1</formula>
    </cfRule>
  </conditionalFormatting>
  <conditionalFormatting sqref="D20">
    <cfRule type="expression" dxfId="3072" priority="252">
      <formula>E2=1</formula>
    </cfRule>
  </conditionalFormatting>
  <conditionalFormatting sqref="D7">
    <cfRule type="expression" dxfId="3071" priority="240">
      <formula>E6=1</formula>
    </cfRule>
  </conditionalFormatting>
  <conditionalFormatting sqref="B7:D7">
    <cfRule type="expression" dxfId="3070" priority="243">
      <formula>F6=1</formula>
    </cfRule>
  </conditionalFormatting>
  <conditionalFormatting sqref="B7:D7">
    <cfRule type="expression" dxfId="3069" priority="242">
      <formula>E6=1</formula>
    </cfRule>
  </conditionalFormatting>
  <conditionalFormatting sqref="C7">
    <cfRule type="expression" dxfId="3068" priority="241">
      <formula>E6=1</formula>
    </cfRule>
  </conditionalFormatting>
  <conditionalFormatting sqref="B4:D4">
    <cfRule type="expression" dxfId="3067" priority="239">
      <formula>F4=1</formula>
    </cfRule>
  </conditionalFormatting>
  <conditionalFormatting sqref="B4:D4">
    <cfRule type="expression" dxfId="3066" priority="238">
      <formula>E4=1</formula>
    </cfRule>
  </conditionalFormatting>
  <conditionalFormatting sqref="C4">
    <cfRule type="expression" dxfId="3065" priority="237">
      <formula>E4=1</formula>
    </cfRule>
  </conditionalFormatting>
  <conditionalFormatting sqref="D4">
    <cfRule type="expression" dxfId="3064" priority="236">
      <formula>E4=1</formula>
    </cfRule>
  </conditionalFormatting>
  <conditionalFormatting sqref="B9:C9">
    <cfRule type="expression" dxfId="3063" priority="230">
      <formula>F4=1</formula>
    </cfRule>
  </conditionalFormatting>
  <conditionalFormatting sqref="B9:D9">
    <cfRule type="expression" dxfId="3062" priority="229">
      <formula>E4=1</formula>
    </cfRule>
  </conditionalFormatting>
  <conditionalFormatting sqref="C9">
    <cfRule type="expression" dxfId="3061" priority="228">
      <formula>E4=1</formula>
    </cfRule>
  </conditionalFormatting>
  <conditionalFormatting sqref="D9">
    <cfRule type="expression" dxfId="3060" priority="227">
      <formula>E4=1</formula>
    </cfRule>
  </conditionalFormatting>
  <conditionalFormatting sqref="D9">
    <cfRule type="expression" dxfId="3059" priority="231">
      <formula>H3=1</formula>
    </cfRule>
  </conditionalFormatting>
  <conditionalFormatting sqref="B6:D6">
    <cfRule type="expression" dxfId="3058" priority="222">
      <formula>F6=1</formula>
    </cfRule>
  </conditionalFormatting>
  <conditionalFormatting sqref="B6:D6">
    <cfRule type="expression" dxfId="3057" priority="221">
      <formula>E6=1</formula>
    </cfRule>
  </conditionalFormatting>
  <conditionalFormatting sqref="C6">
    <cfRule type="expression" dxfId="3056" priority="220">
      <formula>E6=1</formula>
    </cfRule>
  </conditionalFormatting>
  <conditionalFormatting sqref="D6">
    <cfRule type="expression" dxfId="3055" priority="219">
      <formula>E6=1</formula>
    </cfRule>
  </conditionalFormatting>
  <conditionalFormatting sqref="B4:D4">
    <cfRule type="expression" dxfId="3054" priority="202">
      <formula>F4=1</formula>
    </cfRule>
  </conditionalFormatting>
  <conditionalFormatting sqref="B4:D4">
    <cfRule type="expression" dxfId="3053" priority="201">
      <formula>E4=1</formula>
    </cfRule>
  </conditionalFormatting>
  <conditionalFormatting sqref="C4">
    <cfRule type="expression" dxfId="3052" priority="200">
      <formula>E4=1</formula>
    </cfRule>
  </conditionalFormatting>
  <conditionalFormatting sqref="D4">
    <cfRule type="expression" dxfId="3051" priority="199">
      <formula>E4=1</formula>
    </cfRule>
  </conditionalFormatting>
  <conditionalFormatting sqref="D6">
    <cfRule type="expression" dxfId="3050" priority="195">
      <formula>E5=1</formula>
    </cfRule>
  </conditionalFormatting>
  <conditionalFormatting sqref="B6:D6">
    <cfRule type="expression" dxfId="3049" priority="198">
      <formula>F5=1</formula>
    </cfRule>
  </conditionalFormatting>
  <conditionalFormatting sqref="B6:D6">
    <cfRule type="expression" dxfId="3048" priority="197">
      <formula>E5=1</formula>
    </cfRule>
  </conditionalFormatting>
  <conditionalFormatting sqref="C6">
    <cfRule type="expression" dxfId="3047" priority="196">
      <formula>E5=1</formula>
    </cfRule>
  </conditionalFormatting>
  <conditionalFormatting sqref="B5:D5">
    <cfRule type="expression" dxfId="3046" priority="190">
      <formula>F5=1</formula>
    </cfRule>
  </conditionalFormatting>
  <conditionalFormatting sqref="B5:D5">
    <cfRule type="expression" dxfId="3045" priority="189">
      <formula>E5=1</formula>
    </cfRule>
  </conditionalFormatting>
  <conditionalFormatting sqref="C5">
    <cfRule type="expression" dxfId="3044" priority="188">
      <formula>E5=1</formula>
    </cfRule>
  </conditionalFormatting>
  <conditionalFormatting sqref="D5">
    <cfRule type="expression" dxfId="3043" priority="187">
      <formula>E5=1</formula>
    </cfRule>
  </conditionalFormatting>
  <conditionalFormatting sqref="B7:D7">
    <cfRule type="expression" dxfId="3042" priority="181">
      <formula>F7=1</formula>
    </cfRule>
  </conditionalFormatting>
  <conditionalFormatting sqref="B7:D7">
    <cfRule type="expression" dxfId="3041" priority="180">
      <formula>E7=1</formula>
    </cfRule>
  </conditionalFormatting>
  <conditionalFormatting sqref="C7">
    <cfRule type="expression" dxfId="3040" priority="179">
      <formula>E7=1</formula>
    </cfRule>
  </conditionalFormatting>
  <conditionalFormatting sqref="D7">
    <cfRule type="expression" dxfId="3039" priority="178">
      <formula>E7=1</formula>
    </cfRule>
  </conditionalFormatting>
  <conditionalFormatting sqref="D9">
    <cfRule type="expression" dxfId="3038" priority="174">
      <formula>E9=1</formula>
    </cfRule>
  </conditionalFormatting>
  <conditionalFormatting sqref="B9:D9">
    <cfRule type="expression" dxfId="3037" priority="177">
      <formula>F9=1</formula>
    </cfRule>
  </conditionalFormatting>
  <conditionalFormatting sqref="B9:D9">
    <cfRule type="expression" dxfId="3036" priority="176">
      <formula>E9=1</formula>
    </cfRule>
  </conditionalFormatting>
  <conditionalFormatting sqref="C9">
    <cfRule type="expression" dxfId="3035" priority="175">
      <formula>E9=1</formula>
    </cfRule>
  </conditionalFormatting>
  <conditionalFormatting sqref="D3">
    <cfRule type="expression" dxfId="3034" priority="170">
      <formula>E2=1</formula>
    </cfRule>
  </conditionalFormatting>
  <conditionalFormatting sqref="B3:D3">
    <cfRule type="expression" dxfId="3033" priority="173">
      <formula>F2=1</formula>
    </cfRule>
  </conditionalFormatting>
  <conditionalFormatting sqref="B3:D3">
    <cfRule type="expression" dxfId="3032" priority="172">
      <formula>E2=1</formula>
    </cfRule>
  </conditionalFormatting>
  <conditionalFormatting sqref="C3">
    <cfRule type="expression" dxfId="3031" priority="171">
      <formula>E2=1</formula>
    </cfRule>
  </conditionalFormatting>
  <conditionalFormatting sqref="B3:D3">
    <cfRule type="expression" dxfId="3030" priority="169">
      <formula>F3=1</formula>
    </cfRule>
  </conditionalFormatting>
  <conditionalFormatting sqref="B3:D3">
    <cfRule type="expression" dxfId="3029" priority="168">
      <formula>E3=1</formula>
    </cfRule>
  </conditionalFormatting>
  <conditionalFormatting sqref="C3">
    <cfRule type="expression" dxfId="3028" priority="167">
      <formula>E3=1</formula>
    </cfRule>
  </conditionalFormatting>
  <conditionalFormatting sqref="D3">
    <cfRule type="expression" dxfId="3027" priority="166">
      <formula>E3=1</formula>
    </cfRule>
  </conditionalFormatting>
  <conditionalFormatting sqref="B9:C9">
    <cfRule type="expression" dxfId="3026" priority="165">
      <formula>E9=1</formula>
    </cfRule>
  </conditionalFormatting>
  <conditionalFormatting sqref="B9:C9">
    <cfRule type="expression" dxfId="3025" priority="164">
      <formula>F9=1</formula>
    </cfRule>
  </conditionalFormatting>
  <conditionalFormatting sqref="C9">
    <cfRule type="expression" dxfId="3024" priority="163">
      <formula>E9=1</formula>
    </cfRule>
  </conditionalFormatting>
  <conditionalFormatting sqref="D6">
    <cfRule type="expression" dxfId="3023" priority="159">
      <formula>E5=1</formula>
    </cfRule>
  </conditionalFormatting>
  <conditionalFormatting sqref="B6:D6">
    <cfRule type="expression" dxfId="3022" priority="162">
      <formula>F5=1</formula>
    </cfRule>
  </conditionalFormatting>
  <conditionalFormatting sqref="B6:D6">
    <cfRule type="expression" dxfId="3021" priority="161">
      <formula>E5=1</formula>
    </cfRule>
  </conditionalFormatting>
  <conditionalFormatting sqref="C6">
    <cfRule type="expression" dxfId="3020" priority="160">
      <formula>E5=1</formula>
    </cfRule>
  </conditionalFormatting>
  <conditionalFormatting sqref="B5:D5">
    <cfRule type="expression" dxfId="3019" priority="153">
      <formula>F5=1</formula>
    </cfRule>
  </conditionalFormatting>
  <conditionalFormatting sqref="B5:D5">
    <cfRule type="expression" dxfId="3018" priority="152">
      <formula>E5=1</formula>
    </cfRule>
  </conditionalFormatting>
  <conditionalFormatting sqref="C5">
    <cfRule type="expression" dxfId="3017" priority="151">
      <formula>E5=1</formula>
    </cfRule>
  </conditionalFormatting>
  <conditionalFormatting sqref="D5">
    <cfRule type="expression" dxfId="3016" priority="150">
      <formula>E5=1</formula>
    </cfRule>
  </conditionalFormatting>
  <conditionalFormatting sqref="D7">
    <cfRule type="expression" dxfId="3015" priority="146">
      <formula>E7=1</formula>
    </cfRule>
  </conditionalFormatting>
  <conditionalFormatting sqref="B7:D7">
    <cfRule type="expression" dxfId="3014" priority="149">
      <formula>F7=1</formula>
    </cfRule>
  </conditionalFormatting>
  <conditionalFormatting sqref="B7:D7">
    <cfRule type="expression" dxfId="3013" priority="148">
      <formula>E7=1</formula>
    </cfRule>
  </conditionalFormatting>
  <conditionalFormatting sqref="C7">
    <cfRule type="expression" dxfId="3012" priority="147">
      <formula>E7=1</formula>
    </cfRule>
  </conditionalFormatting>
  <conditionalFormatting sqref="D5">
    <cfRule type="expression" dxfId="3011" priority="142">
      <formula>E4=1</formula>
    </cfRule>
  </conditionalFormatting>
  <conditionalFormatting sqref="B5:D5">
    <cfRule type="expression" dxfId="3010" priority="145">
      <formula>F4=1</formula>
    </cfRule>
  </conditionalFormatting>
  <conditionalFormatting sqref="B5:D5">
    <cfRule type="expression" dxfId="3009" priority="144">
      <formula>E4=1</formula>
    </cfRule>
  </conditionalFormatting>
  <conditionalFormatting sqref="C5">
    <cfRule type="expression" dxfId="3008" priority="143">
      <formula>E4=1</formula>
    </cfRule>
  </conditionalFormatting>
  <conditionalFormatting sqref="D7">
    <cfRule type="expression" dxfId="3007" priority="138">
      <formula>E6=1</formula>
    </cfRule>
  </conditionalFormatting>
  <conditionalFormatting sqref="B7:D7">
    <cfRule type="expression" dxfId="3006" priority="141">
      <formula>F6=1</formula>
    </cfRule>
  </conditionalFormatting>
  <conditionalFormatting sqref="B7:D7">
    <cfRule type="expression" dxfId="3005" priority="140">
      <formula>E6=1</formula>
    </cfRule>
  </conditionalFormatting>
  <conditionalFormatting sqref="C7">
    <cfRule type="expression" dxfId="3004" priority="139">
      <formula>E6=1</formula>
    </cfRule>
  </conditionalFormatting>
  <conditionalFormatting sqref="B9:C9">
    <cfRule type="expression" dxfId="3003" priority="136">
      <formula>F4=1</formula>
    </cfRule>
  </conditionalFormatting>
  <conditionalFormatting sqref="B9:D9">
    <cfRule type="expression" dxfId="3002" priority="135">
      <formula>E4=1</formula>
    </cfRule>
  </conditionalFormatting>
  <conditionalFormatting sqref="C9">
    <cfRule type="expression" dxfId="3001" priority="134">
      <formula>E4=1</formula>
    </cfRule>
  </conditionalFormatting>
  <conditionalFormatting sqref="D9">
    <cfRule type="expression" dxfId="3000" priority="133">
      <formula>E4=1</formula>
    </cfRule>
  </conditionalFormatting>
  <conditionalFormatting sqref="D9">
    <cfRule type="expression" dxfId="2999" priority="137">
      <formula>H3=1</formula>
    </cfRule>
  </conditionalFormatting>
  <conditionalFormatting sqref="B6:D6">
    <cfRule type="expression" dxfId="2998" priority="132">
      <formula>F6=1</formula>
    </cfRule>
  </conditionalFormatting>
  <conditionalFormatting sqref="B6:D6">
    <cfRule type="expression" dxfId="2997" priority="131">
      <formula>E6=1</formula>
    </cfRule>
  </conditionalFormatting>
  <conditionalFormatting sqref="C6">
    <cfRule type="expression" dxfId="2996" priority="130">
      <formula>E6=1</formula>
    </cfRule>
  </conditionalFormatting>
  <conditionalFormatting sqref="D6">
    <cfRule type="expression" dxfId="2995" priority="129">
      <formula>E6=1</formula>
    </cfRule>
  </conditionalFormatting>
  <conditionalFormatting sqref="B11:D11">
    <cfRule type="expression" dxfId="2994" priority="120">
      <formula>F11=1</formula>
    </cfRule>
  </conditionalFormatting>
  <conditionalFormatting sqref="B11:D11">
    <cfRule type="expression" dxfId="2993" priority="119">
      <formula>E11=1</formula>
    </cfRule>
  </conditionalFormatting>
  <conditionalFormatting sqref="C11">
    <cfRule type="expression" dxfId="2992" priority="118">
      <formula>E11=1</formula>
    </cfRule>
  </conditionalFormatting>
  <conditionalFormatting sqref="D11">
    <cfRule type="expression" dxfId="2991" priority="117">
      <formula>E11=1</formula>
    </cfRule>
  </conditionalFormatting>
  <conditionalFormatting sqref="B12:D12">
    <cfRule type="expression" dxfId="2990" priority="116">
      <formula>F12=1</formula>
    </cfRule>
  </conditionalFormatting>
  <conditionalFormatting sqref="B12:D12">
    <cfRule type="expression" dxfId="2989" priority="115">
      <formula>E12=1</formula>
    </cfRule>
  </conditionalFormatting>
  <conditionalFormatting sqref="C12">
    <cfRule type="expression" dxfId="2988" priority="114">
      <formula>E12=1</formula>
    </cfRule>
  </conditionalFormatting>
  <conditionalFormatting sqref="D12">
    <cfRule type="expression" dxfId="2987" priority="113">
      <formula>E12=1</formula>
    </cfRule>
  </conditionalFormatting>
  <conditionalFormatting sqref="B9:D9">
    <cfRule type="expression" dxfId="2986" priority="82">
      <formula>F9=1</formula>
    </cfRule>
  </conditionalFormatting>
  <conditionalFormatting sqref="B9:D9">
    <cfRule type="expression" dxfId="2985" priority="81">
      <formula>E9=1</formula>
    </cfRule>
  </conditionalFormatting>
  <conditionalFormatting sqref="C9">
    <cfRule type="expression" dxfId="2984" priority="80">
      <formula>E9=1</formula>
    </cfRule>
  </conditionalFormatting>
  <conditionalFormatting sqref="D9">
    <cfRule type="expression" dxfId="2983" priority="79">
      <formula>E9=1</formula>
    </cfRule>
  </conditionalFormatting>
  <conditionalFormatting sqref="D9">
    <cfRule type="expression" dxfId="2982" priority="104">
      <formula>E9=1</formula>
    </cfRule>
  </conditionalFormatting>
  <conditionalFormatting sqref="B9:D9">
    <cfRule type="expression" dxfId="2981" priority="107">
      <formula>F9=1</formula>
    </cfRule>
  </conditionalFormatting>
  <conditionalFormatting sqref="B9:D9">
    <cfRule type="expression" dxfId="2980" priority="106">
      <formula>E9=1</formula>
    </cfRule>
  </conditionalFormatting>
  <conditionalFormatting sqref="C9">
    <cfRule type="expression" dxfId="2979" priority="105">
      <formula>E9=1</formula>
    </cfRule>
  </conditionalFormatting>
  <conditionalFormatting sqref="D9">
    <cfRule type="expression" dxfId="2978" priority="100">
      <formula>E8=1</formula>
    </cfRule>
  </conditionalFormatting>
  <conditionalFormatting sqref="B9:D9">
    <cfRule type="expression" dxfId="2977" priority="103">
      <formula>F8=1</formula>
    </cfRule>
  </conditionalFormatting>
  <conditionalFormatting sqref="B9:D9">
    <cfRule type="expression" dxfId="2976" priority="102">
      <formula>E8=1</formula>
    </cfRule>
  </conditionalFormatting>
  <conditionalFormatting sqref="C9">
    <cfRule type="expression" dxfId="2975" priority="101">
      <formula>E8=1</formula>
    </cfRule>
  </conditionalFormatting>
  <conditionalFormatting sqref="B9:C9">
    <cfRule type="expression" dxfId="2974" priority="91">
      <formula>F4=1</formula>
    </cfRule>
  </conditionalFormatting>
  <conditionalFormatting sqref="B9:D9">
    <cfRule type="expression" dxfId="2973" priority="90">
      <formula>E4=1</formula>
    </cfRule>
  </conditionalFormatting>
  <conditionalFormatting sqref="C9">
    <cfRule type="expression" dxfId="2972" priority="89">
      <formula>E4=1</formula>
    </cfRule>
  </conditionalFormatting>
  <conditionalFormatting sqref="D9">
    <cfRule type="expression" dxfId="2971" priority="88">
      <formula>E4=1</formula>
    </cfRule>
  </conditionalFormatting>
  <conditionalFormatting sqref="D9">
    <cfRule type="expression" dxfId="2970" priority="92">
      <formula>H3=1</formula>
    </cfRule>
  </conditionalFormatting>
  <conditionalFormatting sqref="D11">
    <cfRule type="expression" dxfId="2969" priority="75">
      <formula>E11=1</formula>
    </cfRule>
  </conditionalFormatting>
  <conditionalFormatting sqref="B11:D11">
    <cfRule type="expression" dxfId="2968" priority="78">
      <formula>F11=1</formula>
    </cfRule>
  </conditionalFormatting>
  <conditionalFormatting sqref="B11:D11">
    <cfRule type="expression" dxfId="2967" priority="77">
      <formula>E11=1</formula>
    </cfRule>
  </conditionalFormatting>
  <conditionalFormatting sqref="C11">
    <cfRule type="expression" dxfId="2966" priority="76">
      <formula>E11=1</formula>
    </cfRule>
  </conditionalFormatting>
  <conditionalFormatting sqref="B12:D12">
    <cfRule type="expression" dxfId="2965" priority="74">
      <formula>F12=1</formula>
    </cfRule>
  </conditionalFormatting>
  <conditionalFormatting sqref="B12:D12">
    <cfRule type="expression" dxfId="2964" priority="73">
      <formula>E12=1</formula>
    </cfRule>
  </conditionalFormatting>
  <conditionalFormatting sqref="C12">
    <cfRule type="expression" dxfId="2963" priority="72">
      <formula>E12=1</formula>
    </cfRule>
  </conditionalFormatting>
  <conditionalFormatting sqref="D12">
    <cfRule type="expression" dxfId="2962" priority="71">
      <formula>E12=1</formula>
    </cfRule>
  </conditionalFormatting>
  <conditionalFormatting sqref="B8:D8">
    <cfRule type="expression" dxfId="2961" priority="64">
      <formula>F8=1</formula>
    </cfRule>
  </conditionalFormatting>
  <conditionalFormatting sqref="B8:D8">
    <cfRule type="expression" dxfId="2960" priority="63">
      <formula>E8=1</formula>
    </cfRule>
  </conditionalFormatting>
  <conditionalFormatting sqref="C8">
    <cfRule type="expression" dxfId="2959" priority="62">
      <formula>E8=1</formula>
    </cfRule>
  </conditionalFormatting>
  <conditionalFormatting sqref="D8">
    <cfRule type="expression" dxfId="2958" priority="61">
      <formula>E8=1</formula>
    </cfRule>
  </conditionalFormatting>
  <conditionalFormatting sqref="B8">
    <cfRule type="expression" dxfId="2957" priority="65">
      <formula>F112=1</formula>
    </cfRule>
  </conditionalFormatting>
  <conditionalFormatting sqref="B8">
    <cfRule type="expression" dxfId="2956" priority="66">
      <formula>E112=1</formula>
    </cfRule>
  </conditionalFormatting>
  <conditionalFormatting sqref="B18:D18">
    <cfRule type="expression" dxfId="2955" priority="60">
      <formula>F18=1</formula>
    </cfRule>
  </conditionalFormatting>
  <conditionalFormatting sqref="B18:D18">
    <cfRule type="expression" dxfId="2954" priority="59">
      <formula>E18=1</formula>
    </cfRule>
  </conditionalFormatting>
  <conditionalFormatting sqref="C18">
    <cfRule type="expression" dxfId="2953" priority="58">
      <formula>E18=1</formula>
    </cfRule>
  </conditionalFormatting>
  <conditionalFormatting sqref="D18">
    <cfRule type="expression" dxfId="2952" priority="57">
      <formula>E18=1</formula>
    </cfRule>
  </conditionalFormatting>
  <conditionalFormatting sqref="D18">
    <cfRule type="expression" dxfId="2951" priority="53">
      <formula>E18=1</formula>
    </cfRule>
  </conditionalFormatting>
  <conditionalFormatting sqref="B18:D18">
    <cfRule type="expression" dxfId="2950" priority="56">
      <formula>F18=1</formula>
    </cfRule>
  </conditionalFormatting>
  <conditionalFormatting sqref="B18:D18">
    <cfRule type="expression" dxfId="2949" priority="55">
      <formula>E18=1</formula>
    </cfRule>
  </conditionalFormatting>
  <conditionalFormatting sqref="C18">
    <cfRule type="expression" dxfId="2948" priority="54">
      <formula>E18=1</formula>
    </cfRule>
  </conditionalFormatting>
  <conditionalFormatting sqref="B12:C12">
    <cfRule type="expression" dxfId="2947" priority="52">
      <formula>E12=1</formula>
    </cfRule>
  </conditionalFormatting>
  <conditionalFormatting sqref="B12:C12">
    <cfRule type="expression" dxfId="2946" priority="51">
      <formula>F12=1</formula>
    </cfRule>
  </conditionalFormatting>
  <conditionalFormatting sqref="C12">
    <cfRule type="expression" dxfId="2945" priority="50">
      <formula>E12=1</formula>
    </cfRule>
  </conditionalFormatting>
  <conditionalFormatting sqref="B11:D11">
    <cfRule type="expression" dxfId="2944" priority="49">
      <formula>F11=1</formula>
    </cfRule>
  </conditionalFormatting>
  <conditionalFormatting sqref="B11:D11">
    <cfRule type="expression" dxfId="2943" priority="48">
      <formula>E11=1</formula>
    </cfRule>
  </conditionalFormatting>
  <conditionalFormatting sqref="C11">
    <cfRule type="expression" dxfId="2942" priority="47">
      <formula>E11=1</formula>
    </cfRule>
  </conditionalFormatting>
  <conditionalFormatting sqref="D11">
    <cfRule type="expression" dxfId="2941" priority="46">
      <formula>E11=1</formula>
    </cfRule>
  </conditionalFormatting>
  <conditionalFormatting sqref="B11:D11">
    <cfRule type="expression" dxfId="2940" priority="45">
      <formula>F11=1</formula>
    </cfRule>
  </conditionalFormatting>
  <conditionalFormatting sqref="B11:D11">
    <cfRule type="expression" dxfId="2939" priority="44">
      <formula>E11=1</formula>
    </cfRule>
  </conditionalFormatting>
  <conditionalFormatting sqref="C11">
    <cfRule type="expression" dxfId="2938" priority="43">
      <formula>E11=1</formula>
    </cfRule>
  </conditionalFormatting>
  <conditionalFormatting sqref="D11">
    <cfRule type="expression" dxfId="2937" priority="42">
      <formula>E11=1</formula>
    </cfRule>
  </conditionalFormatting>
  <conditionalFormatting sqref="B12:D12">
    <cfRule type="expression" dxfId="2936" priority="41">
      <formula>F12=1</formula>
    </cfRule>
  </conditionalFormatting>
  <conditionalFormatting sqref="B12:D12">
    <cfRule type="expression" dxfId="2935" priority="40">
      <formula>E12=1</formula>
    </cfRule>
  </conditionalFormatting>
  <conditionalFormatting sqref="C12">
    <cfRule type="expression" dxfId="2934" priority="39">
      <formula>E12=1</formula>
    </cfRule>
  </conditionalFormatting>
  <conditionalFormatting sqref="D12">
    <cfRule type="expression" dxfId="2933" priority="38">
      <formula>E12=1</formula>
    </cfRule>
  </conditionalFormatting>
  <conditionalFormatting sqref="B10:C10">
    <cfRule type="expression" dxfId="2932" priority="36">
      <formula>F10=1</formula>
    </cfRule>
  </conditionalFormatting>
  <conditionalFormatting sqref="B10:D10">
    <cfRule type="expression" dxfId="2931" priority="35">
      <formula>E10=1</formula>
    </cfRule>
  </conditionalFormatting>
  <conditionalFormatting sqref="C10">
    <cfRule type="expression" dxfId="2930" priority="34">
      <formula>E10=1</formula>
    </cfRule>
  </conditionalFormatting>
  <conditionalFormatting sqref="D10">
    <cfRule type="expression" dxfId="2929" priority="33">
      <formula>E10=1</formula>
    </cfRule>
  </conditionalFormatting>
  <conditionalFormatting sqref="D10">
    <cfRule type="expression" dxfId="2928" priority="37">
      <formula>H9=1</formula>
    </cfRule>
  </conditionalFormatting>
  <conditionalFormatting sqref="B17:D17">
    <cfRule type="expression" dxfId="2927" priority="28">
      <formula>F17=1</formula>
    </cfRule>
  </conditionalFormatting>
  <conditionalFormatting sqref="B17:D17">
    <cfRule type="expression" dxfId="2926" priority="27">
      <formula>E17=1</formula>
    </cfRule>
  </conditionalFormatting>
  <conditionalFormatting sqref="C17">
    <cfRule type="expression" dxfId="2925" priority="26">
      <formula>E17=1</formula>
    </cfRule>
  </conditionalFormatting>
  <conditionalFormatting sqref="D17">
    <cfRule type="expression" dxfId="2924" priority="25">
      <formula>E17=1</formula>
    </cfRule>
  </conditionalFormatting>
  <conditionalFormatting sqref="B13:D13">
    <cfRule type="expression" dxfId="2923" priority="24">
      <formula>F13=1</formula>
    </cfRule>
  </conditionalFormatting>
  <conditionalFormatting sqref="B13:D13">
    <cfRule type="expression" dxfId="2922" priority="23">
      <formula>E13=1</formula>
    </cfRule>
  </conditionalFormatting>
  <conditionalFormatting sqref="C13">
    <cfRule type="expression" dxfId="2921" priority="22">
      <formula>E13=1</formula>
    </cfRule>
  </conditionalFormatting>
  <conditionalFormatting sqref="D13">
    <cfRule type="expression" dxfId="2920" priority="21">
      <formula>E13=1</formula>
    </cfRule>
  </conditionalFormatting>
  <conditionalFormatting sqref="B14:D14">
    <cfRule type="expression" dxfId="2919" priority="20">
      <formula>F14=1</formula>
    </cfRule>
  </conditionalFormatting>
  <conditionalFormatting sqref="B14:D14">
    <cfRule type="expression" dxfId="2918" priority="19">
      <formula>E14=1</formula>
    </cfRule>
  </conditionalFormatting>
  <conditionalFormatting sqref="C14">
    <cfRule type="expression" dxfId="2917" priority="18">
      <formula>E14=1</formula>
    </cfRule>
  </conditionalFormatting>
  <conditionalFormatting sqref="D14">
    <cfRule type="expression" dxfId="2916" priority="17">
      <formula>E14=1</formula>
    </cfRule>
  </conditionalFormatting>
  <conditionalFormatting sqref="B21:D21">
    <cfRule type="expression" dxfId="2915" priority="16">
      <formula>F21=1</formula>
    </cfRule>
  </conditionalFormatting>
  <conditionalFormatting sqref="B21:D21">
    <cfRule type="expression" dxfId="2914" priority="15">
      <formula>E21=1</formula>
    </cfRule>
  </conditionalFormatting>
  <conditionalFormatting sqref="C21">
    <cfRule type="expression" dxfId="2913" priority="14">
      <formula>E21=1</formula>
    </cfRule>
  </conditionalFormatting>
  <conditionalFormatting sqref="D21">
    <cfRule type="expression" dxfId="2912" priority="13">
      <formula>E21=1</formula>
    </cfRule>
  </conditionalFormatting>
  <conditionalFormatting sqref="B15:D15">
    <cfRule type="expression" dxfId="2911" priority="12">
      <formula>F5=1</formula>
    </cfRule>
  </conditionalFormatting>
  <conditionalFormatting sqref="B15:D15">
    <cfRule type="expression" dxfId="2910" priority="11">
      <formula>E5=1</formula>
    </cfRule>
  </conditionalFormatting>
  <conditionalFormatting sqref="C15">
    <cfRule type="expression" dxfId="2909" priority="10">
      <formula>E5=1</formula>
    </cfRule>
  </conditionalFormatting>
  <conditionalFormatting sqref="D15">
    <cfRule type="expression" dxfId="2908" priority="9">
      <formula>E5=1</formula>
    </cfRule>
  </conditionalFormatting>
  <conditionalFormatting sqref="B19:D19">
    <cfRule type="expression" dxfId="2907" priority="8">
      <formula>F19=1</formula>
    </cfRule>
  </conditionalFormatting>
  <conditionalFormatting sqref="B19:D19">
    <cfRule type="expression" dxfId="2906" priority="7">
      <formula>E19=1</formula>
    </cfRule>
  </conditionalFormatting>
  <conditionalFormatting sqref="C19">
    <cfRule type="expression" dxfId="2905" priority="6">
      <formula>E19=1</formula>
    </cfRule>
  </conditionalFormatting>
  <conditionalFormatting sqref="D19">
    <cfRule type="expression" dxfId="2904" priority="5">
      <formula>E19=1</formula>
    </cfRule>
  </conditionalFormatting>
  <conditionalFormatting sqref="B16:D16">
    <cfRule type="expression" dxfId="2903" priority="4">
      <formula>F16=1</formula>
    </cfRule>
  </conditionalFormatting>
  <conditionalFormatting sqref="B16:D16">
    <cfRule type="expression" dxfId="2902" priority="3">
      <formula>E16=1</formula>
    </cfRule>
  </conditionalFormatting>
  <conditionalFormatting sqref="C16">
    <cfRule type="expression" dxfId="2901" priority="2">
      <formula>E16=1</formula>
    </cfRule>
  </conditionalFormatting>
  <conditionalFormatting sqref="D16">
    <cfRule type="expression" dxfId="2900" priority="1">
      <formula>E16=1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1D65-34C5-C741-9EE2-47B705F084CD}">
  <dimension ref="A1:M49"/>
  <sheetViews>
    <sheetView showGridLines="0" zoomScale="99" workbookViewId="0">
      <selection activeCell="C2" sqref="C2:C21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7">
        <v>128</v>
      </c>
      <c r="C2" s="7" t="s">
        <v>134</v>
      </c>
      <c r="D2" s="7" t="s">
        <v>8</v>
      </c>
      <c r="E2" t="b">
        <f>NOT(ISERROR(MATCH($C2,'Keyur Usage'!$C$38:$C$500,0)))</f>
        <v>0</v>
      </c>
      <c r="G2" t="s">
        <v>49</v>
      </c>
      <c r="H2" s="26">
        <f t="shared" ref="H2:H7" si="0">+COUNTIF($D$2:$D$74,G2)</f>
        <v>3</v>
      </c>
      <c r="J2" s="21" t="s">
        <v>880</v>
      </c>
      <c r="K2" s="30"/>
      <c r="L2" s="30"/>
      <c r="M2" s="21"/>
    </row>
    <row r="3" spans="1:13" x14ac:dyDescent="0.15">
      <c r="A3" s="16">
        <f>+A2+1</f>
        <v>2</v>
      </c>
      <c r="B3" s="7">
        <v>226</v>
      </c>
      <c r="C3" s="7" t="s">
        <v>232</v>
      </c>
      <c r="D3" s="7" t="s">
        <v>6</v>
      </c>
      <c r="E3" t="b">
        <f>NOT(ISERROR(MATCH($C3,'Keyur Usage'!$C$38:$C$500,0)))</f>
        <v>0</v>
      </c>
      <c r="G3" t="s">
        <v>8</v>
      </c>
      <c r="H3" s="26">
        <f t="shared" si="0"/>
        <v>4</v>
      </c>
      <c r="J3" s="21" t="s">
        <v>881</v>
      </c>
      <c r="K3" s="30"/>
      <c r="M3" s="21"/>
    </row>
    <row r="4" spans="1:13" x14ac:dyDescent="0.15">
      <c r="A4" s="16">
        <f t="shared" ref="A4:A21" si="1">+A3+1</f>
        <v>3</v>
      </c>
      <c r="B4" s="7">
        <v>713</v>
      </c>
      <c r="C4" s="7" t="s">
        <v>935</v>
      </c>
      <c r="D4" s="7" t="s">
        <v>6</v>
      </c>
      <c r="E4" t="b">
        <f>NOT(ISERROR(MATCH($C4,'Keyur Usage'!$C$38:$C$500,0)))</f>
        <v>0</v>
      </c>
      <c r="G4" t="s">
        <v>6</v>
      </c>
      <c r="H4" s="26">
        <f t="shared" si="0"/>
        <v>4</v>
      </c>
      <c r="J4" s="21" t="s">
        <v>882</v>
      </c>
      <c r="K4" s="30"/>
      <c r="L4" s="53"/>
    </row>
    <row r="5" spans="1:13" x14ac:dyDescent="0.15">
      <c r="A5" s="16">
        <f t="shared" si="1"/>
        <v>4</v>
      </c>
      <c r="B5" s="7">
        <v>44</v>
      </c>
      <c r="C5" s="7" t="s">
        <v>50</v>
      </c>
      <c r="D5" s="7" t="s">
        <v>4</v>
      </c>
      <c r="E5" t="b">
        <f>NOT(ISERROR(MATCH($C5,'Keyur Usage'!$C$38:$C$500,0)))</f>
        <v>0</v>
      </c>
      <c r="G5" t="s">
        <v>4</v>
      </c>
      <c r="H5" s="26">
        <f t="shared" si="0"/>
        <v>3</v>
      </c>
      <c r="J5" s="21" t="s">
        <v>883</v>
      </c>
      <c r="K5" s="30"/>
    </row>
    <row r="6" spans="1:13" x14ac:dyDescent="0.15">
      <c r="A6" s="16">
        <f t="shared" si="1"/>
        <v>5</v>
      </c>
      <c r="B6" s="7">
        <v>240</v>
      </c>
      <c r="C6" s="7" t="s">
        <v>246</v>
      </c>
      <c r="D6" s="7" t="s">
        <v>8</v>
      </c>
      <c r="E6" t="b">
        <f>NOT(ISERROR(MATCH($C6,'Keyur Usage'!$C$38:$C$500,0)))</f>
        <v>0</v>
      </c>
      <c r="G6" s="21" t="s">
        <v>782</v>
      </c>
      <c r="H6" s="26">
        <f t="shared" si="0"/>
        <v>3</v>
      </c>
      <c r="J6" s="21" t="s">
        <v>884</v>
      </c>
      <c r="K6" s="30"/>
    </row>
    <row r="7" spans="1:13" x14ac:dyDescent="0.15">
      <c r="A7" s="16">
        <f t="shared" si="1"/>
        <v>6</v>
      </c>
      <c r="B7" s="7">
        <v>829</v>
      </c>
      <c r="C7" s="7" t="s">
        <v>823</v>
      </c>
      <c r="D7" s="7" t="s">
        <v>815</v>
      </c>
      <c r="E7" t="b">
        <f>NOT(ISERROR(MATCH($C7,'Keyur Usage'!$C$38:$C$500,0)))</f>
        <v>0</v>
      </c>
      <c r="G7" s="23" t="s">
        <v>815</v>
      </c>
      <c r="H7" s="27">
        <f t="shared" si="0"/>
        <v>3</v>
      </c>
      <c r="J7" s="28" t="s">
        <v>885</v>
      </c>
      <c r="K7" s="30"/>
    </row>
    <row r="8" spans="1:13" x14ac:dyDescent="0.15">
      <c r="A8" s="16">
        <f t="shared" si="1"/>
        <v>7</v>
      </c>
      <c r="B8" s="3">
        <v>328</v>
      </c>
      <c r="C8" s="3" t="s">
        <v>334</v>
      </c>
      <c r="D8" s="3" t="s">
        <v>49</v>
      </c>
      <c r="E8" t="b">
        <v>1</v>
      </c>
      <c r="J8" s="28" t="s">
        <v>886</v>
      </c>
      <c r="K8" s="31"/>
      <c r="L8" s="53"/>
    </row>
    <row r="9" spans="1:13" x14ac:dyDescent="0.15">
      <c r="A9" s="16">
        <f t="shared" si="1"/>
        <v>8</v>
      </c>
      <c r="B9" s="7">
        <v>132</v>
      </c>
      <c r="C9" s="7" t="s">
        <v>138</v>
      </c>
      <c r="D9" s="7" t="s">
        <v>49</v>
      </c>
      <c r="E9" s="6" t="b">
        <v>1</v>
      </c>
      <c r="J9" s="28" t="s">
        <v>887</v>
      </c>
      <c r="K9" s="31"/>
      <c r="L9" s="53"/>
    </row>
    <row r="10" spans="1:13" x14ac:dyDescent="0.15">
      <c r="A10" s="16">
        <f t="shared" si="1"/>
        <v>9</v>
      </c>
      <c r="B10" s="7">
        <v>294</v>
      </c>
      <c r="C10" s="7" t="s">
        <v>300</v>
      </c>
      <c r="D10" s="30" t="s">
        <v>6</v>
      </c>
      <c r="E10" t="b">
        <f>NOT(ISERROR(MATCH($C10,'Keyur Usage'!$C$38:$C$500,0)))</f>
        <v>1</v>
      </c>
      <c r="J10" s="31" t="s">
        <v>888</v>
      </c>
      <c r="K10" s="31"/>
    </row>
    <row r="11" spans="1:13" x14ac:dyDescent="0.15">
      <c r="A11" s="16">
        <f t="shared" si="1"/>
        <v>10</v>
      </c>
      <c r="B11" s="7">
        <v>176</v>
      </c>
      <c r="C11" s="7" t="s">
        <v>182</v>
      </c>
      <c r="D11" s="7" t="s">
        <v>8</v>
      </c>
      <c r="E11" t="b">
        <f>NOT(ISERROR(MATCH($C11,'Keyur Usage'!$C$38:$C$500,0)))</f>
        <v>1</v>
      </c>
      <c r="F11" s="3"/>
      <c r="G11" s="3"/>
      <c r="H11" s="3"/>
      <c r="J11" s="31" t="s">
        <v>889</v>
      </c>
      <c r="K11" s="31"/>
    </row>
    <row r="12" spans="1:13" x14ac:dyDescent="0.15">
      <c r="A12" s="16">
        <f t="shared" si="1"/>
        <v>11</v>
      </c>
      <c r="B12" s="7">
        <v>553</v>
      </c>
      <c r="C12" s="7" t="s">
        <v>556</v>
      </c>
      <c r="D12" s="7" t="s">
        <v>4</v>
      </c>
      <c r="E12" t="b">
        <f>NOT(ISERROR(MATCH($C12,'Keyur Usage'!$C$38:$C$500,0)))</f>
        <v>1</v>
      </c>
      <c r="J12" s="31" t="s">
        <v>890</v>
      </c>
      <c r="K12" s="31"/>
    </row>
    <row r="13" spans="1:13" x14ac:dyDescent="0.15">
      <c r="A13" s="16">
        <f t="shared" si="1"/>
        <v>12</v>
      </c>
      <c r="B13" s="7">
        <v>404</v>
      </c>
      <c r="C13" s="7" t="s">
        <v>409</v>
      </c>
      <c r="D13" s="7" t="s">
        <v>49</v>
      </c>
      <c r="E13" t="b">
        <f>NOT(ISERROR(MATCH($C13,'Keyur Usage'!$C$38:$C$500,0)))</f>
        <v>1</v>
      </c>
      <c r="J13" s="31" t="s">
        <v>891</v>
      </c>
      <c r="K13" s="31"/>
    </row>
    <row r="14" spans="1:13" x14ac:dyDescent="0.15">
      <c r="A14" s="16">
        <f t="shared" si="1"/>
        <v>13</v>
      </c>
      <c r="B14" s="7">
        <v>93</v>
      </c>
      <c r="C14" s="7" t="s">
        <v>99</v>
      </c>
      <c r="D14" s="7" t="s">
        <v>8</v>
      </c>
      <c r="E14" t="b">
        <f>NOT(ISERROR(MATCH($C14,'Keyur Usage'!$C$38:$C$500,0)))</f>
        <v>1</v>
      </c>
      <c r="J14" s="31" t="s">
        <v>892</v>
      </c>
      <c r="K14" s="31"/>
    </row>
    <row r="15" spans="1:13" x14ac:dyDescent="0.15">
      <c r="A15" s="16">
        <f t="shared" si="1"/>
        <v>14</v>
      </c>
      <c r="B15" s="7">
        <v>111</v>
      </c>
      <c r="C15" s="7" t="s">
        <v>359</v>
      </c>
      <c r="D15" s="7" t="s">
        <v>6</v>
      </c>
      <c r="E15" t="b">
        <f>NOT(ISERROR(MATCH($C15,'Keyur Usage'!$C$38:$C$500,0)))</f>
        <v>1</v>
      </c>
      <c r="J15" s="33" t="s">
        <v>893</v>
      </c>
      <c r="K15" s="33"/>
    </row>
    <row r="16" spans="1:13" x14ac:dyDescent="0.15">
      <c r="A16" s="16">
        <f t="shared" si="1"/>
        <v>15</v>
      </c>
      <c r="B16" s="7">
        <v>104</v>
      </c>
      <c r="C16" s="7" t="s">
        <v>110</v>
      </c>
      <c r="D16" s="7" t="s">
        <v>4</v>
      </c>
      <c r="E16" t="b">
        <f>NOT(ISERROR(MATCH($C16,'Keyur Usage'!$C$38:$C$500,0)))</f>
        <v>1</v>
      </c>
      <c r="F16" s="21"/>
    </row>
    <row r="17" spans="1:12" x14ac:dyDescent="0.15">
      <c r="A17" s="16">
        <f t="shared" si="1"/>
        <v>16</v>
      </c>
      <c r="B17" s="7">
        <v>809</v>
      </c>
      <c r="C17" s="7" t="s">
        <v>802</v>
      </c>
      <c r="D17" s="7" t="s">
        <v>782</v>
      </c>
      <c r="E17" t="b">
        <f>NOT(ISERROR(MATCH($C17,'Keyur Usage'!$C$38:$C$500,0)))</f>
        <v>1</v>
      </c>
      <c r="F17" s="21"/>
    </row>
    <row r="18" spans="1:12" x14ac:dyDescent="0.15">
      <c r="A18" s="16">
        <f t="shared" si="1"/>
        <v>17</v>
      </c>
      <c r="B18" s="7">
        <v>820</v>
      </c>
      <c r="C18" s="7" t="s">
        <v>813</v>
      </c>
      <c r="D18" s="7" t="s">
        <v>782</v>
      </c>
      <c r="E18" t="b">
        <f>NOT(ISERROR(MATCH($C18,'Keyur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7">
        <v>790</v>
      </c>
      <c r="C19" s="7" t="s">
        <v>783</v>
      </c>
      <c r="D19" s="7" t="s">
        <v>782</v>
      </c>
      <c r="E19" t="b">
        <f>NOT(ISERROR(MATCH($C19,'Keyur Usage'!$C$38:$C$500,0)))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7">
        <v>862</v>
      </c>
      <c r="C20" s="7" t="s">
        <v>856</v>
      </c>
      <c r="D20" s="30" t="s">
        <v>815</v>
      </c>
      <c r="E20" t="b">
        <f>NOT(ISERROR(MATCH($C20,'Keyur Usage'!$C$38:$C$500,0)))</f>
        <v>1</v>
      </c>
      <c r="F20" s="21"/>
    </row>
    <row r="21" spans="1:12" x14ac:dyDescent="0.15">
      <c r="A21" s="16">
        <f t="shared" si="1"/>
        <v>20</v>
      </c>
      <c r="B21" s="7">
        <v>847</v>
      </c>
      <c r="C21" s="7" t="s">
        <v>841</v>
      </c>
      <c r="D21" s="7" t="s">
        <v>815</v>
      </c>
      <c r="E21" t="b">
        <f>NOT(ISERROR(MATCH($C21,'Keyur Usage'!$C$38:$C$500,0)))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910</v>
      </c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7"/>
      <c r="C27" s="7"/>
      <c r="D27" s="7"/>
      <c r="E27" s="6"/>
    </row>
    <row r="28" spans="1:12" x14ac:dyDescent="0.15">
      <c r="B28" s="7"/>
      <c r="C28" s="7"/>
      <c r="D28" s="7"/>
      <c r="E28" s="6"/>
      <c r="F28" s="6"/>
    </row>
    <row r="29" spans="1:12" x14ac:dyDescent="0.15">
      <c r="B29" s="7"/>
      <c r="C29" s="7"/>
      <c r="D29" s="7"/>
      <c r="E29" s="6"/>
      <c r="F29" s="6"/>
    </row>
    <row r="30" spans="1:12" x14ac:dyDescent="0.15">
      <c r="B30" s="7"/>
      <c r="C30" s="7"/>
      <c r="D30" s="7"/>
      <c r="E30" s="6"/>
      <c r="F30" s="6"/>
    </row>
    <row r="31" spans="1:12" x14ac:dyDescent="0.15">
      <c r="B31" s="7"/>
      <c r="C31" s="7"/>
      <c r="D31" s="7"/>
      <c r="E31" s="6"/>
      <c r="F31" s="6"/>
    </row>
    <row r="32" spans="1:12" x14ac:dyDescent="0.15">
      <c r="B32" s="7"/>
      <c r="C32" s="7"/>
      <c r="D32" s="7"/>
      <c r="E32" s="6"/>
      <c r="F32" s="6"/>
    </row>
    <row r="33" spans="2:6" x14ac:dyDescent="0.15">
      <c r="B33" s="7"/>
      <c r="C33" s="7"/>
      <c r="D33" s="7"/>
      <c r="E33" s="6"/>
      <c r="F33" s="6"/>
    </row>
    <row r="34" spans="2:6" x14ac:dyDescent="0.15">
      <c r="B34" s="7"/>
      <c r="C34" s="7"/>
      <c r="D34" s="30"/>
      <c r="E34" s="6"/>
      <c r="F34" s="6"/>
    </row>
    <row r="35" spans="2:6" x14ac:dyDescent="0.15">
      <c r="B35" s="7"/>
      <c r="C35" s="7"/>
      <c r="D35" s="7"/>
      <c r="E35" s="6"/>
      <c r="F35" s="6"/>
    </row>
    <row r="36" spans="2:6" x14ac:dyDescent="0.15">
      <c r="B36" s="7"/>
      <c r="C36" s="7"/>
      <c r="D36" s="7"/>
      <c r="E36" s="6"/>
      <c r="F36" s="6"/>
    </row>
    <row r="37" spans="2:6" x14ac:dyDescent="0.15">
      <c r="B37" s="7"/>
      <c r="C37" s="7"/>
      <c r="D37" s="7"/>
      <c r="E37" s="6"/>
      <c r="F37" s="6"/>
    </row>
    <row r="38" spans="2:6" x14ac:dyDescent="0.15">
      <c r="B38" s="7"/>
      <c r="C38" s="7"/>
      <c r="D38" s="7"/>
      <c r="E38" s="6"/>
      <c r="F38" s="6"/>
    </row>
    <row r="39" spans="2:6" x14ac:dyDescent="0.15">
      <c r="B39" s="7"/>
      <c r="C39" s="7"/>
      <c r="D39" s="7"/>
      <c r="E39" s="6"/>
      <c r="F39" s="6"/>
    </row>
    <row r="40" spans="2:6" x14ac:dyDescent="0.15">
      <c r="B40" s="7"/>
      <c r="C40" s="7"/>
      <c r="D40" s="7"/>
      <c r="E40" s="6"/>
      <c r="F40" s="6"/>
    </row>
    <row r="41" spans="2:6" x14ac:dyDescent="0.15">
      <c r="B41" s="7"/>
      <c r="C41" s="7"/>
      <c r="D41" s="7"/>
      <c r="E41" s="6"/>
      <c r="F41" s="6"/>
    </row>
    <row r="42" spans="2:6" x14ac:dyDescent="0.15">
      <c r="B42" s="7"/>
      <c r="C42" s="7"/>
      <c r="D42" s="7"/>
      <c r="E42" s="6"/>
      <c r="F42" s="6"/>
    </row>
    <row r="43" spans="2:6" x14ac:dyDescent="0.15">
      <c r="B43" s="7"/>
      <c r="C43" s="7"/>
      <c r="D43" s="7"/>
      <c r="E43" s="6"/>
      <c r="F43" s="6"/>
    </row>
    <row r="44" spans="2:6" x14ac:dyDescent="0.15">
      <c r="B44" s="7"/>
      <c r="C44" s="7"/>
      <c r="D44" s="7"/>
      <c r="E44" s="6"/>
      <c r="F44" s="6"/>
    </row>
    <row r="45" spans="2:6" x14ac:dyDescent="0.15">
      <c r="B45" s="7"/>
      <c r="C45" s="7"/>
      <c r="D45" s="30"/>
      <c r="E45" s="6"/>
      <c r="F45" s="6"/>
    </row>
    <row r="46" spans="2:6" x14ac:dyDescent="0.15">
      <c r="B46" s="7"/>
      <c r="C46" s="7"/>
      <c r="D46" s="7"/>
      <c r="E46" s="6"/>
      <c r="F46" s="6"/>
    </row>
    <row r="47" spans="2:6" x14ac:dyDescent="0.15">
      <c r="B47" s="7"/>
      <c r="C47" s="7"/>
      <c r="D47" s="7"/>
      <c r="E47" s="6"/>
      <c r="F47" s="6"/>
    </row>
    <row r="48" spans="2:6" x14ac:dyDescent="0.15">
      <c r="B48" s="7"/>
      <c r="C48" s="7"/>
      <c r="D48" s="7"/>
      <c r="E48" s="6"/>
      <c r="F48" s="6"/>
    </row>
    <row r="49" spans="2:4" x14ac:dyDescent="0.15">
      <c r="B49" s="3"/>
      <c r="C49" s="3"/>
      <c r="D49" s="3"/>
    </row>
  </sheetData>
  <conditionalFormatting sqref="A24:C24 A5:A15 A25:A27">
    <cfRule type="expression" dxfId="2899" priority="615">
      <formula>E5=1</formula>
    </cfRule>
  </conditionalFormatting>
  <conditionalFormatting sqref="B24:C24 B44 B31:B34 B36:B42">
    <cfRule type="expression" dxfId="2898" priority="614">
      <formula>E24=1</formula>
    </cfRule>
  </conditionalFormatting>
  <conditionalFormatting sqref="C24">
    <cfRule type="expression" dxfId="2897" priority="613">
      <formula>E24=1</formula>
    </cfRule>
  </conditionalFormatting>
  <conditionalFormatting sqref="H2">
    <cfRule type="expression" dxfId="2896" priority="612">
      <formula>$H$2&gt;=3</formula>
    </cfRule>
  </conditionalFormatting>
  <conditionalFormatting sqref="H4">
    <cfRule type="expression" dxfId="2895" priority="611">
      <formula>$H$4&gt;=4</formula>
    </cfRule>
  </conditionalFormatting>
  <conditionalFormatting sqref="H5">
    <cfRule type="expression" dxfId="2894" priority="610">
      <formula>$H$5&gt;=3</formula>
    </cfRule>
  </conditionalFormatting>
  <conditionalFormatting sqref="H6">
    <cfRule type="expression" dxfId="2893" priority="609">
      <formula>$H$6&gt;=3</formula>
    </cfRule>
  </conditionalFormatting>
  <conditionalFormatting sqref="H7">
    <cfRule type="expression" dxfId="2892" priority="608">
      <formula>$H$7&gt;=3</formula>
    </cfRule>
  </conditionalFormatting>
  <conditionalFormatting sqref="A2:A3">
    <cfRule type="expression" dxfId="2891" priority="616">
      <formula>E3=1</formula>
    </cfRule>
  </conditionalFormatting>
  <conditionalFormatting sqref="A20 A22">
    <cfRule type="expression" dxfId="2890" priority="617">
      <formula>#REF!=1</formula>
    </cfRule>
  </conditionalFormatting>
  <conditionalFormatting sqref="A4">
    <cfRule type="expression" dxfId="2889" priority="618">
      <formula>#REF!=1</formula>
    </cfRule>
  </conditionalFormatting>
  <conditionalFormatting sqref="A16:A17">
    <cfRule type="expression" dxfId="2888" priority="619">
      <formula>F16=1</formula>
    </cfRule>
  </conditionalFormatting>
  <conditionalFormatting sqref="A21 A19">
    <cfRule type="expression" dxfId="2887" priority="620">
      <formula>F18=1</formula>
    </cfRule>
  </conditionalFormatting>
  <conditionalFormatting sqref="A18">
    <cfRule type="expression" dxfId="2886" priority="621">
      <formula>F21=1</formula>
    </cfRule>
  </conditionalFormatting>
  <conditionalFormatting sqref="A23:B23">
    <cfRule type="expression" dxfId="2885" priority="607">
      <formula>E23=1</formula>
    </cfRule>
  </conditionalFormatting>
  <conditionalFormatting sqref="B23">
    <cfRule type="expression" dxfId="2884" priority="606">
      <formula>E23=1</formula>
    </cfRule>
  </conditionalFormatting>
  <conditionalFormatting sqref="F11:H11">
    <cfRule type="expression" dxfId="2883" priority="605">
      <formula>J11=1</formula>
    </cfRule>
  </conditionalFormatting>
  <conditionalFormatting sqref="F11:H11">
    <cfRule type="expression" dxfId="2882" priority="604">
      <formula>I11=1</formula>
    </cfRule>
  </conditionalFormatting>
  <conditionalFormatting sqref="G11">
    <cfRule type="expression" dxfId="2881" priority="603">
      <formula>I11=1</formula>
    </cfRule>
  </conditionalFormatting>
  <conditionalFormatting sqref="H11">
    <cfRule type="expression" dxfId="2880" priority="602">
      <formula>I11=1</formula>
    </cfRule>
  </conditionalFormatting>
  <conditionalFormatting sqref="H11">
    <cfRule type="expression" dxfId="2879" priority="598">
      <formula>I11=1</formula>
    </cfRule>
  </conditionalFormatting>
  <conditionalFormatting sqref="F11:H11">
    <cfRule type="expression" dxfId="2878" priority="601">
      <formula>J11=1</formula>
    </cfRule>
  </conditionalFormatting>
  <conditionalFormatting sqref="F11:H11">
    <cfRule type="expression" dxfId="2877" priority="600">
      <formula>I11=1</formula>
    </cfRule>
  </conditionalFormatting>
  <conditionalFormatting sqref="G11">
    <cfRule type="expression" dxfId="2876" priority="599">
      <formula>I11=1</formula>
    </cfRule>
  </conditionalFormatting>
  <conditionalFormatting sqref="B22:D22">
    <cfRule type="expression" dxfId="2875" priority="597">
      <formula>F22=1</formula>
    </cfRule>
  </conditionalFormatting>
  <conditionalFormatting sqref="B22:D22">
    <cfRule type="expression" dxfId="2874" priority="596">
      <formula>E22=1</formula>
    </cfRule>
  </conditionalFormatting>
  <conditionalFormatting sqref="C22">
    <cfRule type="expression" dxfId="2873" priority="595">
      <formula>E22=1</formula>
    </cfRule>
  </conditionalFormatting>
  <conditionalFormatting sqref="D22">
    <cfRule type="expression" dxfId="2872" priority="594">
      <formula>E22=1</formula>
    </cfRule>
  </conditionalFormatting>
  <conditionalFormatting sqref="B24 D24">
    <cfRule type="expression" dxfId="2871" priority="591">
      <formula>F2=1</formula>
    </cfRule>
  </conditionalFormatting>
  <conditionalFormatting sqref="B24:C24">
    <cfRule type="expression" dxfId="2870" priority="590">
      <formula>E2=1</formula>
    </cfRule>
  </conditionalFormatting>
  <conditionalFormatting sqref="C24">
    <cfRule type="expression" dxfId="2869" priority="589">
      <formula>E2=1</formula>
    </cfRule>
  </conditionalFormatting>
  <conditionalFormatting sqref="D24">
    <cfRule type="expression" dxfId="2868" priority="588">
      <formula>E2=1</formula>
    </cfRule>
  </conditionalFormatting>
  <conditionalFormatting sqref="C24">
    <cfRule type="expression" dxfId="2867" priority="592">
      <formula>#REF!=1</formula>
    </cfRule>
  </conditionalFormatting>
  <conditionalFormatting sqref="D24">
    <cfRule type="expression" dxfId="2866" priority="593">
      <formula>#REF!=1</formula>
    </cfRule>
  </conditionalFormatting>
  <conditionalFormatting sqref="C25:D26">
    <cfRule type="expression" dxfId="2865" priority="585">
      <formula>G25=1</formula>
    </cfRule>
  </conditionalFormatting>
  <conditionalFormatting sqref="B25:B26">
    <cfRule type="expression" dxfId="2864" priority="584">
      <formula>E25=1</formula>
    </cfRule>
  </conditionalFormatting>
  <conditionalFormatting sqref="C25:C26">
    <cfRule type="expression" dxfId="2863" priority="583">
      <formula>E25=1</formula>
    </cfRule>
  </conditionalFormatting>
  <conditionalFormatting sqref="D25:D26">
    <cfRule type="expression" dxfId="2862" priority="582">
      <formula>E25=1</formula>
    </cfRule>
  </conditionalFormatting>
  <conditionalFormatting sqref="D25:D26">
    <cfRule type="expression" dxfId="2861" priority="586">
      <formula>#REF!=1</formula>
    </cfRule>
  </conditionalFormatting>
  <conditionalFormatting sqref="B25:C26">
    <cfRule type="expression" dxfId="2860" priority="587">
      <formula>G25=1</formula>
    </cfRule>
  </conditionalFormatting>
  <conditionalFormatting sqref="B27:D27">
    <cfRule type="expression" dxfId="2859" priority="581">
      <formula>F27=1</formula>
    </cfRule>
  </conditionalFormatting>
  <conditionalFormatting sqref="B27:D27">
    <cfRule type="expression" dxfId="2858" priority="580">
      <formula>E27=1</formula>
    </cfRule>
  </conditionalFormatting>
  <conditionalFormatting sqref="C27">
    <cfRule type="expression" dxfId="2857" priority="579">
      <formula>E27=1</formula>
    </cfRule>
  </conditionalFormatting>
  <conditionalFormatting sqref="D27">
    <cfRule type="expression" dxfId="2856" priority="578">
      <formula>E27=1</formula>
    </cfRule>
  </conditionalFormatting>
  <conditionalFormatting sqref="H3">
    <cfRule type="expression" dxfId="2855" priority="577">
      <formula>$H$4&gt;=4</formula>
    </cfRule>
  </conditionalFormatting>
  <conditionalFormatting sqref="B48:D48">
    <cfRule type="expression" dxfId="2854" priority="576">
      <formula>F48=1</formula>
    </cfRule>
  </conditionalFormatting>
  <conditionalFormatting sqref="B48:D48">
    <cfRule type="expression" dxfId="2853" priority="575">
      <formula>E48=1</formula>
    </cfRule>
  </conditionalFormatting>
  <conditionalFormatting sqref="C48">
    <cfRule type="expression" dxfId="2852" priority="574">
      <formula>E48=1</formula>
    </cfRule>
  </conditionalFormatting>
  <conditionalFormatting sqref="D48">
    <cfRule type="expression" dxfId="2851" priority="573">
      <formula>E48=1</formula>
    </cfRule>
  </conditionalFormatting>
  <conditionalFormatting sqref="B49:D49">
    <cfRule type="expression" dxfId="2850" priority="572">
      <formula>F49=1</formula>
    </cfRule>
  </conditionalFormatting>
  <conditionalFormatting sqref="B49:D49">
    <cfRule type="expression" dxfId="2849" priority="571">
      <formula>E49=1</formula>
    </cfRule>
  </conditionalFormatting>
  <conditionalFormatting sqref="C49">
    <cfRule type="expression" dxfId="2848" priority="570">
      <formula>E49=1</formula>
    </cfRule>
  </conditionalFormatting>
  <conditionalFormatting sqref="D49">
    <cfRule type="expression" dxfId="2847" priority="569">
      <formula>E49=1</formula>
    </cfRule>
  </conditionalFormatting>
  <conditionalFormatting sqref="B35 B46:B47">
    <cfRule type="expression" dxfId="2846" priority="568">
      <formula>E34=1</formula>
    </cfRule>
  </conditionalFormatting>
  <conditionalFormatting sqref="C30">
    <cfRule type="expression" dxfId="2845" priority="513">
      <formula>E30=1</formula>
    </cfRule>
  </conditionalFormatting>
  <conditionalFormatting sqref="B30">
    <cfRule type="expression" dxfId="2844" priority="514">
      <formula>E30=1</formula>
    </cfRule>
  </conditionalFormatting>
  <conditionalFormatting sqref="C31">
    <cfRule type="expression" dxfId="2843" priority="501">
      <formula>E31=1</formula>
    </cfRule>
  </conditionalFormatting>
  <conditionalFormatting sqref="C44">
    <cfRule type="expression" dxfId="2842" priority="467">
      <formula>E44=1</formula>
    </cfRule>
  </conditionalFormatting>
  <conditionalFormatting sqref="D39">
    <cfRule type="expression" dxfId="2841" priority="565">
      <formula>E39=1</formula>
    </cfRule>
  </conditionalFormatting>
  <conditionalFormatting sqref="D39">
    <cfRule type="expression" dxfId="2840" priority="567">
      <formula>#REF!=1</formula>
    </cfRule>
  </conditionalFormatting>
  <conditionalFormatting sqref="D42">
    <cfRule type="expression" dxfId="2839" priority="562">
      <formula>E42=1</formula>
    </cfRule>
  </conditionalFormatting>
  <conditionalFormatting sqref="D44">
    <cfRule type="expression" dxfId="2838" priority="559">
      <formula>E44=1</formula>
    </cfRule>
  </conditionalFormatting>
  <conditionalFormatting sqref="D46">
    <cfRule type="expression" dxfId="2837" priority="556">
      <formula>E45=1</formula>
    </cfRule>
  </conditionalFormatting>
  <conditionalFormatting sqref="D47">
    <cfRule type="expression" dxfId="2836" priority="553">
      <formula>E46=1</formula>
    </cfRule>
  </conditionalFormatting>
  <conditionalFormatting sqref="D28">
    <cfRule type="expression" dxfId="2835" priority="550">
      <formula>E28=1</formula>
    </cfRule>
  </conditionalFormatting>
  <conditionalFormatting sqref="D28">
    <cfRule type="expression" dxfId="2834" priority="551">
      <formula>#REF!=1</formula>
    </cfRule>
  </conditionalFormatting>
  <conditionalFormatting sqref="D28">
    <cfRule type="expression" dxfId="2833" priority="552">
      <formula>#REF!=1</formula>
    </cfRule>
  </conditionalFormatting>
  <conditionalFormatting sqref="D29">
    <cfRule type="expression" dxfId="2832" priority="547">
      <formula>E29=1</formula>
    </cfRule>
  </conditionalFormatting>
  <conditionalFormatting sqref="D29">
    <cfRule type="expression" dxfId="2831" priority="548">
      <formula>#REF!=1</formula>
    </cfRule>
  </conditionalFormatting>
  <conditionalFormatting sqref="D29">
    <cfRule type="expression" dxfId="2830" priority="549">
      <formula>#REF!=1</formula>
    </cfRule>
  </conditionalFormatting>
  <conditionalFormatting sqref="D31">
    <cfRule type="expression" dxfId="2829" priority="544">
      <formula>E31=1</formula>
    </cfRule>
  </conditionalFormatting>
  <conditionalFormatting sqref="D32">
    <cfRule type="expression" dxfId="2828" priority="541">
      <formula>E32=1</formula>
    </cfRule>
  </conditionalFormatting>
  <conditionalFormatting sqref="D33">
    <cfRule type="expression" dxfId="2827" priority="538">
      <formula>E33=1</formula>
    </cfRule>
  </conditionalFormatting>
  <conditionalFormatting sqref="D35">
    <cfRule type="expression" dxfId="2826" priority="535">
      <formula>E34=1</formula>
    </cfRule>
  </conditionalFormatting>
  <conditionalFormatting sqref="D36">
    <cfRule type="expression" dxfId="2825" priority="532">
      <formula>E35=1</formula>
    </cfRule>
  </conditionalFormatting>
  <conditionalFormatting sqref="D30">
    <cfRule type="expression" dxfId="2824" priority="529">
      <formula>E30=1</formula>
    </cfRule>
  </conditionalFormatting>
  <conditionalFormatting sqref="D30">
    <cfRule type="expression" dxfId="2823" priority="530">
      <formula>#REF!=1</formula>
    </cfRule>
  </conditionalFormatting>
  <conditionalFormatting sqref="D30">
    <cfRule type="expression" dxfId="2822" priority="531">
      <formula>#REF!=1</formula>
    </cfRule>
  </conditionalFormatting>
  <conditionalFormatting sqref="D37">
    <cfRule type="expression" dxfId="2821" priority="526">
      <formula>E36=1</formula>
    </cfRule>
  </conditionalFormatting>
  <conditionalFormatting sqref="D38">
    <cfRule type="expression" dxfId="2820" priority="523">
      <formula>E37=1</formula>
    </cfRule>
  </conditionalFormatting>
  <conditionalFormatting sqref="D40">
    <cfRule type="expression" dxfId="2819" priority="520">
      <formula>E40=1</formula>
    </cfRule>
  </conditionalFormatting>
  <conditionalFormatting sqref="D41">
    <cfRule type="expression" dxfId="2818" priority="517">
      <formula>E41=1</formula>
    </cfRule>
  </conditionalFormatting>
  <conditionalFormatting sqref="D41">
    <cfRule type="expression" dxfId="2817" priority="519">
      <formula>#REF!=1</formula>
    </cfRule>
  </conditionalFormatting>
  <conditionalFormatting sqref="B30:C30">
    <cfRule type="expression" dxfId="2816" priority="515">
      <formula>#REF!=1</formula>
    </cfRule>
  </conditionalFormatting>
  <conditionalFormatting sqref="C30">
    <cfRule type="expression" dxfId="2815" priority="516">
      <formula>#REF!=1</formula>
    </cfRule>
  </conditionalFormatting>
  <conditionalFormatting sqref="B29">
    <cfRule type="expression" dxfId="2814" priority="509">
      <formula>E29=1</formula>
    </cfRule>
  </conditionalFormatting>
  <conditionalFormatting sqref="C29">
    <cfRule type="expression" dxfId="2813" priority="508">
      <formula>E29=1</formula>
    </cfRule>
  </conditionalFormatting>
  <conditionalFormatting sqref="B29">
    <cfRule type="expression" dxfId="2812" priority="510">
      <formula>#REF!=1</formula>
    </cfRule>
  </conditionalFormatting>
  <conditionalFormatting sqref="C29">
    <cfRule type="expression" dxfId="2811" priority="511">
      <formula>#REF!=1</formula>
    </cfRule>
  </conditionalFormatting>
  <conditionalFormatting sqref="C29">
    <cfRule type="expression" dxfId="2810" priority="512">
      <formula>#REF!=1</formula>
    </cfRule>
  </conditionalFormatting>
  <conditionalFormatting sqref="B28">
    <cfRule type="expression" dxfId="2809" priority="504">
      <formula>E28=1</formula>
    </cfRule>
  </conditionalFormatting>
  <conditionalFormatting sqref="C28">
    <cfRule type="expression" dxfId="2808" priority="503">
      <formula>E28=1</formula>
    </cfRule>
  </conditionalFormatting>
  <conditionalFormatting sqref="C28">
    <cfRule type="expression" dxfId="2807" priority="505">
      <formula>#REF!=1</formula>
    </cfRule>
  </conditionalFormatting>
  <conditionalFormatting sqref="C33">
    <cfRule type="expression" dxfId="2806" priority="499">
      <formula>E33=1</formula>
    </cfRule>
  </conditionalFormatting>
  <conditionalFormatting sqref="C32">
    <cfRule type="expression" dxfId="2805" priority="497">
      <formula>E32=1</formula>
    </cfRule>
  </conditionalFormatting>
  <conditionalFormatting sqref="C35">
    <cfRule type="expression" dxfId="2804" priority="495">
      <formula>E34=1</formula>
    </cfRule>
  </conditionalFormatting>
  <conditionalFormatting sqref="C34">
    <cfRule type="expression" dxfId="2803" priority="493">
      <formula>E34=1</formula>
    </cfRule>
  </conditionalFormatting>
  <conditionalFormatting sqref="C36">
    <cfRule type="expression" dxfId="2802" priority="491">
      <formula>E36=1</formula>
    </cfRule>
  </conditionalFormatting>
  <conditionalFormatting sqref="C37">
    <cfRule type="expression" dxfId="2801" priority="488">
      <formula>E37=1</formula>
    </cfRule>
  </conditionalFormatting>
  <conditionalFormatting sqref="C38">
    <cfRule type="expression" dxfId="2800" priority="486">
      <formula>E38=1</formula>
    </cfRule>
  </conditionalFormatting>
  <conditionalFormatting sqref="C39">
    <cfRule type="expression" dxfId="2799" priority="484">
      <formula>E39=1</formula>
    </cfRule>
  </conditionalFormatting>
  <conditionalFormatting sqref="C40">
    <cfRule type="expression" dxfId="2798" priority="481">
      <formula>E40=1</formula>
    </cfRule>
  </conditionalFormatting>
  <conditionalFormatting sqref="C40">
    <cfRule type="expression" dxfId="2797" priority="483">
      <formula>#REF!=1</formula>
    </cfRule>
  </conditionalFormatting>
  <conditionalFormatting sqref="C41">
    <cfRule type="expression" dxfId="2796" priority="479">
      <formula>E41=1</formula>
    </cfRule>
  </conditionalFormatting>
  <conditionalFormatting sqref="C42">
    <cfRule type="expression" dxfId="2795" priority="477">
      <formula>E42=1</formula>
    </cfRule>
  </conditionalFormatting>
  <conditionalFormatting sqref="B43">
    <cfRule type="expression" dxfId="2794" priority="474">
      <formula>#REF!=1</formula>
    </cfRule>
  </conditionalFormatting>
  <conditionalFormatting sqref="B43:C43">
    <cfRule type="expression" dxfId="2793" priority="475">
      <formula>#REF!=1</formula>
    </cfRule>
  </conditionalFormatting>
  <conditionalFormatting sqref="C43">
    <cfRule type="expression" dxfId="2792" priority="476">
      <formula>#REF!=1</formula>
    </cfRule>
  </conditionalFormatting>
  <conditionalFormatting sqref="D43">
    <cfRule type="expression" dxfId="2791" priority="470">
      <formula>E43=1</formula>
    </cfRule>
  </conditionalFormatting>
  <conditionalFormatting sqref="C46">
    <cfRule type="expression" dxfId="2790" priority="465">
      <formula>E45=1</formula>
    </cfRule>
  </conditionalFormatting>
  <conditionalFormatting sqref="C47">
    <cfRule type="expression" dxfId="2789" priority="463">
      <formula>E46=1</formula>
    </cfRule>
  </conditionalFormatting>
  <conditionalFormatting sqref="D39">
    <cfRule type="expression" dxfId="2788" priority="566">
      <formula>M39=1</formula>
    </cfRule>
  </conditionalFormatting>
  <conditionalFormatting sqref="D42">
    <cfRule type="expression" dxfId="2787" priority="564">
      <formula>M42=1</formula>
    </cfRule>
  </conditionalFormatting>
  <conditionalFormatting sqref="D42 C44 C31:C34 C36:C42">
    <cfRule type="expression" dxfId="2786" priority="563">
      <formula>K31=1</formula>
    </cfRule>
  </conditionalFormatting>
  <conditionalFormatting sqref="D44">
    <cfRule type="expression" dxfId="2785" priority="561">
      <formula>M44=1</formula>
    </cfRule>
  </conditionalFormatting>
  <conditionalFormatting sqref="D44">
    <cfRule type="expression" dxfId="2784" priority="560">
      <formula>L44=1</formula>
    </cfRule>
  </conditionalFormatting>
  <conditionalFormatting sqref="D46">
    <cfRule type="expression" dxfId="2783" priority="558">
      <formula>M45=1</formula>
    </cfRule>
  </conditionalFormatting>
  <conditionalFormatting sqref="D46 C35 C46:C47">
    <cfRule type="expression" dxfId="2782" priority="557">
      <formula>K34=1</formula>
    </cfRule>
  </conditionalFormatting>
  <conditionalFormatting sqref="D47">
    <cfRule type="expression" dxfId="2781" priority="555">
      <formula>M46=1</formula>
    </cfRule>
  </conditionalFormatting>
  <conditionalFormatting sqref="D47">
    <cfRule type="expression" dxfId="2780" priority="554">
      <formula>L46=1</formula>
    </cfRule>
  </conditionalFormatting>
  <conditionalFormatting sqref="D31">
    <cfRule type="expression" dxfId="2779" priority="545">
      <formula>M31=1</formula>
    </cfRule>
  </conditionalFormatting>
  <conditionalFormatting sqref="D31">
    <cfRule type="expression" dxfId="2778" priority="546">
      <formula>L34=1</formula>
    </cfRule>
  </conditionalFormatting>
  <conditionalFormatting sqref="D32">
    <cfRule type="expression" dxfId="2777" priority="543">
      <formula>M32=1</formula>
    </cfRule>
  </conditionalFormatting>
  <conditionalFormatting sqref="D32">
    <cfRule type="expression" dxfId="2776" priority="542">
      <formula>L32=1</formula>
    </cfRule>
  </conditionalFormatting>
  <conditionalFormatting sqref="D33">
    <cfRule type="expression" dxfId="2775" priority="540">
      <formula>M33=1</formula>
    </cfRule>
  </conditionalFormatting>
  <conditionalFormatting sqref="D33">
    <cfRule type="expression" dxfId="2774" priority="539">
      <formula>L33=1</formula>
    </cfRule>
  </conditionalFormatting>
  <conditionalFormatting sqref="D35">
    <cfRule type="expression" dxfId="2773" priority="537">
      <formula>M34=1</formula>
    </cfRule>
  </conditionalFormatting>
  <conditionalFormatting sqref="D35">
    <cfRule type="expression" dxfId="2772" priority="536">
      <formula>L34=1</formula>
    </cfRule>
  </conditionalFormatting>
  <conditionalFormatting sqref="D36">
    <cfRule type="expression" dxfId="2771" priority="534">
      <formula>M35=1</formula>
    </cfRule>
  </conditionalFormatting>
  <conditionalFormatting sqref="D36">
    <cfRule type="expression" dxfId="2770" priority="533">
      <formula>L35=1</formula>
    </cfRule>
  </conditionalFormatting>
  <conditionalFormatting sqref="D37">
    <cfRule type="expression" dxfId="2769" priority="528">
      <formula>M36=1</formula>
    </cfRule>
  </conditionalFormatting>
  <conditionalFormatting sqref="D37">
    <cfRule type="expression" dxfId="2768" priority="527">
      <formula>L36=1</formula>
    </cfRule>
  </conditionalFormatting>
  <conditionalFormatting sqref="D38">
    <cfRule type="expression" dxfId="2767" priority="525">
      <formula>M37=1</formula>
    </cfRule>
  </conditionalFormatting>
  <conditionalFormatting sqref="D38">
    <cfRule type="expression" dxfId="2766" priority="524">
      <formula>L37=1</formula>
    </cfRule>
  </conditionalFormatting>
  <conditionalFormatting sqref="D40">
    <cfRule type="expression" dxfId="2765" priority="522">
      <formula>M40=1</formula>
    </cfRule>
  </conditionalFormatting>
  <conditionalFormatting sqref="D40">
    <cfRule type="expression" dxfId="2764" priority="521">
      <formula>L40=1</formula>
    </cfRule>
  </conditionalFormatting>
  <conditionalFormatting sqref="D41">
    <cfRule type="expression" dxfId="2763" priority="518">
      <formula>M41=1</formula>
    </cfRule>
  </conditionalFormatting>
  <conditionalFormatting sqref="C44">
    <cfRule type="expression" dxfId="2762" priority="469">
      <formula>L43=1</formula>
    </cfRule>
  </conditionalFormatting>
  <conditionalFormatting sqref="D43">
    <cfRule type="expression" dxfId="2761" priority="471">
      <formula>L43=1</formula>
    </cfRule>
  </conditionalFormatting>
  <conditionalFormatting sqref="B28">
    <cfRule type="expression" dxfId="2760" priority="506">
      <formula>K27=1</formula>
    </cfRule>
  </conditionalFormatting>
  <conditionalFormatting sqref="C28">
    <cfRule type="expression" dxfId="2759" priority="507">
      <formula>K27=1</formula>
    </cfRule>
  </conditionalFormatting>
  <conditionalFormatting sqref="B31:C31">
    <cfRule type="expression" dxfId="2758" priority="502">
      <formula>K31=1</formula>
    </cfRule>
  </conditionalFormatting>
  <conditionalFormatting sqref="B33:C33">
    <cfRule type="expression" dxfId="2757" priority="500">
      <formula>K33=1</formula>
    </cfRule>
  </conditionalFormatting>
  <conditionalFormatting sqref="B32:C32">
    <cfRule type="expression" dxfId="2756" priority="498">
      <formula>K32=1</formula>
    </cfRule>
  </conditionalFormatting>
  <conditionalFormatting sqref="B35:C35">
    <cfRule type="expression" dxfId="2755" priority="496">
      <formula>K34=1</formula>
    </cfRule>
  </conditionalFormatting>
  <conditionalFormatting sqref="C45">
    <cfRule type="expression" dxfId="2754" priority="460">
      <formula>K49=1</formula>
    </cfRule>
  </conditionalFormatting>
  <conditionalFormatting sqref="B34:C34">
    <cfRule type="expression" dxfId="2753" priority="494">
      <formula>K34=1</formula>
    </cfRule>
  </conditionalFormatting>
  <conditionalFormatting sqref="B36:C36">
    <cfRule type="expression" dxfId="2752" priority="492">
      <formula>K36=1</formula>
    </cfRule>
  </conditionalFormatting>
  <conditionalFormatting sqref="B37">
    <cfRule type="expression" dxfId="2751" priority="489">
      <formula>K37=1</formula>
    </cfRule>
  </conditionalFormatting>
  <conditionalFormatting sqref="C37">
    <cfRule type="expression" dxfId="2750" priority="490">
      <formula>L36=1</formula>
    </cfRule>
  </conditionalFormatting>
  <conditionalFormatting sqref="B38:C38">
    <cfRule type="expression" dxfId="2749" priority="487">
      <formula>K38=1</formula>
    </cfRule>
  </conditionalFormatting>
  <conditionalFormatting sqref="B39:C39">
    <cfRule type="expression" dxfId="2748" priority="485">
      <formula>K39=1</formula>
    </cfRule>
  </conditionalFormatting>
  <conditionalFormatting sqref="B40">
    <cfRule type="expression" dxfId="2747" priority="482">
      <formula>K40=1</formula>
    </cfRule>
  </conditionalFormatting>
  <conditionalFormatting sqref="B41:C41">
    <cfRule type="expression" dxfId="2746" priority="480">
      <formula>K41=1</formula>
    </cfRule>
  </conditionalFormatting>
  <conditionalFormatting sqref="B42:C42">
    <cfRule type="expression" dxfId="2745" priority="478">
      <formula>K42=1</formula>
    </cfRule>
  </conditionalFormatting>
  <conditionalFormatting sqref="C43">
    <cfRule type="expression" dxfId="2744" priority="473">
      <formula>L43=1</formula>
    </cfRule>
  </conditionalFormatting>
  <conditionalFormatting sqref="D43">
    <cfRule type="expression" dxfId="2743" priority="472">
      <formula>M43=1</formula>
    </cfRule>
  </conditionalFormatting>
  <conditionalFormatting sqref="B44">
    <cfRule type="expression" dxfId="2742" priority="468">
      <formula>K44=1</formula>
    </cfRule>
  </conditionalFormatting>
  <conditionalFormatting sqref="B46:C46">
    <cfRule type="expression" dxfId="2741" priority="466">
      <formula>K45=1</formula>
    </cfRule>
  </conditionalFormatting>
  <conditionalFormatting sqref="B47:C47">
    <cfRule type="expression" dxfId="2740" priority="464">
      <formula>K46=1</formula>
    </cfRule>
  </conditionalFormatting>
  <conditionalFormatting sqref="B45:C45">
    <cfRule type="expression" dxfId="2739" priority="462">
      <formula>L49=1</formula>
    </cfRule>
  </conditionalFormatting>
  <conditionalFormatting sqref="B45:C45">
    <cfRule type="expression" dxfId="2738" priority="461">
      <formula>K49=1</formula>
    </cfRule>
  </conditionalFormatting>
  <conditionalFormatting sqref="C2">
    <cfRule type="expression" dxfId="2737" priority="125">
      <formula>E2=1</formula>
    </cfRule>
  </conditionalFormatting>
  <conditionalFormatting sqref="B2">
    <cfRule type="expression" dxfId="2736" priority="126">
      <formula>E2=1</formula>
    </cfRule>
  </conditionalFormatting>
  <conditionalFormatting sqref="D2">
    <cfRule type="expression" dxfId="2735" priority="129">
      <formula>E2=1</formula>
    </cfRule>
  </conditionalFormatting>
  <conditionalFormatting sqref="D2">
    <cfRule type="expression" dxfId="2734" priority="130">
      <formula>#REF!=1</formula>
    </cfRule>
  </conditionalFormatting>
  <conditionalFormatting sqref="D2">
    <cfRule type="expression" dxfId="2733" priority="131">
      <formula>#REF!=1</formula>
    </cfRule>
  </conditionalFormatting>
  <conditionalFormatting sqref="B2:C2">
    <cfRule type="expression" dxfId="2732" priority="127">
      <formula>#REF!=1</formula>
    </cfRule>
  </conditionalFormatting>
  <conditionalFormatting sqref="C2">
    <cfRule type="expression" dxfId="2731" priority="128">
      <formula>#REF!=1</formula>
    </cfRule>
  </conditionalFormatting>
  <conditionalFormatting sqref="B3">
    <cfRule type="expression" dxfId="2730" priority="124">
      <formula>E2=1</formula>
    </cfRule>
  </conditionalFormatting>
  <conditionalFormatting sqref="D3">
    <cfRule type="expression" dxfId="2729" priority="120">
      <formula>E2=1</formula>
    </cfRule>
  </conditionalFormatting>
  <conditionalFormatting sqref="C3">
    <cfRule type="expression" dxfId="2728" priority="118">
      <formula>E2=1</formula>
    </cfRule>
  </conditionalFormatting>
  <conditionalFormatting sqref="C3">
    <cfRule type="expression" dxfId="2727" priority="123">
      <formula>K2=1</formula>
    </cfRule>
  </conditionalFormatting>
  <conditionalFormatting sqref="D3">
    <cfRule type="expression" dxfId="2726" priority="122">
      <formula>M2=1</formula>
    </cfRule>
  </conditionalFormatting>
  <conditionalFormatting sqref="D3">
    <cfRule type="expression" dxfId="2725" priority="121">
      <formula>L2=1</formula>
    </cfRule>
  </conditionalFormatting>
  <conditionalFormatting sqref="B3:C3">
    <cfRule type="expression" dxfId="2724" priority="119">
      <formula>K2=1</formula>
    </cfRule>
  </conditionalFormatting>
  <conditionalFormatting sqref="B4">
    <cfRule type="expression" dxfId="2723" priority="117">
      <formula>E4=1</formula>
    </cfRule>
  </conditionalFormatting>
  <conditionalFormatting sqref="D4">
    <cfRule type="expression" dxfId="2722" priority="113">
      <formula>E3=1</formula>
    </cfRule>
  </conditionalFormatting>
  <conditionalFormatting sqref="C4">
    <cfRule type="expression" dxfId="2721" priority="111">
      <formula>E4=1</formula>
    </cfRule>
  </conditionalFormatting>
  <conditionalFormatting sqref="C4">
    <cfRule type="expression" dxfId="2720" priority="116">
      <formula>K4=1</formula>
    </cfRule>
  </conditionalFormatting>
  <conditionalFormatting sqref="D4">
    <cfRule type="expression" dxfId="2719" priority="115">
      <formula>M3=1</formula>
    </cfRule>
  </conditionalFormatting>
  <conditionalFormatting sqref="D4">
    <cfRule type="expression" dxfId="2718" priority="114">
      <formula>L3=1</formula>
    </cfRule>
  </conditionalFormatting>
  <conditionalFormatting sqref="B4:C4">
    <cfRule type="expression" dxfId="2717" priority="112">
      <formula>K4=1</formula>
    </cfRule>
  </conditionalFormatting>
  <conditionalFormatting sqref="B5">
    <cfRule type="expression" dxfId="2716" priority="110">
      <formula>E5=1</formula>
    </cfRule>
  </conditionalFormatting>
  <conditionalFormatting sqref="D5">
    <cfRule type="expression" dxfId="2715" priority="106">
      <formula>E4=1</formula>
    </cfRule>
  </conditionalFormatting>
  <conditionalFormatting sqref="C5">
    <cfRule type="expression" dxfId="2714" priority="104">
      <formula>E5=1</formula>
    </cfRule>
  </conditionalFormatting>
  <conditionalFormatting sqref="C5">
    <cfRule type="expression" dxfId="2713" priority="109">
      <formula>K5=1</formula>
    </cfRule>
  </conditionalFormatting>
  <conditionalFormatting sqref="D5">
    <cfRule type="expression" dxfId="2712" priority="108">
      <formula>M4=1</formula>
    </cfRule>
  </conditionalFormatting>
  <conditionalFormatting sqref="D5">
    <cfRule type="expression" dxfId="2711" priority="107">
      <formula>L4=1</formula>
    </cfRule>
  </conditionalFormatting>
  <conditionalFormatting sqref="B5:C5">
    <cfRule type="expression" dxfId="2710" priority="105">
      <formula>K5=1</formula>
    </cfRule>
  </conditionalFormatting>
  <conditionalFormatting sqref="B6">
    <cfRule type="expression" dxfId="2709" priority="103">
      <formula>E6=1</formula>
    </cfRule>
  </conditionalFormatting>
  <conditionalFormatting sqref="D6">
    <cfRule type="expression" dxfId="2708" priority="99">
      <formula>E6=1</formula>
    </cfRule>
  </conditionalFormatting>
  <conditionalFormatting sqref="C6">
    <cfRule type="expression" dxfId="2707" priority="97">
      <formula>E6=1</formula>
    </cfRule>
  </conditionalFormatting>
  <conditionalFormatting sqref="C6">
    <cfRule type="expression" dxfId="2706" priority="102">
      <formula>K6=1</formula>
    </cfRule>
  </conditionalFormatting>
  <conditionalFormatting sqref="D6">
    <cfRule type="expression" dxfId="2705" priority="101">
      <formula>M6=1</formula>
    </cfRule>
  </conditionalFormatting>
  <conditionalFormatting sqref="D6">
    <cfRule type="expression" dxfId="2704" priority="100">
      <formula>L6=1</formula>
    </cfRule>
  </conditionalFormatting>
  <conditionalFormatting sqref="B6:C6">
    <cfRule type="expression" dxfId="2703" priority="98">
      <formula>K6=1</formula>
    </cfRule>
  </conditionalFormatting>
  <conditionalFormatting sqref="B7">
    <cfRule type="expression" dxfId="2702" priority="96">
      <formula>E7=1</formula>
    </cfRule>
  </conditionalFormatting>
  <conditionalFormatting sqref="C7">
    <cfRule type="expression" dxfId="2701" priority="89">
      <formula>E7=1</formula>
    </cfRule>
  </conditionalFormatting>
  <conditionalFormatting sqref="D7">
    <cfRule type="expression" dxfId="2700" priority="92">
      <formula>E7=1</formula>
    </cfRule>
  </conditionalFormatting>
  <conditionalFormatting sqref="C7">
    <cfRule type="expression" dxfId="2699" priority="95">
      <formula>K7=1</formula>
    </cfRule>
  </conditionalFormatting>
  <conditionalFormatting sqref="D7">
    <cfRule type="expression" dxfId="2698" priority="94">
      <formula>M7=1</formula>
    </cfRule>
  </conditionalFormatting>
  <conditionalFormatting sqref="D7">
    <cfRule type="expression" dxfId="2697" priority="93">
      <formula>L7=1</formula>
    </cfRule>
  </conditionalFormatting>
  <conditionalFormatting sqref="C7">
    <cfRule type="expression" dxfId="2696" priority="91">
      <formula>L6=1</formula>
    </cfRule>
  </conditionalFormatting>
  <conditionalFormatting sqref="B7">
    <cfRule type="expression" dxfId="2695" priority="90">
      <formula>K7=1</formula>
    </cfRule>
  </conditionalFormatting>
  <conditionalFormatting sqref="B8:D8">
    <cfRule type="expression" dxfId="2694" priority="88">
      <formula>F8=1</formula>
    </cfRule>
  </conditionalFormatting>
  <conditionalFormatting sqref="B8:D8">
    <cfRule type="expression" dxfId="2693" priority="87">
      <formula>E8=1</formula>
    </cfRule>
  </conditionalFormatting>
  <conditionalFormatting sqref="C8">
    <cfRule type="expression" dxfId="2692" priority="86">
      <formula>E8=1</formula>
    </cfRule>
  </conditionalFormatting>
  <conditionalFormatting sqref="D8">
    <cfRule type="expression" dxfId="2691" priority="85">
      <formula>E8=1</formula>
    </cfRule>
  </conditionalFormatting>
  <conditionalFormatting sqref="D9">
    <cfRule type="expression" dxfId="2690" priority="82">
      <formula>E9=1</formula>
    </cfRule>
  </conditionalFormatting>
  <conditionalFormatting sqref="D9">
    <cfRule type="expression" dxfId="2689" priority="83">
      <formula>#REF!=1</formula>
    </cfRule>
  </conditionalFormatting>
  <conditionalFormatting sqref="D9">
    <cfRule type="expression" dxfId="2688" priority="84">
      <formula>#REF!=1</formula>
    </cfRule>
  </conditionalFormatting>
  <conditionalFormatting sqref="B9">
    <cfRule type="expression" dxfId="2687" priority="78">
      <formula>E9=1</formula>
    </cfRule>
  </conditionalFormatting>
  <conditionalFormatting sqref="C9">
    <cfRule type="expression" dxfId="2686" priority="77">
      <formula>E9=1</formula>
    </cfRule>
  </conditionalFormatting>
  <conditionalFormatting sqref="C9">
    <cfRule type="expression" dxfId="2685" priority="79">
      <formula>#REF!=1</formula>
    </cfRule>
  </conditionalFormatting>
  <conditionalFormatting sqref="B9">
    <cfRule type="expression" dxfId="2684" priority="80">
      <formula>K8=1</formula>
    </cfRule>
  </conditionalFormatting>
  <conditionalFormatting sqref="C9">
    <cfRule type="expression" dxfId="2683" priority="81">
      <formula>K8=1</formula>
    </cfRule>
  </conditionalFormatting>
  <conditionalFormatting sqref="B10">
    <cfRule type="expression" dxfId="2682" priority="76">
      <formula>E10=1</formula>
    </cfRule>
  </conditionalFormatting>
  <conditionalFormatting sqref="C10">
    <cfRule type="expression" dxfId="2681" priority="73">
      <formula>E10=1</formula>
    </cfRule>
  </conditionalFormatting>
  <conditionalFormatting sqref="C10">
    <cfRule type="expression" dxfId="2680" priority="75">
      <formula>K10=1</formula>
    </cfRule>
  </conditionalFormatting>
  <conditionalFormatting sqref="B10:C10">
    <cfRule type="expression" dxfId="2679" priority="74">
      <formula>K10=1</formula>
    </cfRule>
  </conditionalFormatting>
  <conditionalFormatting sqref="B11">
    <cfRule type="expression" dxfId="2678" priority="72">
      <formula>E11=1</formula>
    </cfRule>
  </conditionalFormatting>
  <conditionalFormatting sqref="C11">
    <cfRule type="expression" dxfId="2677" priority="66">
      <formula>E11=1</formula>
    </cfRule>
  </conditionalFormatting>
  <conditionalFormatting sqref="D11">
    <cfRule type="expression" dxfId="2676" priority="68">
      <formula>E11=1</formula>
    </cfRule>
  </conditionalFormatting>
  <conditionalFormatting sqref="C11">
    <cfRule type="expression" dxfId="2675" priority="71">
      <formula>K11=1</formula>
    </cfRule>
  </conditionalFormatting>
  <conditionalFormatting sqref="D11">
    <cfRule type="expression" dxfId="2674" priority="69">
      <formula>M11=1</formula>
    </cfRule>
  </conditionalFormatting>
  <conditionalFormatting sqref="D11">
    <cfRule type="expression" dxfId="2673" priority="70">
      <formula>L14=1</formula>
    </cfRule>
  </conditionalFormatting>
  <conditionalFormatting sqref="B11:C11">
    <cfRule type="expression" dxfId="2672" priority="67">
      <formula>K11=1</formula>
    </cfRule>
  </conditionalFormatting>
  <conditionalFormatting sqref="B12">
    <cfRule type="expression" dxfId="2671" priority="65">
      <formula>E12=1</formula>
    </cfRule>
  </conditionalFormatting>
  <conditionalFormatting sqref="D12">
    <cfRule type="expression" dxfId="2670" priority="62">
      <formula>E12=1</formula>
    </cfRule>
  </conditionalFormatting>
  <conditionalFormatting sqref="D12">
    <cfRule type="expression" dxfId="2669" priority="64">
      <formula>#REF!=1</formula>
    </cfRule>
  </conditionalFormatting>
  <conditionalFormatting sqref="C12">
    <cfRule type="expression" dxfId="2668" priority="59">
      <formula>E12=1</formula>
    </cfRule>
  </conditionalFormatting>
  <conditionalFormatting sqref="D12">
    <cfRule type="expression" dxfId="2667" priority="63">
      <formula>M12=1</formula>
    </cfRule>
  </conditionalFormatting>
  <conditionalFormatting sqref="C12">
    <cfRule type="expression" dxfId="2666" priority="61">
      <formula>K12=1</formula>
    </cfRule>
  </conditionalFormatting>
  <conditionalFormatting sqref="B12:C12">
    <cfRule type="expression" dxfId="2665" priority="60">
      <formula>K12=1</formula>
    </cfRule>
  </conditionalFormatting>
  <conditionalFormatting sqref="D13">
    <cfRule type="expression" dxfId="2664" priority="56">
      <formula>E13=1</formula>
    </cfRule>
  </conditionalFormatting>
  <conditionalFormatting sqref="D13">
    <cfRule type="expression" dxfId="2663" priority="57">
      <formula>#REF!=1</formula>
    </cfRule>
  </conditionalFormatting>
  <conditionalFormatting sqref="D13">
    <cfRule type="expression" dxfId="2662" priority="58">
      <formula>#REF!=1</formula>
    </cfRule>
  </conditionalFormatting>
  <conditionalFormatting sqref="B13">
    <cfRule type="expression" dxfId="2661" priority="52">
      <formula>E13=1</formula>
    </cfRule>
  </conditionalFormatting>
  <conditionalFormatting sqref="C13">
    <cfRule type="expression" dxfId="2660" priority="51">
      <formula>E13=1</formula>
    </cfRule>
  </conditionalFormatting>
  <conditionalFormatting sqref="B13">
    <cfRule type="expression" dxfId="2659" priority="53">
      <formula>#REF!=1</formula>
    </cfRule>
  </conditionalFormatting>
  <conditionalFormatting sqref="C13">
    <cfRule type="expression" dxfId="2658" priority="54">
      <formula>#REF!=1</formula>
    </cfRule>
  </conditionalFormatting>
  <conditionalFormatting sqref="C13">
    <cfRule type="expression" dxfId="2657" priority="55">
      <formula>#REF!=1</formula>
    </cfRule>
  </conditionalFormatting>
  <conditionalFormatting sqref="B14">
    <cfRule type="expression" dxfId="2656" priority="50">
      <formula>E14=1</formula>
    </cfRule>
  </conditionalFormatting>
  <conditionalFormatting sqref="D14">
    <cfRule type="expression" dxfId="2655" priority="46">
      <formula>E14=1</formula>
    </cfRule>
  </conditionalFormatting>
  <conditionalFormatting sqref="C14">
    <cfRule type="expression" dxfId="2654" priority="44">
      <formula>E14=1</formula>
    </cfRule>
  </conditionalFormatting>
  <conditionalFormatting sqref="C14">
    <cfRule type="expression" dxfId="2653" priority="49">
      <formula>K14=1</formula>
    </cfRule>
  </conditionalFormatting>
  <conditionalFormatting sqref="D14">
    <cfRule type="expression" dxfId="2652" priority="48">
      <formula>M14=1</formula>
    </cfRule>
  </conditionalFormatting>
  <conditionalFormatting sqref="D14">
    <cfRule type="expression" dxfId="2651" priority="47">
      <formula>L14=1</formula>
    </cfRule>
  </conditionalFormatting>
  <conditionalFormatting sqref="B14:C14">
    <cfRule type="expression" dxfId="2650" priority="45">
      <formula>K14=1</formula>
    </cfRule>
  </conditionalFormatting>
  <conditionalFormatting sqref="B15">
    <cfRule type="expression" dxfId="2649" priority="43">
      <formula>E15=1</formula>
    </cfRule>
  </conditionalFormatting>
  <conditionalFormatting sqref="D15">
    <cfRule type="expression" dxfId="2648" priority="39">
      <formula>E14=1</formula>
    </cfRule>
  </conditionalFormatting>
  <conditionalFormatting sqref="C15">
    <cfRule type="expression" dxfId="2647" priority="36">
      <formula>E15=1</formula>
    </cfRule>
  </conditionalFormatting>
  <conditionalFormatting sqref="C15">
    <cfRule type="expression" dxfId="2646" priority="42">
      <formula>K15=1</formula>
    </cfRule>
  </conditionalFormatting>
  <conditionalFormatting sqref="D15">
    <cfRule type="expression" dxfId="2645" priority="41">
      <formula>M14=1</formula>
    </cfRule>
  </conditionalFormatting>
  <conditionalFormatting sqref="D15">
    <cfRule type="expression" dxfId="2644" priority="40">
      <formula>L14=1</formula>
    </cfRule>
  </conditionalFormatting>
  <conditionalFormatting sqref="B15">
    <cfRule type="expression" dxfId="2643" priority="37">
      <formula>K15=1</formula>
    </cfRule>
  </conditionalFormatting>
  <conditionalFormatting sqref="C15">
    <cfRule type="expression" dxfId="2642" priority="38">
      <formula>L14=1</formula>
    </cfRule>
  </conditionalFormatting>
  <conditionalFormatting sqref="B16">
    <cfRule type="expression" dxfId="2641" priority="35">
      <formula>E16=1</formula>
    </cfRule>
  </conditionalFormatting>
  <conditionalFormatting sqref="D16">
    <cfRule type="expression" dxfId="2640" priority="31">
      <formula>E16=1</formula>
    </cfRule>
  </conditionalFormatting>
  <conditionalFormatting sqref="C16">
    <cfRule type="expression" dxfId="2639" priority="28">
      <formula>E16=1</formula>
    </cfRule>
  </conditionalFormatting>
  <conditionalFormatting sqref="C16">
    <cfRule type="expression" dxfId="2638" priority="30">
      <formula>#REF!=1</formula>
    </cfRule>
  </conditionalFormatting>
  <conditionalFormatting sqref="C16">
    <cfRule type="expression" dxfId="2637" priority="34">
      <formula>K16=1</formula>
    </cfRule>
  </conditionalFormatting>
  <conditionalFormatting sqref="D16">
    <cfRule type="expression" dxfId="2636" priority="33">
      <formula>M16=1</formula>
    </cfRule>
  </conditionalFormatting>
  <conditionalFormatting sqref="D16">
    <cfRule type="expression" dxfId="2635" priority="32">
      <formula>L16=1</formula>
    </cfRule>
  </conditionalFormatting>
  <conditionalFormatting sqref="B16">
    <cfRule type="expression" dxfId="2634" priority="29">
      <formula>K16=1</formula>
    </cfRule>
  </conditionalFormatting>
  <conditionalFormatting sqref="B17:B18">
    <cfRule type="expression" dxfId="2633" priority="27">
      <formula>E17=1</formula>
    </cfRule>
  </conditionalFormatting>
  <conditionalFormatting sqref="D18">
    <cfRule type="expression" dxfId="2632" priority="24">
      <formula>E18=1</formula>
    </cfRule>
  </conditionalFormatting>
  <conditionalFormatting sqref="D17">
    <cfRule type="expression" dxfId="2631" priority="21">
      <formula>E17=1</formula>
    </cfRule>
  </conditionalFormatting>
  <conditionalFormatting sqref="D17">
    <cfRule type="expression" dxfId="2630" priority="23">
      <formula>#REF!=1</formula>
    </cfRule>
  </conditionalFormatting>
  <conditionalFormatting sqref="C17">
    <cfRule type="expression" dxfId="2629" priority="19">
      <formula>E17=1</formula>
    </cfRule>
  </conditionalFormatting>
  <conditionalFormatting sqref="C18">
    <cfRule type="expression" dxfId="2628" priority="17">
      <formula>E18=1</formula>
    </cfRule>
  </conditionalFormatting>
  <conditionalFormatting sqref="B19">
    <cfRule type="expression" dxfId="2627" priority="14">
      <formula>#REF!=1</formula>
    </cfRule>
  </conditionalFormatting>
  <conditionalFormatting sqref="B19:C19">
    <cfRule type="expression" dxfId="2626" priority="15">
      <formula>#REF!=1</formula>
    </cfRule>
  </conditionalFormatting>
  <conditionalFormatting sqref="C19">
    <cfRule type="expression" dxfId="2625" priority="16">
      <formula>#REF!=1</formula>
    </cfRule>
  </conditionalFormatting>
  <conditionalFormatting sqref="D19">
    <cfRule type="expression" dxfId="2624" priority="10">
      <formula>E19=1</formula>
    </cfRule>
  </conditionalFormatting>
  <conditionalFormatting sqref="D18">
    <cfRule type="expression" dxfId="2623" priority="26">
      <formula>M18=1</formula>
    </cfRule>
  </conditionalFormatting>
  <conditionalFormatting sqref="D18 C17:C18">
    <cfRule type="expression" dxfId="2622" priority="25">
      <formula>K17=1</formula>
    </cfRule>
  </conditionalFormatting>
  <conditionalFormatting sqref="D17">
    <cfRule type="expression" dxfId="2621" priority="22">
      <formula>M17=1</formula>
    </cfRule>
  </conditionalFormatting>
  <conditionalFormatting sqref="D19">
    <cfRule type="expression" dxfId="2620" priority="11">
      <formula>L19=1</formula>
    </cfRule>
  </conditionalFormatting>
  <conditionalFormatting sqref="B17:C17">
    <cfRule type="expression" dxfId="2619" priority="20">
      <formula>K17=1</formula>
    </cfRule>
  </conditionalFormatting>
  <conditionalFormatting sqref="B18:C18">
    <cfRule type="expression" dxfId="2618" priority="18">
      <formula>K18=1</formula>
    </cfRule>
  </conditionalFormatting>
  <conditionalFormatting sqref="C19">
    <cfRule type="expression" dxfId="2617" priority="13">
      <formula>L19=1</formula>
    </cfRule>
  </conditionalFormatting>
  <conditionalFormatting sqref="D19">
    <cfRule type="expression" dxfId="2616" priority="12">
      <formula>M19=1</formula>
    </cfRule>
  </conditionalFormatting>
  <conditionalFormatting sqref="B21">
    <cfRule type="expression" dxfId="2615" priority="9">
      <formula>E20=1</formula>
    </cfRule>
  </conditionalFormatting>
  <conditionalFormatting sqref="D21">
    <cfRule type="expression" dxfId="2614" priority="6">
      <formula>E20=1</formula>
    </cfRule>
  </conditionalFormatting>
  <conditionalFormatting sqref="C21">
    <cfRule type="expression" dxfId="2613" priority="4">
      <formula>E20=1</formula>
    </cfRule>
  </conditionalFormatting>
  <conditionalFormatting sqref="D21">
    <cfRule type="expression" dxfId="2612" priority="8">
      <formula>M20=1</formula>
    </cfRule>
  </conditionalFormatting>
  <conditionalFormatting sqref="C21:D21">
    <cfRule type="expression" dxfId="2611" priority="7">
      <formula>K20=1</formula>
    </cfRule>
  </conditionalFormatting>
  <conditionalFormatting sqref="C20">
    <cfRule type="expression" dxfId="2610" priority="1">
      <formula>K24=1</formula>
    </cfRule>
  </conditionalFormatting>
  <conditionalFormatting sqref="B21:C21">
    <cfRule type="expression" dxfId="2609" priority="5">
      <formula>K20=1</formula>
    </cfRule>
  </conditionalFormatting>
  <conditionalFormatting sqref="B20:C20">
    <cfRule type="expression" dxfId="2608" priority="3">
      <formula>L24=1</formula>
    </cfRule>
  </conditionalFormatting>
  <conditionalFormatting sqref="B20:C20">
    <cfRule type="expression" dxfId="2607" priority="2">
      <formula>K24=1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FC90-A24C-9F46-ABDD-E5D05378B579}">
  <dimension ref="A1:M49"/>
  <sheetViews>
    <sheetView showGridLines="0" zoomScale="99" workbookViewId="0">
      <selection activeCell="B2" sqref="B2:C21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IFERROR(__xludf.DUMMYFUNCTION("""COMPUTED_VALUE"""),83)</f>
        <v>83</v>
      </c>
      <c r="C2" s="3" t="str">
        <f ca="1">IFERROR(__xludf.DUMMYFUNCTION("""COMPUTED_VALUE"""),"Aaron Rodgers")</f>
        <v>Aaron Rodgers</v>
      </c>
      <c r="D2" s="3" t="s">
        <v>49</v>
      </c>
      <c r="E2" t="b">
        <f ca="1">NOT(ISERROR(MATCH($C2,'Ben Usage'!$C$38:$C$500,0)))</f>
        <v>0</v>
      </c>
      <c r="G2" t="s">
        <v>49</v>
      </c>
      <c r="H2" s="26">
        <f t="shared" ref="H2:H7" si="0">+COUNTIF($D$2:$D$74,G2)</f>
        <v>3</v>
      </c>
      <c r="J2" s="21" t="s">
        <v>880</v>
      </c>
      <c r="K2" s="30"/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IFERROR(__xludf.DUMMYFUNCTION("""COMPUTED_VALUE"""),133)</f>
        <v>133</v>
      </c>
      <c r="C3" s="3" t="str">
        <f ca="1">IFERROR(__xludf.DUMMYFUNCTION("""COMPUTED_VALUE"""),"Dalvin Cook")</f>
        <v>Dalvin Cook</v>
      </c>
      <c r="D3" s="3" t="s">
        <v>8</v>
      </c>
      <c r="E3" t="b">
        <f ca="1">NOT(ISERROR(MATCH($C3,'Ben Usage'!$C$38:$C$500,0)))</f>
        <v>0</v>
      </c>
      <c r="G3" t="s">
        <v>8</v>
      </c>
      <c r="H3" s="26">
        <f t="shared" si="0"/>
        <v>4</v>
      </c>
      <c r="J3" s="21" t="s">
        <v>881</v>
      </c>
      <c r="K3" s="30"/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IFERROR(__xludf.DUMMYFUNCTION("""COMPUTED_VALUE"""),296)</f>
        <v>296</v>
      </c>
      <c r="C4" s="3" t="str">
        <f ca="1">IFERROR(__xludf.DUMMYFUNCTION("""COMPUTED_VALUE"""),"Mike Evans")</f>
        <v>Mike Evans</v>
      </c>
      <c r="D4" s="3" t="s">
        <v>6</v>
      </c>
      <c r="E4" t="b">
        <v>0</v>
      </c>
      <c r="G4" t="s">
        <v>6</v>
      </c>
      <c r="H4" s="26">
        <f t="shared" si="0"/>
        <v>4</v>
      </c>
      <c r="J4" s="21" t="s">
        <v>882</v>
      </c>
      <c r="K4" s="30"/>
      <c r="L4" s="53"/>
    </row>
    <row r="5" spans="1:13" x14ac:dyDescent="0.15">
      <c r="A5" s="16">
        <f t="shared" si="1"/>
        <v>4</v>
      </c>
      <c r="B5" s="3">
        <f ca="1">IFERROR(__xludf.DUMMYFUNCTION("""COMPUTED_VALUE"""),421)</f>
        <v>421</v>
      </c>
      <c r="C5" s="3" t="str">
        <f ca="1">IFERROR(__xludf.DUMMYFUNCTION("""COMPUTED_VALUE"""),"Travis Kelce")</f>
        <v>Travis Kelce</v>
      </c>
      <c r="D5" s="3" t="s">
        <v>4</v>
      </c>
      <c r="E5" t="b">
        <f ca="1">NOT(ISERROR(MATCH($C5,'Ben Usage'!$C$38:$C$500,0)))</f>
        <v>0</v>
      </c>
      <c r="G5" t="s">
        <v>4</v>
      </c>
      <c r="H5" s="26">
        <f t="shared" si="0"/>
        <v>3</v>
      </c>
      <c r="J5" s="21" t="s">
        <v>883</v>
      </c>
      <c r="K5" s="30"/>
    </row>
    <row r="6" spans="1:13" x14ac:dyDescent="0.15">
      <c r="A6" s="16">
        <f t="shared" si="1"/>
        <v>5</v>
      </c>
      <c r="B6" s="3">
        <f ca="1">IFERROR(__xludf.DUMMYFUNCTION("""COMPUTED_VALUE"""),355)</f>
        <v>355</v>
      </c>
      <c r="C6" s="3" t="str">
        <f ca="1">IFERROR(__xludf.DUMMYFUNCTION("""COMPUTED_VALUE"""),"Ryan Fitzpatrick")</f>
        <v>Ryan Fitzpatrick</v>
      </c>
      <c r="D6" s="3" t="s">
        <v>49</v>
      </c>
      <c r="E6" t="b">
        <f ca="1">NOT(ISERROR(MATCH($C6,'Ben Usage'!$C$38:$C$500,0)))</f>
        <v>0</v>
      </c>
      <c r="G6" s="21" t="s">
        <v>782</v>
      </c>
      <c r="H6" s="26">
        <f t="shared" si="0"/>
        <v>3</v>
      </c>
      <c r="J6" s="21" t="s">
        <v>884</v>
      </c>
      <c r="K6" s="30"/>
    </row>
    <row r="7" spans="1:13" x14ac:dyDescent="0.15">
      <c r="A7" s="16">
        <f t="shared" si="1"/>
        <v>6</v>
      </c>
      <c r="B7" s="3">
        <f ca="1">IFERROR(__xludf.DUMMYFUNCTION("""COMPUTED_VALUE"""),592)</f>
        <v>592</v>
      </c>
      <c r="C7" s="3" t="str">
        <f ca="1">IFERROR(__xludf.DUMMYFUNCTION("""COMPUTED_VALUE"""),"James Washington")</f>
        <v>James Washington</v>
      </c>
      <c r="D7" s="3" t="s">
        <v>6</v>
      </c>
      <c r="E7" t="b">
        <f ca="1">NOT(ISERROR(MATCH($C7,'Ben Usage'!$C$38:$C$500,0)))</f>
        <v>0</v>
      </c>
      <c r="G7" s="23" t="s">
        <v>815</v>
      </c>
      <c r="H7" s="27">
        <f t="shared" si="0"/>
        <v>3</v>
      </c>
      <c r="J7" s="28" t="s">
        <v>885</v>
      </c>
      <c r="K7" s="30"/>
    </row>
    <row r="8" spans="1:13" x14ac:dyDescent="0.15">
      <c r="A8" s="16">
        <f t="shared" si="1"/>
        <v>7</v>
      </c>
      <c r="B8" s="3">
        <f ca="1">IFERROR(__xludf.DUMMYFUNCTION("""COMPUTED_VALUE"""),403)</f>
        <v>403</v>
      </c>
      <c r="C8" s="3" t="str">
        <f ca="1">IFERROR(__xludf.DUMMYFUNCTION("""COMPUTED_VALUE"""),"Todd Gurley")</f>
        <v>Todd Gurley</v>
      </c>
      <c r="D8" s="3" t="s">
        <v>8</v>
      </c>
      <c r="E8" t="b">
        <f ca="1">NOT(ISERROR(MATCH($C8,'Ben Usage'!$C$38:$C$500,0)))</f>
        <v>0</v>
      </c>
      <c r="J8" s="28" t="s">
        <v>886</v>
      </c>
      <c r="K8" s="31"/>
      <c r="L8" s="53"/>
    </row>
    <row r="9" spans="1:13" x14ac:dyDescent="0.15">
      <c r="A9" s="16">
        <f t="shared" si="1"/>
        <v>8</v>
      </c>
      <c r="B9" s="3">
        <f ca="1">IFERROR(__xludf.DUMMYFUNCTION("""COMPUTED_VALUE"""),152)</f>
        <v>152</v>
      </c>
      <c r="C9" s="3" t="str">
        <f ca="1">IFERROR(__xludf.DUMMYFUNCTION("""COMPUTED_VALUE"""),"DeVante Parker")</f>
        <v>DeVante Parker</v>
      </c>
      <c r="D9" s="3" t="s">
        <v>6</v>
      </c>
      <c r="E9" t="b">
        <f ca="1">NOT(ISERROR(MATCH($C9,'Ben Usage'!$C$38:$C$500,0)))</f>
        <v>0</v>
      </c>
      <c r="J9" s="28" t="s">
        <v>887</v>
      </c>
      <c r="K9" s="31"/>
      <c r="L9" s="53"/>
    </row>
    <row r="10" spans="1:13" x14ac:dyDescent="0.15">
      <c r="A10" s="16">
        <f t="shared" si="1"/>
        <v>9</v>
      </c>
      <c r="B10" s="3">
        <f ca="1">IFERROR(__xludf.DUMMYFUNCTION("""COMPUTED_VALUE"""),228)</f>
        <v>228</v>
      </c>
      <c r="C10" s="3" t="str">
        <f ca="1">IFERROR(__xludf.DUMMYFUNCTION("""COMPUTED_VALUE"""),"Kareem Hunt")</f>
        <v>Kareem Hunt</v>
      </c>
      <c r="D10" s="3" t="s">
        <v>8</v>
      </c>
      <c r="E10" t="b">
        <f ca="1">NOT(ISERROR(MATCH($C10,'Ben Usage'!$C$38:$C$500,0)))</f>
        <v>0</v>
      </c>
      <c r="J10" s="31" t="s">
        <v>888</v>
      </c>
      <c r="K10" s="31"/>
    </row>
    <row r="11" spans="1:13" x14ac:dyDescent="0.15">
      <c r="A11" s="16">
        <f t="shared" si="1"/>
        <v>10</v>
      </c>
      <c r="B11" s="3">
        <f ca="1">IFERROR(__xludf.DUMMYFUNCTION("""COMPUTED_VALUE"""),184)</f>
        <v>184</v>
      </c>
      <c r="C11" s="3" t="str">
        <f ca="1">IFERROR(__xludf.DUMMYFUNCTION("""COMPUTED_VALUE"""),"Jack Doyle")</f>
        <v>Jack Doyle</v>
      </c>
      <c r="D11" s="3" t="s">
        <v>4</v>
      </c>
      <c r="E11" t="b">
        <f ca="1">NOT(ISERROR(MATCH($C11,'Ben Usage'!$C$38:$C$500,0)))</f>
        <v>0</v>
      </c>
      <c r="F11" s="3"/>
      <c r="G11" s="3"/>
      <c r="H11" s="3"/>
      <c r="J11" s="31" t="s">
        <v>889</v>
      </c>
      <c r="K11" s="31"/>
    </row>
    <row r="12" spans="1:13" x14ac:dyDescent="0.15">
      <c r="A12" s="16">
        <f t="shared" si="1"/>
        <v>11</v>
      </c>
      <c r="B12" s="3">
        <f ca="1">IFERROR(__xludf.DUMMYFUNCTION("""COMPUTED_VALUE"""),92)</f>
        <v>92</v>
      </c>
      <c r="C12" s="3" t="str">
        <f ca="1">IFERROR(__xludf.DUMMYFUNCTION("""COMPUTED_VALUE"""),"Alshon Jeffery")</f>
        <v>Alshon Jeffery</v>
      </c>
      <c r="D12" s="3" t="s">
        <v>6</v>
      </c>
      <c r="E12" t="b">
        <f ca="1">NOT(ISERROR(MATCH($C12,'Ben Usage'!$C$38:$C$500,0)))</f>
        <v>0</v>
      </c>
      <c r="J12" s="31" t="s">
        <v>890</v>
      </c>
      <c r="K12" s="31"/>
    </row>
    <row r="13" spans="1:13" x14ac:dyDescent="0.15">
      <c r="A13" s="16">
        <f t="shared" si="1"/>
        <v>12</v>
      </c>
      <c r="B13" s="3">
        <f ca="1">IFERROR(__xludf.DUMMYFUNCTION("""COMPUTED_VALUE"""),181)</f>
        <v>181</v>
      </c>
      <c r="C13" s="3" t="str">
        <f ca="1">IFERROR(__xludf.DUMMYFUNCTION("""COMPUTED_VALUE"""),"Hunter Henry")</f>
        <v>Hunter Henry</v>
      </c>
      <c r="D13" s="3" t="s">
        <v>4</v>
      </c>
      <c r="E13" t="b">
        <f ca="1">NOT(ISERROR(MATCH($C13,'Ben Usage'!$C$38:$C$500,0)))</f>
        <v>0</v>
      </c>
      <c r="J13" s="31" t="s">
        <v>891</v>
      </c>
      <c r="K13" s="31"/>
    </row>
    <row r="14" spans="1:13" x14ac:dyDescent="0.15">
      <c r="A14" s="16">
        <f t="shared" si="1"/>
        <v>13</v>
      </c>
      <c r="B14" s="3">
        <f ca="1">IFERROR(__xludf.DUMMYFUNCTION("""COMPUTED_VALUE"""),154)</f>
        <v>154</v>
      </c>
      <c r="C14" s="3" t="str">
        <f ca="1">IFERROR(__xludf.DUMMYFUNCTION("""COMPUTED_VALUE"""),"Devonta Freeman")</f>
        <v>Devonta Freeman</v>
      </c>
      <c r="D14" s="21" t="s">
        <v>8</v>
      </c>
      <c r="E14" t="b">
        <f ca="1">NOT(ISERROR(MATCH($C14,'Ben Usage'!$C$38:$C$500,0)))</f>
        <v>0</v>
      </c>
      <c r="J14" s="31" t="s">
        <v>892</v>
      </c>
      <c r="K14" s="31"/>
    </row>
    <row r="15" spans="1:13" x14ac:dyDescent="0.15">
      <c r="A15" s="16">
        <f t="shared" si="1"/>
        <v>14</v>
      </c>
      <c r="B15" s="3">
        <f ca="1">IFERROR(__xludf.DUMMYFUNCTION("""COMPUTED_VALUE"""),812)</f>
        <v>812</v>
      </c>
      <c r="C15" s="3" t="str">
        <f ca="1">IFERROR(__xludf.DUMMYFUNCTION("""COMPUTED_VALUE"""),"New York Jets")</f>
        <v>New York Jets</v>
      </c>
      <c r="D15" s="3" t="s">
        <v>782</v>
      </c>
      <c r="E15" t="b">
        <f ca="1">NOT(ISERROR(MATCH($C15,'Ben Usage'!$C$38:$C$500,0)))</f>
        <v>0</v>
      </c>
      <c r="J15" s="33" t="s">
        <v>893</v>
      </c>
      <c r="K15" s="33"/>
    </row>
    <row r="16" spans="1:13" x14ac:dyDescent="0.15">
      <c r="A16" s="16">
        <f t="shared" si="1"/>
        <v>15</v>
      </c>
      <c r="B16" s="3">
        <f ca="1">IFERROR(__xludf.DUMMYFUNCTION("""COMPUTED_VALUE"""),801)</f>
        <v>801</v>
      </c>
      <c r="C16" s="3" t="str">
        <f ca="1">IFERROR(__xludf.DUMMYFUNCTION("""COMPUTED_VALUE"""),"Houston Texans")</f>
        <v>Houston Texans</v>
      </c>
      <c r="D16" s="3" t="s">
        <v>782</v>
      </c>
      <c r="E16" t="b">
        <f ca="1">NOT(ISERROR(MATCH($C16,'Ben Usage'!$C$38:$C$500,0)))</f>
        <v>0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IFERROR(__xludf.DUMMYFUNCTION("""COMPUTED_VALUE"""),814)</f>
        <v>814</v>
      </c>
      <c r="C17" s="3" t="str">
        <f ca="1">IFERROR(__xludf.DUMMYFUNCTION("""COMPUTED_VALUE"""),"Philadelphia Eagles")</f>
        <v>Philadelphia Eagles</v>
      </c>
      <c r="D17" s="3" t="s">
        <v>782</v>
      </c>
      <c r="E17" t="b">
        <f ca="1">NOT(ISERROR(MATCH($C17,'Ben Usage'!$C$38:$C$500,0)))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IFERROR(__xludf.DUMMYFUNCTION("""COMPUTED_VALUE"""),834)</f>
        <v>834</v>
      </c>
      <c r="C18" s="3" t="str">
        <f ca="1">IFERROR(__xludf.DUMMYFUNCTION("""COMPUTED_VALUE"""),"Ka'imi Fairbairn")</f>
        <v>Ka'imi Fairbairn</v>
      </c>
      <c r="D18" s="21" t="s">
        <v>815</v>
      </c>
      <c r="E18" t="b">
        <f ca="1">NOT(ISERROR(MATCH($C18,'Ben Usage'!$C$38:$C$500,0)))</f>
        <v>0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IFERROR(__xludf.DUMMYFUNCTION("""COMPUTED_VALUE"""),840)</f>
        <v>840</v>
      </c>
      <c r="C19" s="3" t="str">
        <f ca="1">IFERROR(__xludf.DUMMYFUNCTION("""COMPUTED_VALUE"""),"Robbie Gould")</f>
        <v>Robbie Gould</v>
      </c>
      <c r="D19" s="3" t="s">
        <v>815</v>
      </c>
      <c r="E19" t="b">
        <f ca="1">NOT(ISERROR(MATCH($C19,'Ben Usage'!$C$38:$C$500,0)))</f>
        <v>0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IFERROR(__xludf.DUMMYFUNCTION("""COMPUTED_VALUE"""),861)</f>
        <v>861</v>
      </c>
      <c r="C20" s="3" t="str">
        <f ca="1">IFERROR(__xludf.DUMMYFUNCTION("""COMPUTED_VALUE"""),"Ryan Succop")</f>
        <v>Ryan Succop</v>
      </c>
      <c r="D20" s="3" t="s">
        <v>815</v>
      </c>
      <c r="E20" t="b">
        <f ca="1">NOT(ISERROR(MATCH($C20,'Ben Usage'!$C$38:$C$500,0)))</f>
        <v>0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IFERROR(__xludf.DUMMYFUNCTION("""COMPUTED_VALUE"""),169)</f>
        <v>169</v>
      </c>
      <c r="C21" s="3" t="str">
        <f ca="1">IFERROR(__xludf.DUMMYFUNCTION("""COMPUTED_VALUE"""),"Eli Manning")</f>
        <v>Eli Manning</v>
      </c>
      <c r="D21" s="3" t="s">
        <v>49</v>
      </c>
      <c r="E21" t="b">
        <f ca="1">NOT(ISERROR(MATCH($C21,'Ben Usage'!$C$38:$C$500,0)))</f>
        <v>0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932</v>
      </c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7"/>
      <c r="C28" s="7"/>
      <c r="D28" s="7"/>
      <c r="E28" s="6"/>
      <c r="F28" s="6"/>
    </row>
    <row r="29" spans="1:12" x14ac:dyDescent="0.15">
      <c r="B29" s="7"/>
      <c r="C29" s="7"/>
      <c r="D29" s="7"/>
      <c r="E29" s="6"/>
      <c r="F29" s="6"/>
    </row>
    <row r="30" spans="1:12" x14ac:dyDescent="0.15">
      <c r="B30" s="7"/>
      <c r="C30" s="7"/>
      <c r="D30" s="7"/>
      <c r="E30" s="6"/>
      <c r="F30" s="6"/>
    </row>
    <row r="31" spans="1:12" x14ac:dyDescent="0.15">
      <c r="B31" s="7"/>
      <c r="C31" s="7"/>
      <c r="D31" s="7"/>
      <c r="E31" s="6"/>
      <c r="F31" s="6"/>
    </row>
    <row r="32" spans="1:12" x14ac:dyDescent="0.15">
      <c r="B32" s="7"/>
      <c r="C32" s="7"/>
      <c r="D32" s="7"/>
      <c r="E32" s="6"/>
      <c r="F32" s="6"/>
    </row>
    <row r="33" spans="2:6" x14ac:dyDescent="0.15">
      <c r="B33" s="7"/>
      <c r="C33" s="7"/>
      <c r="D33" s="7"/>
      <c r="E33" s="6"/>
      <c r="F33" s="6"/>
    </row>
    <row r="34" spans="2:6" x14ac:dyDescent="0.15">
      <c r="B34" s="7"/>
      <c r="C34" s="7"/>
      <c r="D34" s="30"/>
      <c r="E34" s="6"/>
      <c r="F34" s="6"/>
    </row>
    <row r="35" spans="2:6" x14ac:dyDescent="0.15">
      <c r="B35" s="7"/>
      <c r="C35" s="7"/>
      <c r="D35" s="7"/>
      <c r="E35" s="6"/>
      <c r="F35" s="6"/>
    </row>
    <row r="36" spans="2:6" x14ac:dyDescent="0.15">
      <c r="B36" s="7"/>
      <c r="C36" s="7"/>
      <c r="D36" s="7"/>
      <c r="E36" s="6"/>
      <c r="F36" s="6"/>
    </row>
    <row r="37" spans="2:6" x14ac:dyDescent="0.15">
      <c r="B37" s="7"/>
      <c r="C37" s="7"/>
      <c r="D37" s="7"/>
      <c r="E37" s="6"/>
      <c r="F37" s="6"/>
    </row>
    <row r="38" spans="2:6" x14ac:dyDescent="0.15">
      <c r="B38" s="7"/>
      <c r="C38" s="7"/>
      <c r="D38" s="7"/>
      <c r="E38" s="6"/>
      <c r="F38" s="6"/>
    </row>
    <row r="39" spans="2:6" x14ac:dyDescent="0.15">
      <c r="B39" s="7"/>
      <c r="C39" s="7"/>
      <c r="D39" s="7"/>
      <c r="E39" s="6"/>
      <c r="F39" s="6"/>
    </row>
    <row r="40" spans="2:6" x14ac:dyDescent="0.15">
      <c r="B40" s="7"/>
      <c r="C40" s="7"/>
      <c r="D40" s="7"/>
      <c r="E40" s="6"/>
      <c r="F40" s="6"/>
    </row>
    <row r="41" spans="2:6" x14ac:dyDescent="0.15">
      <c r="B41" s="7"/>
      <c r="C41" s="7"/>
      <c r="D41" s="7"/>
      <c r="E41" s="6"/>
      <c r="F41" s="6"/>
    </row>
    <row r="42" spans="2:6" x14ac:dyDescent="0.15">
      <c r="B42" s="7"/>
      <c r="C42" s="7"/>
      <c r="D42" s="7"/>
      <c r="E42" s="6"/>
      <c r="F42" s="6"/>
    </row>
    <row r="43" spans="2:6" x14ac:dyDescent="0.15">
      <c r="B43" s="7"/>
      <c r="C43" s="7"/>
      <c r="D43" s="7"/>
      <c r="E43" s="6"/>
      <c r="F43" s="6"/>
    </row>
    <row r="44" spans="2:6" x14ac:dyDescent="0.15">
      <c r="B44" s="7"/>
      <c r="C44" s="7"/>
      <c r="D44" s="7"/>
      <c r="E44" s="6"/>
      <c r="F44" s="6"/>
    </row>
    <row r="45" spans="2:6" x14ac:dyDescent="0.15">
      <c r="B45" s="7"/>
      <c r="C45" s="7"/>
      <c r="D45" s="30"/>
      <c r="E45" s="6"/>
      <c r="F45" s="6"/>
    </row>
    <row r="46" spans="2:6" x14ac:dyDescent="0.15">
      <c r="B46" s="7"/>
      <c r="C46" s="7"/>
      <c r="D46" s="7"/>
      <c r="E46" s="6"/>
      <c r="F46" s="6"/>
    </row>
    <row r="47" spans="2:6" x14ac:dyDescent="0.15">
      <c r="B47" s="7"/>
      <c r="C47" s="7"/>
      <c r="D47" s="7"/>
      <c r="E47" s="6"/>
      <c r="F47" s="6"/>
    </row>
    <row r="48" spans="2:6" x14ac:dyDescent="0.15">
      <c r="B48" s="7"/>
      <c r="C48" s="7"/>
      <c r="D48" s="7"/>
      <c r="E48" s="6"/>
      <c r="F48" s="6"/>
    </row>
    <row r="49" spans="2:4" x14ac:dyDescent="0.15">
      <c r="B49" s="3"/>
      <c r="C49" s="3"/>
      <c r="D49" s="3"/>
    </row>
  </sheetData>
  <conditionalFormatting sqref="A24:C24 A5:A15 A25:A27">
    <cfRule type="expression" dxfId="2606" priority="734">
      <formula>E5=1</formula>
    </cfRule>
  </conditionalFormatting>
  <conditionalFormatting sqref="B24:C24 B44 B31:B34 B36:B42">
    <cfRule type="expression" dxfId="2605" priority="733">
      <formula>E24=1</formula>
    </cfRule>
  </conditionalFormatting>
  <conditionalFormatting sqref="C24">
    <cfRule type="expression" dxfId="2604" priority="732">
      <formula>E24=1</formula>
    </cfRule>
  </conditionalFormatting>
  <conditionalFormatting sqref="H2">
    <cfRule type="expression" dxfId="2603" priority="731">
      <formula>$H$2&gt;=3</formula>
    </cfRule>
  </conditionalFormatting>
  <conditionalFormatting sqref="H4">
    <cfRule type="expression" dxfId="2602" priority="730">
      <formula>$H$4&gt;=4</formula>
    </cfRule>
  </conditionalFormatting>
  <conditionalFormatting sqref="H5">
    <cfRule type="expression" dxfId="2601" priority="729">
      <formula>$H$5&gt;=3</formula>
    </cfRule>
  </conditionalFormatting>
  <conditionalFormatting sqref="H6">
    <cfRule type="expression" dxfId="2600" priority="728">
      <formula>$H$6&gt;=3</formula>
    </cfRule>
  </conditionalFormatting>
  <conditionalFormatting sqref="H7">
    <cfRule type="expression" dxfId="2599" priority="727">
      <formula>$H$7&gt;=3</formula>
    </cfRule>
  </conditionalFormatting>
  <conditionalFormatting sqref="A2:A3">
    <cfRule type="expression" dxfId="2598" priority="735">
      <formula>E3=1</formula>
    </cfRule>
  </conditionalFormatting>
  <conditionalFormatting sqref="A20 A22">
    <cfRule type="expression" dxfId="2597" priority="736">
      <formula>#REF!=1</formula>
    </cfRule>
  </conditionalFormatting>
  <conditionalFormatting sqref="A4">
    <cfRule type="expression" dxfId="2596" priority="737">
      <formula>#REF!=1</formula>
    </cfRule>
  </conditionalFormatting>
  <conditionalFormatting sqref="A16:A17">
    <cfRule type="expression" dxfId="2595" priority="738">
      <formula>F16=1</formula>
    </cfRule>
  </conditionalFormatting>
  <conditionalFormatting sqref="A21 A19">
    <cfRule type="expression" dxfId="2594" priority="739">
      <formula>F18=1</formula>
    </cfRule>
  </conditionalFormatting>
  <conditionalFormatting sqref="A18">
    <cfRule type="expression" dxfId="2593" priority="740">
      <formula>F21=1</formula>
    </cfRule>
  </conditionalFormatting>
  <conditionalFormatting sqref="A23:B23">
    <cfRule type="expression" dxfId="2592" priority="724">
      <formula>E23=1</formula>
    </cfRule>
  </conditionalFormatting>
  <conditionalFormatting sqref="B23">
    <cfRule type="expression" dxfId="2591" priority="723">
      <formula>E23=1</formula>
    </cfRule>
  </conditionalFormatting>
  <conditionalFormatting sqref="F11:H11">
    <cfRule type="expression" dxfId="2590" priority="722">
      <formula>J11=1</formula>
    </cfRule>
  </conditionalFormatting>
  <conditionalFormatting sqref="F11:H11">
    <cfRule type="expression" dxfId="2589" priority="721">
      <formula>I11=1</formula>
    </cfRule>
  </conditionalFormatting>
  <conditionalFormatting sqref="G11">
    <cfRule type="expression" dxfId="2588" priority="720">
      <formula>I11=1</formula>
    </cfRule>
  </conditionalFormatting>
  <conditionalFormatting sqref="H11">
    <cfRule type="expression" dxfId="2587" priority="719">
      <formula>I11=1</formula>
    </cfRule>
  </conditionalFormatting>
  <conditionalFormatting sqref="H11">
    <cfRule type="expression" dxfId="2586" priority="715">
      <formula>I11=1</formula>
    </cfRule>
  </conditionalFormatting>
  <conditionalFormatting sqref="F11:H11">
    <cfRule type="expression" dxfId="2585" priority="718">
      <formula>J11=1</formula>
    </cfRule>
  </conditionalFormatting>
  <conditionalFormatting sqref="F11:H11">
    <cfRule type="expression" dxfId="2584" priority="717">
      <formula>I11=1</formula>
    </cfRule>
  </conditionalFormatting>
  <conditionalFormatting sqref="G11">
    <cfRule type="expression" dxfId="2583" priority="716">
      <formula>I11=1</formula>
    </cfRule>
  </conditionalFormatting>
  <conditionalFormatting sqref="B22:D22">
    <cfRule type="expression" dxfId="2582" priority="714">
      <formula>F22=1</formula>
    </cfRule>
  </conditionalFormatting>
  <conditionalFormatting sqref="B22:D22">
    <cfRule type="expression" dxfId="2581" priority="713">
      <formula>E22=1</formula>
    </cfRule>
  </conditionalFormatting>
  <conditionalFormatting sqref="C22">
    <cfRule type="expression" dxfId="2580" priority="712">
      <formula>E22=1</formula>
    </cfRule>
  </conditionalFormatting>
  <conditionalFormatting sqref="D22">
    <cfRule type="expression" dxfId="2579" priority="711">
      <formula>E22=1</formula>
    </cfRule>
  </conditionalFormatting>
  <conditionalFormatting sqref="B24 D24">
    <cfRule type="expression" dxfId="2578" priority="708">
      <formula>F2=1</formula>
    </cfRule>
  </conditionalFormatting>
  <conditionalFormatting sqref="B24:C24">
    <cfRule type="expression" dxfId="2577" priority="707">
      <formula>E2=1</formula>
    </cfRule>
  </conditionalFormatting>
  <conditionalFormatting sqref="C24">
    <cfRule type="expression" dxfId="2576" priority="706">
      <formula>E2=1</formula>
    </cfRule>
  </conditionalFormatting>
  <conditionalFormatting sqref="D24">
    <cfRule type="expression" dxfId="2575" priority="705">
      <formula>E2=1</formula>
    </cfRule>
  </conditionalFormatting>
  <conditionalFormatting sqref="C24">
    <cfRule type="expression" dxfId="2574" priority="709">
      <formula>#REF!=1</formula>
    </cfRule>
  </conditionalFormatting>
  <conditionalFormatting sqref="D24">
    <cfRule type="expression" dxfId="2573" priority="710">
      <formula>#REF!=1</formula>
    </cfRule>
  </conditionalFormatting>
  <conditionalFormatting sqref="C25:D26">
    <cfRule type="expression" dxfId="2572" priority="702">
      <formula>G25=1</formula>
    </cfRule>
  </conditionalFormatting>
  <conditionalFormatting sqref="B25:B26">
    <cfRule type="expression" dxfId="2571" priority="701">
      <formula>E25=1</formula>
    </cfRule>
  </conditionalFormatting>
  <conditionalFormatting sqref="C25:C26">
    <cfRule type="expression" dxfId="2570" priority="700">
      <formula>E25=1</formula>
    </cfRule>
  </conditionalFormatting>
  <conditionalFormatting sqref="D25:D26">
    <cfRule type="expression" dxfId="2569" priority="699">
      <formula>E25=1</formula>
    </cfRule>
  </conditionalFormatting>
  <conditionalFormatting sqref="D25:D26">
    <cfRule type="expression" dxfId="2568" priority="703">
      <formula>#REF!=1</formula>
    </cfRule>
  </conditionalFormatting>
  <conditionalFormatting sqref="B25:C26">
    <cfRule type="expression" dxfId="2567" priority="704">
      <formula>G25=1</formula>
    </cfRule>
  </conditionalFormatting>
  <conditionalFormatting sqref="B27:D27">
    <cfRule type="expression" dxfId="2566" priority="698">
      <formula>F27=1</formula>
    </cfRule>
  </conditionalFormatting>
  <conditionalFormatting sqref="B27:D27">
    <cfRule type="expression" dxfId="2565" priority="697">
      <formula>E27=1</formula>
    </cfRule>
  </conditionalFormatting>
  <conditionalFormatting sqref="C27">
    <cfRule type="expression" dxfId="2564" priority="696">
      <formula>E27=1</formula>
    </cfRule>
  </conditionalFormatting>
  <conditionalFormatting sqref="D27">
    <cfRule type="expression" dxfId="2563" priority="695">
      <formula>E27=1</formula>
    </cfRule>
  </conditionalFormatting>
  <conditionalFormatting sqref="H3">
    <cfRule type="expression" dxfId="2562" priority="686">
      <formula>$H$4&gt;=4</formula>
    </cfRule>
  </conditionalFormatting>
  <conditionalFormatting sqref="B48:D48">
    <cfRule type="expression" dxfId="2561" priority="604">
      <formula>F48=1</formula>
    </cfRule>
  </conditionalFormatting>
  <conditionalFormatting sqref="B48:D48">
    <cfRule type="expression" dxfId="2560" priority="603">
      <formula>E48=1</formula>
    </cfRule>
  </conditionalFormatting>
  <conditionalFormatting sqref="C48">
    <cfRule type="expression" dxfId="2559" priority="602">
      <formula>E48=1</formula>
    </cfRule>
  </conditionalFormatting>
  <conditionalFormatting sqref="D48">
    <cfRule type="expression" dxfId="2558" priority="601">
      <formula>E48=1</formula>
    </cfRule>
  </conditionalFormatting>
  <conditionalFormatting sqref="B49:D49">
    <cfRule type="expression" dxfId="2557" priority="600">
      <formula>F49=1</formula>
    </cfRule>
  </conditionalFormatting>
  <conditionalFormatting sqref="B49:D49">
    <cfRule type="expression" dxfId="2556" priority="599">
      <formula>E49=1</formula>
    </cfRule>
  </conditionalFormatting>
  <conditionalFormatting sqref="C49">
    <cfRule type="expression" dxfId="2555" priority="598">
      <formula>E49=1</formula>
    </cfRule>
  </conditionalFormatting>
  <conditionalFormatting sqref="D49">
    <cfRule type="expression" dxfId="2554" priority="597">
      <formula>E49=1</formula>
    </cfRule>
  </conditionalFormatting>
  <conditionalFormatting sqref="B35 B46:B47">
    <cfRule type="expression" dxfId="2553" priority="579">
      <formula>E34=1</formula>
    </cfRule>
  </conditionalFormatting>
  <conditionalFormatting sqref="C30">
    <cfRule type="expression" dxfId="2552" priority="231">
      <formula>E30=1</formula>
    </cfRule>
  </conditionalFormatting>
  <conditionalFormatting sqref="B30">
    <cfRule type="expression" dxfId="2551" priority="232">
      <formula>E30=1</formula>
    </cfRule>
  </conditionalFormatting>
  <conditionalFormatting sqref="C31">
    <cfRule type="expression" dxfId="2550" priority="218">
      <formula>E31=1</formula>
    </cfRule>
  </conditionalFormatting>
  <conditionalFormatting sqref="C44">
    <cfRule type="expression" dxfId="2549" priority="172">
      <formula>E44=1</formula>
    </cfRule>
  </conditionalFormatting>
  <conditionalFormatting sqref="D39">
    <cfRule type="expression" dxfId="2548" priority="283">
      <formula>E39=1</formula>
    </cfRule>
  </conditionalFormatting>
  <conditionalFormatting sqref="D39">
    <cfRule type="expression" dxfId="2547" priority="285">
      <formula>#REF!=1</formula>
    </cfRule>
  </conditionalFormatting>
  <conditionalFormatting sqref="D42">
    <cfRule type="expression" dxfId="2546" priority="280">
      <formula>E42=1</formula>
    </cfRule>
  </conditionalFormatting>
  <conditionalFormatting sqref="D44">
    <cfRule type="expression" dxfId="2545" priority="277">
      <formula>E44=1</formula>
    </cfRule>
  </conditionalFormatting>
  <conditionalFormatting sqref="D46">
    <cfRule type="expression" dxfId="2544" priority="274">
      <formula>E45=1</formula>
    </cfRule>
  </conditionalFormatting>
  <conditionalFormatting sqref="D47">
    <cfRule type="expression" dxfId="2543" priority="271">
      <formula>E46=1</formula>
    </cfRule>
  </conditionalFormatting>
  <conditionalFormatting sqref="D28">
    <cfRule type="expression" dxfId="2542" priority="268">
      <formula>E28=1</formula>
    </cfRule>
  </conditionalFormatting>
  <conditionalFormatting sqref="D28">
    <cfRule type="expression" dxfId="2541" priority="269">
      <formula>#REF!=1</formula>
    </cfRule>
  </conditionalFormatting>
  <conditionalFormatting sqref="D28">
    <cfRule type="expression" dxfId="2540" priority="270">
      <formula>#REF!=1</formula>
    </cfRule>
  </conditionalFormatting>
  <conditionalFormatting sqref="D29">
    <cfRule type="expression" dxfId="2539" priority="265">
      <formula>E29=1</formula>
    </cfRule>
  </conditionalFormatting>
  <conditionalFormatting sqref="D29">
    <cfRule type="expression" dxfId="2538" priority="266">
      <formula>#REF!=1</formula>
    </cfRule>
  </conditionalFormatting>
  <conditionalFormatting sqref="D29">
    <cfRule type="expression" dxfId="2537" priority="267">
      <formula>#REF!=1</formula>
    </cfRule>
  </conditionalFormatting>
  <conditionalFormatting sqref="D31">
    <cfRule type="expression" dxfId="2536" priority="262">
      <formula>E31=1</formula>
    </cfRule>
  </conditionalFormatting>
  <conditionalFormatting sqref="D32">
    <cfRule type="expression" dxfId="2535" priority="259">
      <formula>E32=1</formula>
    </cfRule>
  </conditionalFormatting>
  <conditionalFormatting sqref="D33">
    <cfRule type="expression" dxfId="2534" priority="256">
      <formula>E33=1</formula>
    </cfRule>
  </conditionalFormatting>
  <conditionalFormatting sqref="D35">
    <cfRule type="expression" dxfId="2533" priority="253">
      <formula>E34=1</formula>
    </cfRule>
  </conditionalFormatting>
  <conditionalFormatting sqref="D36">
    <cfRule type="expression" dxfId="2532" priority="250">
      <formula>E35=1</formula>
    </cfRule>
  </conditionalFormatting>
  <conditionalFormatting sqref="D30">
    <cfRule type="expression" dxfId="2531" priority="247">
      <formula>E30=1</formula>
    </cfRule>
  </conditionalFormatting>
  <conditionalFormatting sqref="D30">
    <cfRule type="expression" dxfId="2530" priority="248">
      <formula>#REF!=1</formula>
    </cfRule>
  </conditionalFormatting>
  <conditionalFormatting sqref="D30">
    <cfRule type="expression" dxfId="2529" priority="249">
      <formula>#REF!=1</formula>
    </cfRule>
  </conditionalFormatting>
  <conditionalFormatting sqref="D37">
    <cfRule type="expression" dxfId="2528" priority="244">
      <formula>E36=1</formula>
    </cfRule>
  </conditionalFormatting>
  <conditionalFormatting sqref="D38">
    <cfRule type="expression" dxfId="2527" priority="241">
      <formula>E37=1</formula>
    </cfRule>
  </conditionalFormatting>
  <conditionalFormatting sqref="D40">
    <cfRule type="expression" dxfId="2526" priority="238">
      <formula>E40=1</formula>
    </cfRule>
  </conditionalFormatting>
  <conditionalFormatting sqref="D41">
    <cfRule type="expression" dxfId="2525" priority="235">
      <formula>E41=1</formula>
    </cfRule>
  </conditionalFormatting>
  <conditionalFormatting sqref="D41">
    <cfRule type="expression" dxfId="2524" priority="237">
      <formula>#REF!=1</formula>
    </cfRule>
  </conditionalFormatting>
  <conditionalFormatting sqref="B30:C30">
    <cfRule type="expression" dxfId="2523" priority="233">
      <formula>#REF!=1</formula>
    </cfRule>
  </conditionalFormatting>
  <conditionalFormatting sqref="C30">
    <cfRule type="expression" dxfId="2522" priority="234">
      <formula>#REF!=1</formula>
    </cfRule>
  </conditionalFormatting>
  <conditionalFormatting sqref="B29">
    <cfRule type="expression" dxfId="2521" priority="227">
      <formula>E29=1</formula>
    </cfRule>
  </conditionalFormatting>
  <conditionalFormatting sqref="C29">
    <cfRule type="expression" dxfId="2520" priority="226">
      <formula>E29=1</formula>
    </cfRule>
  </conditionalFormatting>
  <conditionalFormatting sqref="B29">
    <cfRule type="expression" dxfId="2519" priority="228">
      <formula>#REF!=1</formula>
    </cfRule>
  </conditionalFormatting>
  <conditionalFormatting sqref="C29">
    <cfRule type="expression" dxfId="2518" priority="229">
      <formula>#REF!=1</formula>
    </cfRule>
  </conditionalFormatting>
  <conditionalFormatting sqref="C29">
    <cfRule type="expression" dxfId="2517" priority="230">
      <formula>#REF!=1</formula>
    </cfRule>
  </conditionalFormatting>
  <conditionalFormatting sqref="B28">
    <cfRule type="expression" dxfId="2516" priority="222">
      <formula>E28=1</formula>
    </cfRule>
  </conditionalFormatting>
  <conditionalFormatting sqref="C28">
    <cfRule type="expression" dxfId="2515" priority="221">
      <formula>E28=1</formula>
    </cfRule>
  </conditionalFormatting>
  <conditionalFormatting sqref="C28">
    <cfRule type="expression" dxfId="2514" priority="223">
      <formula>#REF!=1</formula>
    </cfRule>
  </conditionalFormatting>
  <conditionalFormatting sqref="C33">
    <cfRule type="expression" dxfId="2513" priority="215">
      <formula>E33=1</formula>
    </cfRule>
  </conditionalFormatting>
  <conditionalFormatting sqref="C32">
    <cfRule type="expression" dxfId="2512" priority="212">
      <formula>E32=1</formula>
    </cfRule>
  </conditionalFormatting>
  <conditionalFormatting sqref="C35">
    <cfRule type="expression" dxfId="2511" priority="209">
      <formula>E34=1</formula>
    </cfRule>
  </conditionalFormatting>
  <conditionalFormatting sqref="C34">
    <cfRule type="expression" dxfId="2510" priority="206">
      <formula>E34=1</formula>
    </cfRule>
  </conditionalFormatting>
  <conditionalFormatting sqref="C36">
    <cfRule type="expression" dxfId="2509" priority="203">
      <formula>E36=1</formula>
    </cfRule>
  </conditionalFormatting>
  <conditionalFormatting sqref="C37">
    <cfRule type="expression" dxfId="2508" priority="199">
      <formula>E37=1</formula>
    </cfRule>
  </conditionalFormatting>
  <conditionalFormatting sqref="C38">
    <cfRule type="expression" dxfId="2507" priority="196">
      <formula>E38=1</formula>
    </cfRule>
  </conditionalFormatting>
  <conditionalFormatting sqref="C39">
    <cfRule type="expression" dxfId="2506" priority="193">
      <formula>E39=1</formula>
    </cfRule>
  </conditionalFormatting>
  <conditionalFormatting sqref="C40">
    <cfRule type="expression" dxfId="2505" priority="189">
      <formula>E40=1</formula>
    </cfRule>
  </conditionalFormatting>
  <conditionalFormatting sqref="C40">
    <cfRule type="expression" dxfId="2504" priority="192">
      <formula>#REF!=1</formula>
    </cfRule>
  </conditionalFormatting>
  <conditionalFormatting sqref="C41">
    <cfRule type="expression" dxfId="2503" priority="186">
      <formula>E41=1</formula>
    </cfRule>
  </conditionalFormatting>
  <conditionalFormatting sqref="C42">
    <cfRule type="expression" dxfId="2502" priority="183">
      <formula>E42=1</formula>
    </cfRule>
  </conditionalFormatting>
  <conditionalFormatting sqref="B43">
    <cfRule type="expression" dxfId="2501" priority="180">
      <formula>#REF!=1</formula>
    </cfRule>
  </conditionalFormatting>
  <conditionalFormatting sqref="B43:C43">
    <cfRule type="expression" dxfId="2500" priority="181">
      <formula>#REF!=1</formula>
    </cfRule>
  </conditionalFormatting>
  <conditionalFormatting sqref="C43">
    <cfRule type="expression" dxfId="2499" priority="182">
      <formula>#REF!=1</formula>
    </cfRule>
  </conditionalFormatting>
  <conditionalFormatting sqref="D43">
    <cfRule type="expression" dxfId="2498" priority="176">
      <formula>E43=1</formula>
    </cfRule>
  </conditionalFormatting>
  <conditionalFormatting sqref="C46">
    <cfRule type="expression" dxfId="2497" priority="169">
      <formula>E45=1</formula>
    </cfRule>
  </conditionalFormatting>
  <conditionalFormatting sqref="C47">
    <cfRule type="expression" dxfId="2496" priority="166">
      <formula>E46=1</formula>
    </cfRule>
  </conditionalFormatting>
  <conditionalFormatting sqref="D39">
    <cfRule type="expression" dxfId="2495" priority="284">
      <formula>M39=1</formula>
    </cfRule>
  </conditionalFormatting>
  <conditionalFormatting sqref="D42">
    <cfRule type="expression" dxfId="2494" priority="282">
      <formula>M42=1</formula>
    </cfRule>
  </conditionalFormatting>
  <conditionalFormatting sqref="D42 C44 C31:C34 C36:C42">
    <cfRule type="expression" dxfId="2493" priority="281">
      <formula>K31=1</formula>
    </cfRule>
  </conditionalFormatting>
  <conditionalFormatting sqref="D44">
    <cfRule type="expression" dxfId="2492" priority="279">
      <formula>M44=1</formula>
    </cfRule>
  </conditionalFormatting>
  <conditionalFormatting sqref="D44">
    <cfRule type="expression" dxfId="2491" priority="278">
      <formula>L44=1</formula>
    </cfRule>
  </conditionalFormatting>
  <conditionalFormatting sqref="D46">
    <cfRule type="expression" dxfId="2490" priority="276">
      <formula>M45=1</formula>
    </cfRule>
  </conditionalFormatting>
  <conditionalFormatting sqref="D46 C35 C46:C47">
    <cfRule type="expression" dxfId="2489" priority="275">
      <formula>K34=1</formula>
    </cfRule>
  </conditionalFormatting>
  <conditionalFormatting sqref="D47">
    <cfRule type="expression" dxfId="2488" priority="273">
      <formula>M46=1</formula>
    </cfRule>
  </conditionalFormatting>
  <conditionalFormatting sqref="D47">
    <cfRule type="expression" dxfId="2487" priority="272">
      <formula>L46=1</formula>
    </cfRule>
  </conditionalFormatting>
  <conditionalFormatting sqref="D31">
    <cfRule type="expression" dxfId="2486" priority="263">
      <formula>M31=1</formula>
    </cfRule>
  </conditionalFormatting>
  <conditionalFormatting sqref="D31">
    <cfRule type="expression" dxfId="2485" priority="264">
      <formula>L34=1</formula>
    </cfRule>
  </conditionalFormatting>
  <conditionalFormatting sqref="D32">
    <cfRule type="expression" dxfId="2484" priority="261">
      <formula>M32=1</formula>
    </cfRule>
  </conditionalFormatting>
  <conditionalFormatting sqref="D32">
    <cfRule type="expression" dxfId="2483" priority="260">
      <formula>L32=1</formula>
    </cfRule>
  </conditionalFormatting>
  <conditionalFormatting sqref="D33">
    <cfRule type="expression" dxfId="2482" priority="258">
      <formula>M33=1</formula>
    </cfRule>
  </conditionalFormatting>
  <conditionalFormatting sqref="D33">
    <cfRule type="expression" dxfId="2481" priority="257">
      <formula>L33=1</formula>
    </cfRule>
  </conditionalFormatting>
  <conditionalFormatting sqref="D35">
    <cfRule type="expression" dxfId="2480" priority="255">
      <formula>M34=1</formula>
    </cfRule>
  </conditionalFormatting>
  <conditionalFormatting sqref="D35">
    <cfRule type="expression" dxfId="2479" priority="254">
      <formula>L34=1</formula>
    </cfRule>
  </conditionalFormatting>
  <conditionalFormatting sqref="D36">
    <cfRule type="expression" dxfId="2478" priority="252">
      <formula>M35=1</formula>
    </cfRule>
  </conditionalFormatting>
  <conditionalFormatting sqref="D36">
    <cfRule type="expression" dxfId="2477" priority="251">
      <formula>L35=1</formula>
    </cfRule>
  </conditionalFormatting>
  <conditionalFormatting sqref="D37">
    <cfRule type="expression" dxfId="2476" priority="246">
      <formula>M36=1</formula>
    </cfRule>
  </conditionalFormatting>
  <conditionalFormatting sqref="D37">
    <cfRule type="expression" dxfId="2475" priority="245">
      <formula>L36=1</formula>
    </cfRule>
  </conditionalFormatting>
  <conditionalFormatting sqref="D38">
    <cfRule type="expression" dxfId="2474" priority="243">
      <formula>M37=1</formula>
    </cfRule>
  </conditionalFormatting>
  <conditionalFormatting sqref="D38">
    <cfRule type="expression" dxfId="2473" priority="242">
      <formula>L37=1</formula>
    </cfRule>
  </conditionalFormatting>
  <conditionalFormatting sqref="D40">
    <cfRule type="expression" dxfId="2472" priority="240">
      <formula>M40=1</formula>
    </cfRule>
  </conditionalFormatting>
  <conditionalFormatting sqref="D40">
    <cfRule type="expression" dxfId="2471" priority="239">
      <formula>L40=1</formula>
    </cfRule>
  </conditionalFormatting>
  <conditionalFormatting sqref="D41">
    <cfRule type="expression" dxfId="2470" priority="236">
      <formula>M41=1</formula>
    </cfRule>
  </conditionalFormatting>
  <conditionalFormatting sqref="C44">
    <cfRule type="expression" dxfId="2469" priority="175">
      <formula>L43=1</formula>
    </cfRule>
  </conditionalFormatting>
  <conditionalFormatting sqref="D43">
    <cfRule type="expression" dxfId="2468" priority="177">
      <formula>L43=1</formula>
    </cfRule>
  </conditionalFormatting>
  <conditionalFormatting sqref="B28">
    <cfRule type="expression" dxfId="2467" priority="224">
      <formula>K27=1</formula>
    </cfRule>
  </conditionalFormatting>
  <conditionalFormatting sqref="C28">
    <cfRule type="expression" dxfId="2466" priority="225">
      <formula>K27=1</formula>
    </cfRule>
  </conditionalFormatting>
  <conditionalFormatting sqref="B31:C31">
    <cfRule type="expression" dxfId="2465" priority="220">
      <formula>K31=1</formula>
    </cfRule>
  </conditionalFormatting>
  <conditionalFormatting sqref="B33:C33">
    <cfRule type="expression" dxfId="2464" priority="217">
      <formula>K33=1</formula>
    </cfRule>
  </conditionalFormatting>
  <conditionalFormatting sqref="B32:C32">
    <cfRule type="expression" dxfId="2463" priority="214">
      <formula>K32=1</formula>
    </cfRule>
  </conditionalFormatting>
  <conditionalFormatting sqref="B35:C35">
    <cfRule type="expression" dxfId="2462" priority="211">
      <formula>K34=1</formula>
    </cfRule>
  </conditionalFormatting>
  <conditionalFormatting sqref="C45">
    <cfRule type="expression" dxfId="2461" priority="163">
      <formula>K49=1</formula>
    </cfRule>
  </conditionalFormatting>
  <conditionalFormatting sqref="B34:C34">
    <cfRule type="expression" dxfId="2460" priority="208">
      <formula>K34=1</formula>
    </cfRule>
  </conditionalFormatting>
  <conditionalFormatting sqref="B36:C36">
    <cfRule type="expression" dxfId="2459" priority="205">
      <formula>K36=1</formula>
    </cfRule>
  </conditionalFormatting>
  <conditionalFormatting sqref="B37">
    <cfRule type="expression" dxfId="2458" priority="201">
      <formula>K37=1</formula>
    </cfRule>
  </conditionalFormatting>
  <conditionalFormatting sqref="C37">
    <cfRule type="expression" dxfId="2457" priority="202">
      <formula>L36=1</formula>
    </cfRule>
  </conditionalFormatting>
  <conditionalFormatting sqref="B38:C38">
    <cfRule type="expression" dxfId="2456" priority="198">
      <formula>K38=1</formula>
    </cfRule>
  </conditionalFormatting>
  <conditionalFormatting sqref="B39:C39">
    <cfRule type="expression" dxfId="2455" priority="195">
      <formula>K39=1</formula>
    </cfRule>
  </conditionalFormatting>
  <conditionalFormatting sqref="B40">
    <cfRule type="expression" dxfId="2454" priority="191">
      <formula>K40=1</formula>
    </cfRule>
  </conditionalFormatting>
  <conditionalFormatting sqref="B41:C41">
    <cfRule type="expression" dxfId="2453" priority="188">
      <formula>K41=1</formula>
    </cfRule>
  </conditionalFormatting>
  <conditionalFormatting sqref="B42:C42">
    <cfRule type="expression" dxfId="2452" priority="185">
      <formula>K42=1</formula>
    </cfRule>
  </conditionalFormatting>
  <conditionalFormatting sqref="C43">
    <cfRule type="expression" dxfId="2451" priority="179">
      <formula>L43=1</formula>
    </cfRule>
  </conditionalFormatting>
  <conditionalFormatting sqref="D43">
    <cfRule type="expression" dxfId="2450" priority="178">
      <formula>M43=1</formula>
    </cfRule>
  </conditionalFormatting>
  <conditionalFormatting sqref="B44">
    <cfRule type="expression" dxfId="2449" priority="174">
      <formula>K44=1</formula>
    </cfRule>
  </conditionalFormatting>
  <conditionalFormatting sqref="B46:C46">
    <cfRule type="expression" dxfId="2448" priority="171">
      <formula>K45=1</formula>
    </cfRule>
  </conditionalFormatting>
  <conditionalFormatting sqref="B47:C47">
    <cfRule type="expression" dxfId="2447" priority="168">
      <formula>K46=1</formula>
    </cfRule>
  </conditionalFormatting>
  <conditionalFormatting sqref="B45:C45">
    <cfRule type="expression" dxfId="2446" priority="165">
      <formula>L49=1</formula>
    </cfRule>
  </conditionalFormatting>
  <conditionalFormatting sqref="B45:C45">
    <cfRule type="expression" dxfId="2445" priority="164">
      <formula>K49=1</formula>
    </cfRule>
  </conditionalFormatting>
  <conditionalFormatting sqref="D2">
    <cfRule type="expression" dxfId="2444" priority="160">
      <formula>E2=1</formula>
    </cfRule>
  </conditionalFormatting>
  <conditionalFormatting sqref="D2">
    <cfRule type="expression" dxfId="2443" priority="161">
      <formula>#REF!=1</formula>
    </cfRule>
  </conditionalFormatting>
  <conditionalFormatting sqref="D2">
    <cfRule type="expression" dxfId="2442" priority="162">
      <formula>#REF!=1</formula>
    </cfRule>
  </conditionalFormatting>
  <conditionalFormatting sqref="B2">
    <cfRule type="expression" dxfId="2441" priority="148">
      <formula>E2=1</formula>
    </cfRule>
  </conditionalFormatting>
  <conditionalFormatting sqref="C2">
    <cfRule type="expression" dxfId="2440" priority="147">
      <formula>E2=1</formula>
    </cfRule>
  </conditionalFormatting>
  <conditionalFormatting sqref="C2">
    <cfRule type="expression" dxfId="2439" priority="149">
      <formula>#REF!=1</formula>
    </cfRule>
  </conditionalFormatting>
  <conditionalFormatting sqref="B2">
    <cfRule type="expression" dxfId="2438" priority="150">
      <formula>K1=1</formula>
    </cfRule>
  </conditionalFormatting>
  <conditionalFormatting sqref="C2">
    <cfRule type="expression" dxfId="2437" priority="151">
      <formula>K1=1</formula>
    </cfRule>
  </conditionalFormatting>
  <conditionalFormatting sqref="B3">
    <cfRule type="expression" dxfId="2436" priority="139">
      <formula>E3=1</formula>
    </cfRule>
  </conditionalFormatting>
  <conditionalFormatting sqref="C3">
    <cfRule type="expression" dxfId="2435" priority="133">
      <formula>E3=1</formula>
    </cfRule>
  </conditionalFormatting>
  <conditionalFormatting sqref="D3">
    <cfRule type="expression" dxfId="2434" priority="135">
      <formula>E3=1</formula>
    </cfRule>
  </conditionalFormatting>
  <conditionalFormatting sqref="C3">
    <cfRule type="expression" dxfId="2433" priority="138">
      <formula>K3=1</formula>
    </cfRule>
  </conditionalFormatting>
  <conditionalFormatting sqref="D3">
    <cfRule type="expression" dxfId="2432" priority="136">
      <formula>M3=1</formula>
    </cfRule>
  </conditionalFormatting>
  <conditionalFormatting sqref="D3">
    <cfRule type="expression" dxfId="2431" priority="137">
      <formula>L6=1</formula>
    </cfRule>
  </conditionalFormatting>
  <conditionalFormatting sqref="B3:C3">
    <cfRule type="expression" dxfId="2430" priority="134">
      <formula>K3=1</formula>
    </cfRule>
  </conditionalFormatting>
  <conditionalFormatting sqref="B4">
    <cfRule type="expression" dxfId="2429" priority="132">
      <formula>E4=1</formula>
    </cfRule>
  </conditionalFormatting>
  <conditionalFormatting sqref="D4">
    <cfRule type="expression" dxfId="2428" priority="128">
      <formula>E3=1</formula>
    </cfRule>
  </conditionalFormatting>
  <conditionalFormatting sqref="C4">
    <cfRule type="expression" dxfId="2427" priority="125">
      <formula>E4=1</formula>
    </cfRule>
  </conditionalFormatting>
  <conditionalFormatting sqref="C4">
    <cfRule type="expression" dxfId="2426" priority="131">
      <formula>K4=1</formula>
    </cfRule>
  </conditionalFormatting>
  <conditionalFormatting sqref="D4">
    <cfRule type="expression" dxfId="2425" priority="130">
      <formula>M3=1</formula>
    </cfRule>
  </conditionalFormatting>
  <conditionalFormatting sqref="D4">
    <cfRule type="expression" dxfId="2424" priority="129">
      <formula>L3=1</formula>
    </cfRule>
  </conditionalFormatting>
  <conditionalFormatting sqref="B4">
    <cfRule type="expression" dxfId="2423" priority="126">
      <formula>K4=1</formula>
    </cfRule>
  </conditionalFormatting>
  <conditionalFormatting sqref="C4">
    <cfRule type="expression" dxfId="2422" priority="127">
      <formula>L3=1</formula>
    </cfRule>
  </conditionalFormatting>
  <conditionalFormatting sqref="B5">
    <cfRule type="expression" dxfId="2421" priority="124">
      <formula>E5=1</formula>
    </cfRule>
  </conditionalFormatting>
  <conditionalFormatting sqref="D5">
    <cfRule type="expression" dxfId="2420" priority="120">
      <formula>E5=1</formula>
    </cfRule>
  </conditionalFormatting>
  <conditionalFormatting sqref="C5">
    <cfRule type="expression" dxfId="2419" priority="117">
      <formula>E5=1</formula>
    </cfRule>
  </conditionalFormatting>
  <conditionalFormatting sqref="C5">
    <cfRule type="expression" dxfId="2418" priority="119">
      <formula>#REF!=1</formula>
    </cfRule>
  </conditionalFormatting>
  <conditionalFormatting sqref="C5">
    <cfRule type="expression" dxfId="2417" priority="123">
      <formula>K5=1</formula>
    </cfRule>
  </conditionalFormatting>
  <conditionalFormatting sqref="D5">
    <cfRule type="expression" dxfId="2416" priority="122">
      <formula>M5=1</formula>
    </cfRule>
  </conditionalFormatting>
  <conditionalFormatting sqref="D5">
    <cfRule type="expression" dxfId="2415" priority="121">
      <formula>L5=1</formula>
    </cfRule>
  </conditionalFormatting>
  <conditionalFormatting sqref="B5">
    <cfRule type="expression" dxfId="2414" priority="118">
      <formula>K5=1</formula>
    </cfRule>
  </conditionalFormatting>
  <conditionalFormatting sqref="D6">
    <cfRule type="expression" dxfId="2413" priority="114">
      <formula>E6=1</formula>
    </cfRule>
  </conditionalFormatting>
  <conditionalFormatting sqref="D6">
    <cfRule type="expression" dxfId="2412" priority="115">
      <formula>#REF!=1</formula>
    </cfRule>
  </conditionalFormatting>
  <conditionalFormatting sqref="D6">
    <cfRule type="expression" dxfId="2411" priority="116">
      <formula>#REF!=1</formula>
    </cfRule>
  </conditionalFormatting>
  <conditionalFormatting sqref="B6">
    <cfRule type="expression" dxfId="2410" priority="110">
      <formula>E6=1</formula>
    </cfRule>
  </conditionalFormatting>
  <conditionalFormatting sqref="C6">
    <cfRule type="expression" dxfId="2409" priority="109">
      <formula>E6=1</formula>
    </cfRule>
  </conditionalFormatting>
  <conditionalFormatting sqref="B6">
    <cfRule type="expression" dxfId="2408" priority="111">
      <formula>#REF!=1</formula>
    </cfRule>
  </conditionalFormatting>
  <conditionalFormatting sqref="C6">
    <cfRule type="expression" dxfId="2407" priority="112">
      <formula>#REF!=1</formula>
    </cfRule>
  </conditionalFormatting>
  <conditionalFormatting sqref="C6">
    <cfRule type="expression" dxfId="2406" priority="113">
      <formula>#REF!=1</formula>
    </cfRule>
  </conditionalFormatting>
  <conditionalFormatting sqref="B7">
    <cfRule type="expression" dxfId="2405" priority="108">
      <formula>E7=1</formula>
    </cfRule>
  </conditionalFormatting>
  <conditionalFormatting sqref="D7">
    <cfRule type="expression" dxfId="2404" priority="104">
      <formula>E6=1</formula>
    </cfRule>
  </conditionalFormatting>
  <conditionalFormatting sqref="C7">
    <cfRule type="expression" dxfId="2403" priority="102">
      <formula>E7=1</formula>
    </cfRule>
  </conditionalFormatting>
  <conditionalFormatting sqref="C7">
    <cfRule type="expression" dxfId="2402" priority="107">
      <formula>K7=1</formula>
    </cfRule>
  </conditionalFormatting>
  <conditionalFormatting sqref="D7">
    <cfRule type="expression" dxfId="2401" priority="106">
      <formula>M6=1</formula>
    </cfRule>
  </conditionalFormatting>
  <conditionalFormatting sqref="D7">
    <cfRule type="expression" dxfId="2400" priority="105">
      <formula>L6=1</formula>
    </cfRule>
  </conditionalFormatting>
  <conditionalFormatting sqref="B7:C7">
    <cfRule type="expression" dxfId="2399" priority="103">
      <formula>K7=1</formula>
    </cfRule>
  </conditionalFormatting>
  <conditionalFormatting sqref="B8">
    <cfRule type="expression" dxfId="2398" priority="101">
      <formula>E8=1</formula>
    </cfRule>
  </conditionalFormatting>
  <conditionalFormatting sqref="D8">
    <cfRule type="expression" dxfId="2397" priority="97">
      <formula>E8=1</formula>
    </cfRule>
  </conditionalFormatting>
  <conditionalFormatting sqref="C8">
    <cfRule type="expression" dxfId="2396" priority="95">
      <formula>E8=1</formula>
    </cfRule>
  </conditionalFormatting>
  <conditionalFormatting sqref="C8">
    <cfRule type="expression" dxfId="2395" priority="100">
      <formula>K8=1</formula>
    </cfRule>
  </conditionalFormatting>
  <conditionalFormatting sqref="D8">
    <cfRule type="expression" dxfId="2394" priority="99">
      <formula>M8=1</formula>
    </cfRule>
  </conditionalFormatting>
  <conditionalFormatting sqref="D8">
    <cfRule type="expression" dxfId="2393" priority="98">
      <formula>L8=1</formula>
    </cfRule>
  </conditionalFormatting>
  <conditionalFormatting sqref="B8:C8">
    <cfRule type="expression" dxfId="2392" priority="96">
      <formula>K8=1</formula>
    </cfRule>
  </conditionalFormatting>
  <conditionalFormatting sqref="B9">
    <cfRule type="expression" dxfId="2391" priority="94">
      <formula>E8=1</formula>
    </cfRule>
  </conditionalFormatting>
  <conditionalFormatting sqref="D9">
    <cfRule type="expression" dxfId="2390" priority="90">
      <formula>E8=1</formula>
    </cfRule>
  </conditionalFormatting>
  <conditionalFormatting sqref="C9">
    <cfRule type="expression" dxfId="2389" priority="88">
      <formula>E8=1</formula>
    </cfRule>
  </conditionalFormatting>
  <conditionalFormatting sqref="C9">
    <cfRule type="expression" dxfId="2388" priority="93">
      <formula>K8=1</formula>
    </cfRule>
  </conditionalFormatting>
  <conditionalFormatting sqref="D9">
    <cfRule type="expression" dxfId="2387" priority="92">
      <formula>M8=1</formula>
    </cfRule>
  </conditionalFormatting>
  <conditionalFormatting sqref="D9">
    <cfRule type="expression" dxfId="2386" priority="91">
      <formula>L8=1</formula>
    </cfRule>
  </conditionalFormatting>
  <conditionalFormatting sqref="B9:C9">
    <cfRule type="expression" dxfId="2385" priority="89">
      <formula>K8=1</formula>
    </cfRule>
  </conditionalFormatting>
  <conditionalFormatting sqref="B10">
    <cfRule type="expression" dxfId="2384" priority="87">
      <formula>E10=1</formula>
    </cfRule>
  </conditionalFormatting>
  <conditionalFormatting sqref="D10">
    <cfRule type="expression" dxfId="2383" priority="83">
      <formula>E10=1</formula>
    </cfRule>
  </conditionalFormatting>
  <conditionalFormatting sqref="C10">
    <cfRule type="expression" dxfId="2382" priority="81">
      <formula>E10=1</formula>
    </cfRule>
  </conditionalFormatting>
  <conditionalFormatting sqref="C10">
    <cfRule type="expression" dxfId="2381" priority="86">
      <formula>K10=1</formula>
    </cfRule>
  </conditionalFormatting>
  <conditionalFormatting sqref="D10">
    <cfRule type="expression" dxfId="2380" priority="85">
      <formula>M10=1</formula>
    </cfRule>
  </conditionalFormatting>
  <conditionalFormatting sqref="D10">
    <cfRule type="expression" dxfId="2379" priority="84">
      <formula>L10=1</formula>
    </cfRule>
  </conditionalFormatting>
  <conditionalFormatting sqref="B10:C10">
    <cfRule type="expression" dxfId="2378" priority="82">
      <formula>K10=1</formula>
    </cfRule>
  </conditionalFormatting>
  <conditionalFormatting sqref="B11">
    <cfRule type="expression" dxfId="2377" priority="80">
      <formula>E11=1</formula>
    </cfRule>
  </conditionalFormatting>
  <conditionalFormatting sqref="D11">
    <cfRule type="expression" dxfId="2376" priority="77">
      <formula>E11=1</formula>
    </cfRule>
  </conditionalFormatting>
  <conditionalFormatting sqref="D11">
    <cfRule type="expression" dxfId="2375" priority="79">
      <formula>#REF!=1</formula>
    </cfRule>
  </conditionalFormatting>
  <conditionalFormatting sqref="C11">
    <cfRule type="expression" dxfId="2374" priority="74">
      <formula>E11=1</formula>
    </cfRule>
  </conditionalFormatting>
  <conditionalFormatting sqref="D11">
    <cfRule type="expression" dxfId="2373" priority="78">
      <formula>M11=1</formula>
    </cfRule>
  </conditionalFormatting>
  <conditionalFormatting sqref="C11">
    <cfRule type="expression" dxfId="2372" priority="76">
      <formula>K11=1</formula>
    </cfRule>
  </conditionalFormatting>
  <conditionalFormatting sqref="B11:C11">
    <cfRule type="expression" dxfId="2371" priority="75">
      <formula>K11=1</formula>
    </cfRule>
  </conditionalFormatting>
  <conditionalFormatting sqref="B12">
    <cfRule type="expression" dxfId="2370" priority="73">
      <formula>E12=1</formula>
    </cfRule>
  </conditionalFormatting>
  <conditionalFormatting sqref="D12">
    <cfRule type="expression" dxfId="2369" priority="69">
      <formula>E11=1</formula>
    </cfRule>
  </conditionalFormatting>
  <conditionalFormatting sqref="C12">
    <cfRule type="expression" dxfId="2368" priority="67">
      <formula>E12=1</formula>
    </cfRule>
  </conditionalFormatting>
  <conditionalFormatting sqref="C12">
    <cfRule type="expression" dxfId="2367" priority="72">
      <formula>K12=1</formula>
    </cfRule>
  </conditionalFormatting>
  <conditionalFormatting sqref="D12">
    <cfRule type="expression" dxfId="2366" priority="71">
      <formula>M11=1</formula>
    </cfRule>
  </conditionalFormatting>
  <conditionalFormatting sqref="D12">
    <cfRule type="expression" dxfId="2365" priority="70">
      <formula>L11=1</formula>
    </cfRule>
  </conditionalFormatting>
  <conditionalFormatting sqref="B12:C12">
    <cfRule type="expression" dxfId="2364" priority="68">
      <formula>K12=1</formula>
    </cfRule>
  </conditionalFormatting>
  <conditionalFormatting sqref="B13">
    <cfRule type="expression" dxfId="2363" priority="66">
      <formula>E13=1</formula>
    </cfRule>
  </conditionalFormatting>
  <conditionalFormatting sqref="D13">
    <cfRule type="expression" dxfId="2362" priority="62">
      <formula>E13=1</formula>
    </cfRule>
  </conditionalFormatting>
  <conditionalFormatting sqref="D13">
    <cfRule type="expression" dxfId="2361" priority="64">
      <formula>#REF!=1</formula>
    </cfRule>
  </conditionalFormatting>
  <conditionalFormatting sqref="C13">
    <cfRule type="expression" dxfId="2360" priority="60">
      <formula>E13=1</formula>
    </cfRule>
  </conditionalFormatting>
  <conditionalFormatting sqref="C13">
    <cfRule type="expression" dxfId="2359" priority="65">
      <formula>K13=1</formula>
    </cfRule>
  </conditionalFormatting>
  <conditionalFormatting sqref="D13">
    <cfRule type="expression" dxfId="2358" priority="63">
      <formula>M13=1</formula>
    </cfRule>
  </conditionalFormatting>
  <conditionalFormatting sqref="B13:C13">
    <cfRule type="expression" dxfId="2357" priority="61">
      <formula>K13=1</formula>
    </cfRule>
  </conditionalFormatting>
  <conditionalFormatting sqref="B14">
    <cfRule type="expression" dxfId="2356" priority="59">
      <formula>E14=1</formula>
    </cfRule>
  </conditionalFormatting>
  <conditionalFormatting sqref="C14">
    <cfRule type="expression" dxfId="2355" priority="56">
      <formula>E14=1</formula>
    </cfRule>
  </conditionalFormatting>
  <conditionalFormatting sqref="C14">
    <cfRule type="expression" dxfId="2354" priority="58">
      <formula>K14=1</formula>
    </cfRule>
  </conditionalFormatting>
  <conditionalFormatting sqref="B14:C14">
    <cfRule type="expression" dxfId="2353" priority="57">
      <formula>K14=1</formula>
    </cfRule>
  </conditionalFormatting>
  <conditionalFormatting sqref="B15">
    <cfRule type="expression" dxfId="2352" priority="55">
      <formula>E15=1</formula>
    </cfRule>
  </conditionalFormatting>
  <conditionalFormatting sqref="D15">
    <cfRule type="expression" dxfId="2351" priority="52">
      <formula>E15=1</formula>
    </cfRule>
  </conditionalFormatting>
  <conditionalFormatting sqref="C15">
    <cfRule type="expression" dxfId="2350" priority="47">
      <formula>E15=1</formula>
    </cfRule>
  </conditionalFormatting>
  <conditionalFormatting sqref="D15">
    <cfRule type="expression" dxfId="2349" priority="54">
      <formula>M15=1</formula>
    </cfRule>
  </conditionalFormatting>
  <conditionalFormatting sqref="C15:D15">
    <cfRule type="expression" dxfId="2348" priority="53">
      <formula>K15=1</formula>
    </cfRule>
  </conditionalFormatting>
  <conditionalFormatting sqref="B15:C15">
    <cfRule type="expression" dxfId="2347" priority="48">
      <formula>K15=1</formula>
    </cfRule>
  </conditionalFormatting>
  <conditionalFormatting sqref="B16">
    <cfRule type="expression" dxfId="2346" priority="36">
      <formula>E16=1</formula>
    </cfRule>
  </conditionalFormatting>
  <conditionalFormatting sqref="C16">
    <cfRule type="expression" dxfId="2345" priority="29">
      <formula>E16=1</formula>
    </cfRule>
  </conditionalFormatting>
  <conditionalFormatting sqref="D16">
    <cfRule type="expression" dxfId="2344" priority="32">
      <formula>E16=1</formula>
    </cfRule>
  </conditionalFormatting>
  <conditionalFormatting sqref="C16">
    <cfRule type="expression" dxfId="2343" priority="35">
      <formula>K16=1</formula>
    </cfRule>
  </conditionalFormatting>
  <conditionalFormatting sqref="D16">
    <cfRule type="expression" dxfId="2342" priority="34">
      <formula>M16=1</formula>
    </cfRule>
  </conditionalFormatting>
  <conditionalFormatting sqref="D16">
    <cfRule type="expression" dxfId="2341" priority="33">
      <formula>L16=1</formula>
    </cfRule>
  </conditionalFormatting>
  <conditionalFormatting sqref="C16">
    <cfRule type="expression" dxfId="2340" priority="31">
      <formula>L15=1</formula>
    </cfRule>
  </conditionalFormatting>
  <conditionalFormatting sqref="B16">
    <cfRule type="expression" dxfId="2339" priority="30">
      <formula>K16=1</formula>
    </cfRule>
  </conditionalFormatting>
  <conditionalFormatting sqref="B17">
    <cfRule type="expression" dxfId="2338" priority="26">
      <formula>#REF!=1</formula>
    </cfRule>
  </conditionalFormatting>
  <conditionalFormatting sqref="B17:C17">
    <cfRule type="expression" dxfId="2337" priority="27">
      <formula>#REF!=1</formula>
    </cfRule>
  </conditionalFormatting>
  <conditionalFormatting sqref="C17">
    <cfRule type="expression" dxfId="2336" priority="28">
      <formula>#REF!=1</formula>
    </cfRule>
  </conditionalFormatting>
  <conditionalFormatting sqref="D17">
    <cfRule type="expression" dxfId="2335" priority="22">
      <formula>E17=1</formula>
    </cfRule>
  </conditionalFormatting>
  <conditionalFormatting sqref="D17">
    <cfRule type="expression" dxfId="2334" priority="23">
      <formula>L17=1</formula>
    </cfRule>
  </conditionalFormatting>
  <conditionalFormatting sqref="C17">
    <cfRule type="expression" dxfId="2333" priority="25">
      <formula>L17=1</formula>
    </cfRule>
  </conditionalFormatting>
  <conditionalFormatting sqref="D17">
    <cfRule type="expression" dxfId="2332" priority="24">
      <formula>M17=1</formula>
    </cfRule>
  </conditionalFormatting>
  <conditionalFormatting sqref="B19:B20">
    <cfRule type="expression" dxfId="2331" priority="21">
      <formula>E18=1</formula>
    </cfRule>
  </conditionalFormatting>
  <conditionalFormatting sqref="D19">
    <cfRule type="expression" dxfId="2330" priority="18">
      <formula>E18=1</formula>
    </cfRule>
  </conditionalFormatting>
  <conditionalFormatting sqref="D20">
    <cfRule type="expression" dxfId="2329" priority="15">
      <formula>E19=1</formula>
    </cfRule>
  </conditionalFormatting>
  <conditionalFormatting sqref="C19">
    <cfRule type="expression" dxfId="2328" priority="13">
      <formula>E18=1</formula>
    </cfRule>
  </conditionalFormatting>
  <conditionalFormatting sqref="C20">
    <cfRule type="expression" dxfId="2327" priority="11">
      <formula>E19=1</formula>
    </cfRule>
  </conditionalFormatting>
  <conditionalFormatting sqref="D19">
    <cfRule type="expression" dxfId="2326" priority="20">
      <formula>M18=1</formula>
    </cfRule>
  </conditionalFormatting>
  <conditionalFormatting sqref="D19 C19:C20">
    <cfRule type="expression" dxfId="2325" priority="19">
      <formula>K18=1</formula>
    </cfRule>
  </conditionalFormatting>
  <conditionalFormatting sqref="D20">
    <cfRule type="expression" dxfId="2324" priority="17">
      <formula>M19=1</formula>
    </cfRule>
  </conditionalFormatting>
  <conditionalFormatting sqref="D20">
    <cfRule type="expression" dxfId="2323" priority="16">
      <formula>L19=1</formula>
    </cfRule>
  </conditionalFormatting>
  <conditionalFormatting sqref="C18">
    <cfRule type="expression" dxfId="2322" priority="8">
      <formula>K22=1</formula>
    </cfRule>
  </conditionalFormatting>
  <conditionalFormatting sqref="B19:C19">
    <cfRule type="expression" dxfId="2321" priority="14">
      <formula>K18=1</formula>
    </cfRule>
  </conditionalFormatting>
  <conditionalFormatting sqref="B20:C20">
    <cfRule type="expression" dxfId="2320" priority="12">
      <formula>K19=1</formula>
    </cfRule>
  </conditionalFormatting>
  <conditionalFormatting sqref="B18:C18">
    <cfRule type="expression" dxfId="2319" priority="10">
      <formula>L22=1</formula>
    </cfRule>
  </conditionalFormatting>
  <conditionalFormatting sqref="B18:C18">
    <cfRule type="expression" dxfId="2318" priority="9">
      <formula>K22=1</formula>
    </cfRule>
  </conditionalFormatting>
  <conditionalFormatting sqref="C21">
    <cfRule type="expression" dxfId="2317" priority="1">
      <formula>E21=1</formula>
    </cfRule>
  </conditionalFormatting>
  <conditionalFormatting sqref="B21">
    <cfRule type="expression" dxfId="2316" priority="2">
      <formula>E21=1</formula>
    </cfRule>
  </conditionalFormatting>
  <conditionalFormatting sqref="D21">
    <cfRule type="expression" dxfId="2315" priority="5">
      <formula>E21=1</formula>
    </cfRule>
  </conditionalFormatting>
  <conditionalFormatting sqref="D21">
    <cfRule type="expression" dxfId="2314" priority="6">
      <formula>#REF!=1</formula>
    </cfRule>
  </conditionalFormatting>
  <conditionalFormatting sqref="D21">
    <cfRule type="expression" dxfId="2313" priority="7">
      <formula>#REF!=1</formula>
    </cfRule>
  </conditionalFormatting>
  <conditionalFormatting sqref="B21:C21">
    <cfRule type="expression" dxfId="2312" priority="3">
      <formula>#REF!=1</formula>
    </cfRule>
  </conditionalFormatting>
  <conditionalFormatting sqref="C21">
    <cfRule type="expression" dxfId="2311" priority="4">
      <formula>#REF!=1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B603-E925-AB41-B083-ADAD767E0BCC}">
  <dimension ref="A1:M49"/>
  <sheetViews>
    <sheetView showGridLines="0" zoomScale="99" workbookViewId="0">
      <selection activeCell="E15" sqref="E15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IFERROR(__xludf.DUMMYFUNCTION("""COMPUTED_VALUE"""),122)</f>
        <v>122</v>
      </c>
      <c r="C2" s="3" t="str">
        <f ca="1">IFERROR(__xludf.DUMMYFUNCTION("""COMPUTED_VALUE"""),"Carson Wentz")</f>
        <v>Carson Wentz</v>
      </c>
      <c r="D2" s="3" t="s">
        <v>49</v>
      </c>
      <c r="E2" t="b">
        <f ca="1">NOT(ISERROR(MATCH($C2,'Keyur Usage'!$C$38:$C$500,0)))</f>
        <v>1</v>
      </c>
      <c r="G2" t="s">
        <v>49</v>
      </c>
      <c r="H2" s="26">
        <f t="shared" ref="H2:H7" si="0">+COUNTIF($D$2:$D$74,G2)</f>
        <v>3</v>
      </c>
      <c r="J2" s="21" t="s">
        <v>880</v>
      </c>
      <c r="K2" s="30"/>
      <c r="L2" s="30"/>
      <c r="M2" s="21"/>
    </row>
    <row r="3" spans="1:13" x14ac:dyDescent="0.15">
      <c r="A3" s="16">
        <f>+A2+1</f>
        <v>2</v>
      </c>
      <c r="B3" s="3"/>
      <c r="C3" s="3" t="str">
        <f ca="1">IFERROR(__xludf.DUMMYFUNCTION("""COMPUTED_VALUE"""),"Devlin Hodges")</f>
        <v>Devlin Hodges</v>
      </c>
      <c r="D3" s="3" t="s">
        <v>49</v>
      </c>
      <c r="E3" t="b">
        <f ca="1">NOT(ISERROR(MATCH($C3,'Keyur Usage'!$C$38:$C$500,0)))</f>
        <v>0</v>
      </c>
      <c r="G3" t="s">
        <v>8</v>
      </c>
      <c r="H3" s="26">
        <f t="shared" si="0"/>
        <v>4</v>
      </c>
      <c r="J3" s="21" t="s">
        <v>881</v>
      </c>
      <c r="K3" s="30"/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IFERROR(__xludf.DUMMYFUNCTION("""COMPUTED_VALUE"""),309)</f>
        <v>309</v>
      </c>
      <c r="C4" s="3" t="str">
        <f ca="1">IFERROR(__xludf.DUMMYFUNCTION("""COMPUTED_VALUE"""),"Mitch Trubisky")</f>
        <v>Mitch Trubisky</v>
      </c>
      <c r="D4" s="3" t="s">
        <v>49</v>
      </c>
      <c r="E4" t="b">
        <f ca="1">NOT(ISERROR(MATCH($C4,'Keyur Usage'!$C$38:$C$500,0)))</f>
        <v>1</v>
      </c>
      <c r="G4" t="s">
        <v>6</v>
      </c>
      <c r="H4" s="26">
        <f t="shared" si="0"/>
        <v>4</v>
      </c>
      <c r="J4" s="21" t="s">
        <v>882</v>
      </c>
      <c r="K4" s="30"/>
      <c r="L4" s="53"/>
    </row>
    <row r="5" spans="1:13" x14ac:dyDescent="0.15">
      <c r="A5" s="16">
        <f t="shared" si="1"/>
        <v>4</v>
      </c>
      <c r="B5" s="3">
        <f ca="1">IFERROR(__xludf.DUMMYFUNCTION("""COMPUTED_VALUE"""),712)</f>
        <v>712</v>
      </c>
      <c r="C5" s="3" t="str">
        <f ca="1">IFERROR(__xludf.DUMMYFUNCTION("""COMPUTED_VALUE"""),"Miles Sanders")</f>
        <v>Miles Sanders</v>
      </c>
      <c r="D5" s="3" t="s">
        <v>8</v>
      </c>
      <c r="E5" t="b">
        <f ca="1">NOT(ISERROR(MATCH($C5,'Keyur Usage'!$C$38:$C$500,0)))</f>
        <v>1</v>
      </c>
      <c r="G5" t="s">
        <v>4</v>
      </c>
      <c r="H5" s="26">
        <f t="shared" si="0"/>
        <v>3</v>
      </c>
      <c r="J5" s="21" t="s">
        <v>883</v>
      </c>
      <c r="K5" s="30"/>
    </row>
    <row r="6" spans="1:13" x14ac:dyDescent="0.15">
      <c r="A6" s="16">
        <f t="shared" si="1"/>
        <v>5</v>
      </c>
      <c r="B6" s="3">
        <f ca="1">IFERROR(__xludf.DUMMYFUNCTION("""COMPUTED_VALUE"""),403)</f>
        <v>403</v>
      </c>
      <c r="C6" s="3" t="str">
        <f ca="1">IFERROR(__xludf.DUMMYFUNCTION("""COMPUTED_VALUE"""),"Todd Gurley")</f>
        <v>Todd Gurley</v>
      </c>
      <c r="D6" s="3" t="s">
        <v>8</v>
      </c>
      <c r="E6" t="b">
        <f ca="1">NOT(ISERROR(MATCH($C6,'Keyur Usage'!$C$38:$C$500,0)))</f>
        <v>1</v>
      </c>
      <c r="G6" s="21" t="s">
        <v>782</v>
      </c>
      <c r="H6" s="26">
        <f t="shared" si="0"/>
        <v>1</v>
      </c>
      <c r="J6" s="21" t="s">
        <v>884</v>
      </c>
      <c r="K6" s="30"/>
    </row>
    <row r="7" spans="1:13" x14ac:dyDescent="0.15">
      <c r="A7" s="16">
        <f t="shared" si="1"/>
        <v>6</v>
      </c>
      <c r="B7" s="3">
        <f ca="1">IFERROR(__xludf.DUMMYFUNCTION("""COMPUTED_VALUE"""),82)</f>
        <v>82</v>
      </c>
      <c r="C7" s="3" t="str">
        <f ca="1">IFERROR(__xludf.DUMMYFUNCTION("""COMPUTED_VALUE"""),"Aaron Jones")</f>
        <v>Aaron Jones</v>
      </c>
      <c r="D7" s="3" t="s">
        <v>8</v>
      </c>
      <c r="E7" t="b">
        <f ca="1">NOT(ISERROR(MATCH($C7,'Keyur Usage'!$C$38:$C$500,0)))</f>
        <v>0</v>
      </c>
      <c r="G7" s="23" t="s">
        <v>815</v>
      </c>
      <c r="H7" s="27">
        <f t="shared" si="0"/>
        <v>0</v>
      </c>
      <c r="J7" s="28" t="s">
        <v>885</v>
      </c>
      <c r="K7" s="30"/>
    </row>
    <row r="8" spans="1:13" x14ac:dyDescent="0.15">
      <c r="A8" s="16">
        <f t="shared" si="1"/>
        <v>7</v>
      </c>
      <c r="B8" s="3">
        <f ca="1">IFERROR(__xludf.DUMMYFUNCTION("""COMPUTED_VALUE"""),781)</f>
        <v>781</v>
      </c>
      <c r="C8" s="3" t="str">
        <f ca="1">IFERROR(__xludf.DUMMYFUNCTION("""COMPUTED_VALUE"""),"Jonathan Williams")</f>
        <v>Jonathan Williams</v>
      </c>
      <c r="D8" s="3" t="s">
        <v>8</v>
      </c>
      <c r="E8" t="b">
        <f ca="1">NOT(ISERROR(MATCH($C8,'Keyur Usage'!$C$38:$C$500,0)))</f>
        <v>0</v>
      </c>
      <c r="J8" s="28" t="s">
        <v>886</v>
      </c>
      <c r="K8" s="31"/>
      <c r="L8" s="53"/>
    </row>
    <row r="9" spans="1:13" x14ac:dyDescent="0.15">
      <c r="A9" s="16">
        <f t="shared" si="1"/>
        <v>8</v>
      </c>
      <c r="B9" s="3">
        <f ca="1">IFERROR(__xludf.DUMMYFUNCTION("""COMPUTED_VALUE"""),135)</f>
        <v>135</v>
      </c>
      <c r="C9" s="3" t="str">
        <f ca="1">IFERROR(__xludf.DUMMYFUNCTION("""COMPUTED_VALUE"""),"Davante Adams")</f>
        <v>Davante Adams</v>
      </c>
      <c r="D9" s="3" t="s">
        <v>6</v>
      </c>
      <c r="E9" t="b">
        <f ca="1">NOT(ISERROR(MATCH($C9,'Keyur Usage'!$C$38:$C$500,0)))</f>
        <v>1</v>
      </c>
      <c r="J9" s="28" t="s">
        <v>887</v>
      </c>
      <c r="K9" s="31"/>
      <c r="L9" s="53"/>
    </row>
    <row r="10" spans="1:13" x14ac:dyDescent="0.15">
      <c r="A10" s="16">
        <f t="shared" si="1"/>
        <v>9</v>
      </c>
      <c r="B10" s="3">
        <f ca="1">IFERROR(__xludf.DUMMYFUNCTION("""COMPUTED_VALUE"""),92)</f>
        <v>92</v>
      </c>
      <c r="C10" s="3" t="str">
        <f ca="1">IFERROR(__xludf.DUMMYFUNCTION("""COMPUTED_VALUE"""),"Alshon Jeffery")</f>
        <v>Alshon Jeffery</v>
      </c>
      <c r="D10" s="3" t="s">
        <v>6</v>
      </c>
      <c r="E10" t="b">
        <f ca="1">NOT(ISERROR(MATCH($C10,'Keyur Usage'!$C$38:$C$500,0)))</f>
        <v>1</v>
      </c>
      <c r="J10" s="31" t="s">
        <v>888</v>
      </c>
      <c r="K10" s="31"/>
    </row>
    <row r="11" spans="1:13" x14ac:dyDescent="0.15">
      <c r="A11" s="16">
        <f t="shared" si="1"/>
        <v>10</v>
      </c>
      <c r="B11" s="3">
        <f ca="1">IFERROR(__xludf.DUMMYFUNCTION("""COMPUTED_VALUE"""),614)</f>
        <v>614</v>
      </c>
      <c r="C11" s="3" t="str">
        <f ca="1">IFERROR(__xludf.DUMMYFUNCTION("""COMPUTED_VALUE"""),"DJ Chark")</f>
        <v>DJ Chark</v>
      </c>
      <c r="D11" s="3" t="s">
        <v>6</v>
      </c>
      <c r="E11" t="b">
        <f ca="1">NOT(ISERROR(MATCH($C11,'Keyur Usage'!$C$38:$C$500,0)))</f>
        <v>1</v>
      </c>
      <c r="F11" s="3"/>
      <c r="G11" s="3"/>
      <c r="H11" s="3"/>
      <c r="J11" s="31" t="s">
        <v>889</v>
      </c>
      <c r="K11" s="31"/>
    </row>
    <row r="12" spans="1:13" x14ac:dyDescent="0.15">
      <c r="A12" s="16">
        <f t="shared" si="1"/>
        <v>11</v>
      </c>
      <c r="B12" s="3">
        <f ca="1">IFERROR(__xludf.DUMMYFUNCTION("""COMPUTED_VALUE"""),425)</f>
        <v>425</v>
      </c>
      <c r="C12" s="3" t="str">
        <f ca="1">IFERROR(__xludf.DUMMYFUNCTION("""COMPUTED_VALUE"""),"Tyreek Hill")</f>
        <v>Tyreek Hill</v>
      </c>
      <c r="D12" s="3" t="s">
        <v>6</v>
      </c>
      <c r="E12" t="b">
        <f ca="1">NOT(ISERROR(MATCH($C12,'Keyur Usage'!$C$38:$C$500,0)))</f>
        <v>0</v>
      </c>
      <c r="J12" s="31" t="s">
        <v>890</v>
      </c>
      <c r="K12" s="31"/>
    </row>
    <row r="13" spans="1:13" x14ac:dyDescent="0.15">
      <c r="A13" s="16">
        <f t="shared" si="1"/>
        <v>12</v>
      </c>
      <c r="B13" s="3">
        <f ca="1">IFERROR(__xludf.DUMMYFUNCTION("""COMPUTED_VALUE"""),636)</f>
        <v>636</v>
      </c>
      <c r="C13" s="3" t="str">
        <f ca="1">IFERROR(__xludf.DUMMYFUNCTION("""COMPUTED_VALUE"""),"Darren Waller")</f>
        <v>Darren Waller</v>
      </c>
      <c r="D13" s="3" t="s">
        <v>4</v>
      </c>
      <c r="E13" t="b">
        <f ca="1">NOT(ISERROR(MATCH($C13,'Keyur Usage'!$C$38:$C$500,0)))</f>
        <v>1</v>
      </c>
      <c r="J13" s="31" t="s">
        <v>891</v>
      </c>
      <c r="K13" s="31"/>
    </row>
    <row r="14" spans="1:13" x14ac:dyDescent="0.15">
      <c r="A14" s="16">
        <f t="shared" si="1"/>
        <v>13</v>
      </c>
      <c r="B14" s="3">
        <f ca="1">IFERROR(__xludf.DUMMYFUNCTION("""COMPUTED_VALUE"""),731)</f>
        <v>731</v>
      </c>
      <c r="C14" s="3" t="str">
        <f ca="1">IFERROR(__xludf.DUMMYFUNCTION("""COMPUTED_VALUE"""),"Irv Smith Jr.")</f>
        <v>Irv Smith Jr.</v>
      </c>
      <c r="D14" s="3" t="s">
        <v>4</v>
      </c>
      <c r="E14" t="b">
        <f ca="1">NOT(ISERROR(MATCH($C14,'Keyur Usage'!$C$38:$C$500,0)))</f>
        <v>0</v>
      </c>
      <c r="J14" s="31" t="s">
        <v>892</v>
      </c>
      <c r="K14" s="31"/>
    </row>
    <row r="15" spans="1:13" x14ac:dyDescent="0.15">
      <c r="A15" s="16">
        <f t="shared" si="1"/>
        <v>14</v>
      </c>
      <c r="B15" s="3">
        <f ca="1">IFERROR(__xludf.DUMMYFUNCTION("""COMPUTED_VALUE"""),462)</f>
        <v>462</v>
      </c>
      <c r="C15" s="3" t="str">
        <f ca="1">IFERROR(__xludf.DUMMYFUNCTION("""COMPUTED_VALUE"""),"Zach Ertz")</f>
        <v>Zach Ertz</v>
      </c>
      <c r="D15" s="3" t="s">
        <v>4</v>
      </c>
      <c r="E15" t="b">
        <f ca="1">NOT(ISERROR(MATCH($C15,'Keyur Usage'!$C$38:$C$500,0)))</f>
        <v>1</v>
      </c>
      <c r="J15" s="33" t="s">
        <v>893</v>
      </c>
      <c r="K15" s="33"/>
    </row>
    <row r="16" spans="1:13" x14ac:dyDescent="0.15">
      <c r="A16" s="16">
        <f t="shared" si="1"/>
        <v>15</v>
      </c>
      <c r="B16" s="3">
        <f ca="1">IFERROR(__xludf.DUMMYFUNCTION("""COMPUTED_VALUE"""),793)</f>
        <v>793</v>
      </c>
      <c r="C16" s="3" t="str">
        <f ca="1">IFERROR(__xludf.DUMMYFUNCTION("""COMPUTED_VALUE"""),"Carolina Panthers")</f>
        <v>Carolina Panthers</v>
      </c>
      <c r="D16" s="3" t="s">
        <v>782</v>
      </c>
      <c r="E16" t="b">
        <f ca="1">NOT(ISERROR(MATCH($C16,'Keyur Usage'!$C$38:$C$500,0)))</f>
        <v>0</v>
      </c>
      <c r="F16" s="21"/>
    </row>
    <row r="17" spans="1:12" x14ac:dyDescent="0.15">
      <c r="A17" s="16">
        <f t="shared" si="1"/>
        <v>16</v>
      </c>
      <c r="B17" s="3"/>
      <c r="C17" s="3"/>
      <c r="D17" s="3"/>
      <c r="E17" t="b">
        <f>NOT(ISERROR(MATCH($C17,'Keyur Usage'!$C$38:$C$500,0)))</f>
        <v>1</v>
      </c>
      <c r="F17" s="21"/>
    </row>
    <row r="18" spans="1:12" x14ac:dyDescent="0.15">
      <c r="A18" s="16">
        <f t="shared" si="1"/>
        <v>17</v>
      </c>
      <c r="B18" s="3"/>
      <c r="C18" s="3"/>
      <c r="D18" s="3"/>
      <c r="E18" t="b">
        <f>NOT(ISERROR(MATCH($C18,'Keyur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/>
      <c r="C19" s="3"/>
      <c r="D19" s="3"/>
      <c r="E19" t="b">
        <f>NOT(ISERROR(MATCH($C19,'Keyur Usage'!$C$38:$C$500,0)))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/>
      <c r="C20" s="3"/>
      <c r="D20" s="3"/>
      <c r="E20" t="b">
        <f>NOT(ISERROR(MATCH($C20,'Keyur Usage'!$C$38:$C$500,0)))</f>
        <v>1</v>
      </c>
      <c r="F20" s="21"/>
    </row>
    <row r="21" spans="1:12" x14ac:dyDescent="0.15">
      <c r="A21" s="16">
        <f t="shared" si="1"/>
        <v>20</v>
      </c>
      <c r="B21" s="3"/>
      <c r="C21" s="3"/>
      <c r="D21" s="3"/>
      <c r="E21" t="b">
        <f>NOT(ISERROR(MATCH($C21,'Keyur Usage'!$C$38:$C$500,0)))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909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  <row r="34" spans="2:4" x14ac:dyDescent="0.15">
      <c r="B34" s="3"/>
      <c r="C34" s="3"/>
      <c r="D34" s="3"/>
    </row>
    <row r="35" spans="2:4" x14ac:dyDescent="0.15">
      <c r="B35" s="3"/>
      <c r="C35" s="3"/>
      <c r="D35" s="3"/>
    </row>
    <row r="36" spans="2:4" x14ac:dyDescent="0.15">
      <c r="B36" s="3"/>
      <c r="C36" s="3"/>
      <c r="D36" s="3"/>
    </row>
    <row r="37" spans="2:4" x14ac:dyDescent="0.15">
      <c r="B37" s="3"/>
      <c r="C37" s="3"/>
      <c r="D37" s="3"/>
    </row>
    <row r="38" spans="2:4" x14ac:dyDescent="0.15">
      <c r="B38" s="3"/>
      <c r="C38" s="3"/>
      <c r="D38" s="21"/>
    </row>
    <row r="39" spans="2:4" x14ac:dyDescent="0.15">
      <c r="B39" s="3"/>
      <c r="C39" s="3"/>
      <c r="D39" s="3"/>
    </row>
    <row r="40" spans="2:4" x14ac:dyDescent="0.15">
      <c r="B40" s="3"/>
      <c r="C40" s="3"/>
      <c r="D40" s="3"/>
    </row>
    <row r="41" spans="2:4" x14ac:dyDescent="0.15">
      <c r="B41" s="3"/>
      <c r="C41" s="3"/>
      <c r="D41" s="3"/>
    </row>
    <row r="42" spans="2:4" x14ac:dyDescent="0.15">
      <c r="B42" s="3"/>
      <c r="C42" s="3"/>
      <c r="D42" s="3"/>
    </row>
    <row r="43" spans="2:4" x14ac:dyDescent="0.15">
      <c r="B43" s="3"/>
      <c r="C43" s="3"/>
      <c r="D43" s="3"/>
    </row>
    <row r="44" spans="2:4" x14ac:dyDescent="0.15">
      <c r="B44" s="3"/>
      <c r="C44" s="3"/>
      <c r="D44" s="3"/>
    </row>
    <row r="45" spans="2:4" x14ac:dyDescent="0.15">
      <c r="B45" s="3"/>
      <c r="C45" s="3"/>
      <c r="D45" s="3"/>
    </row>
    <row r="46" spans="2:4" x14ac:dyDescent="0.15">
      <c r="B46" s="3"/>
      <c r="C46" s="3"/>
      <c r="D46" s="3"/>
    </row>
    <row r="47" spans="2:4" x14ac:dyDescent="0.15">
      <c r="B47" s="3"/>
      <c r="C47" s="3"/>
      <c r="D47" s="3"/>
    </row>
    <row r="48" spans="2:4" x14ac:dyDescent="0.15">
      <c r="B48" s="3"/>
      <c r="C48" s="3"/>
      <c r="D48" s="3"/>
    </row>
    <row r="49" spans="2:4" x14ac:dyDescent="0.15">
      <c r="B49" s="3"/>
      <c r="C49" s="3"/>
      <c r="D49" s="3"/>
    </row>
  </sheetData>
  <conditionalFormatting sqref="A24:C24 A5:A15 C23 A25:A27">
    <cfRule type="expression" dxfId="2310" priority="301">
      <formula>E5=1</formula>
    </cfRule>
  </conditionalFormatting>
  <conditionalFormatting sqref="B24:C24 C23">
    <cfRule type="expression" dxfId="2309" priority="300">
      <formula>E23=1</formula>
    </cfRule>
  </conditionalFormatting>
  <conditionalFormatting sqref="C23:C24">
    <cfRule type="expression" dxfId="2308" priority="299">
      <formula>E23=1</formula>
    </cfRule>
  </conditionalFormatting>
  <conditionalFormatting sqref="H2">
    <cfRule type="expression" dxfId="2307" priority="298">
      <formula>$H$2&gt;=3</formula>
    </cfRule>
  </conditionalFormatting>
  <conditionalFormatting sqref="H4">
    <cfRule type="expression" dxfId="2306" priority="297">
      <formula>$H$4&gt;=4</formula>
    </cfRule>
  </conditionalFormatting>
  <conditionalFormatting sqref="H5">
    <cfRule type="expression" dxfId="2305" priority="296">
      <formula>$H$5&gt;=3</formula>
    </cfRule>
  </conditionalFormatting>
  <conditionalFormatting sqref="H6">
    <cfRule type="expression" dxfId="2304" priority="295">
      <formula>$H$6&gt;=3</formula>
    </cfRule>
  </conditionalFormatting>
  <conditionalFormatting sqref="H7">
    <cfRule type="expression" dxfId="2303" priority="294">
      <formula>$H$7&gt;=3</formula>
    </cfRule>
  </conditionalFormatting>
  <conditionalFormatting sqref="D23">
    <cfRule type="expression" dxfId="2302" priority="293">
      <formula>H21=1</formula>
    </cfRule>
  </conditionalFormatting>
  <conditionalFormatting sqref="A2:A3">
    <cfRule type="expression" dxfId="2301" priority="302">
      <formula>E3=1</formula>
    </cfRule>
  </conditionalFormatting>
  <conditionalFormatting sqref="D23">
    <cfRule type="expression" dxfId="2300" priority="292">
      <formula>G21=1</formula>
    </cfRule>
  </conditionalFormatting>
  <conditionalFormatting sqref="A20 A22">
    <cfRule type="expression" dxfId="2299" priority="303">
      <formula>#REF!=1</formula>
    </cfRule>
  </conditionalFormatting>
  <conditionalFormatting sqref="A4">
    <cfRule type="expression" dxfId="2298" priority="304">
      <formula>#REF!=1</formula>
    </cfRule>
  </conditionalFormatting>
  <conditionalFormatting sqref="A16:A17">
    <cfRule type="expression" dxfId="2297" priority="305">
      <formula>F16=1</formula>
    </cfRule>
  </conditionalFormatting>
  <conditionalFormatting sqref="A21 A19">
    <cfRule type="expression" dxfId="2296" priority="306">
      <formula>F18=1</formula>
    </cfRule>
  </conditionalFormatting>
  <conditionalFormatting sqref="A18">
    <cfRule type="expression" dxfId="2295" priority="307">
      <formula>F21=1</formula>
    </cfRule>
  </conditionalFormatting>
  <conditionalFormatting sqref="A23:B23">
    <cfRule type="expression" dxfId="2294" priority="291">
      <formula>E23=1</formula>
    </cfRule>
  </conditionalFormatting>
  <conditionalFormatting sqref="B23">
    <cfRule type="expression" dxfId="2293" priority="290">
      <formula>E23=1</formula>
    </cfRule>
  </conditionalFormatting>
  <conditionalFormatting sqref="F11:H11">
    <cfRule type="expression" dxfId="2292" priority="289">
      <formula>J11=1</formula>
    </cfRule>
  </conditionalFormatting>
  <conditionalFormatting sqref="F11:H11">
    <cfRule type="expression" dxfId="2291" priority="288">
      <formula>I11=1</formula>
    </cfRule>
  </conditionalFormatting>
  <conditionalFormatting sqref="G11">
    <cfRule type="expression" dxfId="2290" priority="287">
      <formula>I11=1</formula>
    </cfRule>
  </conditionalFormatting>
  <conditionalFormatting sqref="H11">
    <cfRule type="expression" dxfId="2289" priority="286">
      <formula>I11=1</formula>
    </cfRule>
  </conditionalFormatting>
  <conditionalFormatting sqref="H11">
    <cfRule type="expression" dxfId="2288" priority="282">
      <formula>I11=1</formula>
    </cfRule>
  </conditionalFormatting>
  <conditionalFormatting sqref="F11:H11">
    <cfRule type="expression" dxfId="2287" priority="285">
      <formula>J11=1</formula>
    </cfRule>
  </conditionalFormatting>
  <conditionalFormatting sqref="F11:H11">
    <cfRule type="expression" dxfId="2286" priority="284">
      <formula>I11=1</formula>
    </cfRule>
  </conditionalFormatting>
  <conditionalFormatting sqref="G11">
    <cfRule type="expression" dxfId="2285" priority="283">
      <formula>I11=1</formula>
    </cfRule>
  </conditionalFormatting>
  <conditionalFormatting sqref="B22:D22">
    <cfRule type="expression" dxfId="2284" priority="281">
      <formula>F22=1</formula>
    </cfRule>
  </conditionalFormatting>
  <conditionalFormatting sqref="B22:D22">
    <cfRule type="expression" dxfId="2283" priority="280">
      <formula>E22=1</formula>
    </cfRule>
  </conditionalFormatting>
  <conditionalFormatting sqref="C22">
    <cfRule type="expression" dxfId="2282" priority="279">
      <formula>E22=1</formula>
    </cfRule>
  </conditionalFormatting>
  <conditionalFormatting sqref="D22">
    <cfRule type="expression" dxfId="2281" priority="278">
      <formula>E22=1</formula>
    </cfRule>
  </conditionalFormatting>
  <conditionalFormatting sqref="B24 D24">
    <cfRule type="expression" dxfId="2280" priority="275">
      <formula>F2=1</formula>
    </cfRule>
  </conditionalFormatting>
  <conditionalFormatting sqref="B24:C24">
    <cfRule type="expression" dxfId="2279" priority="274">
      <formula>E2=1</formula>
    </cfRule>
  </conditionalFormatting>
  <conditionalFormatting sqref="C24">
    <cfRule type="expression" dxfId="2278" priority="273">
      <formula>E2=1</formula>
    </cfRule>
  </conditionalFormatting>
  <conditionalFormatting sqref="D24">
    <cfRule type="expression" dxfId="2277" priority="272">
      <formula>E2=1</formula>
    </cfRule>
  </conditionalFormatting>
  <conditionalFormatting sqref="C24">
    <cfRule type="expression" dxfId="2276" priority="276">
      <formula>#REF!=1</formula>
    </cfRule>
  </conditionalFormatting>
  <conditionalFormatting sqref="D24">
    <cfRule type="expression" dxfId="2275" priority="277">
      <formula>#REF!=1</formula>
    </cfRule>
  </conditionalFormatting>
  <conditionalFormatting sqref="C25:D26">
    <cfRule type="expression" dxfId="2274" priority="269">
      <formula>G25=1</formula>
    </cfRule>
  </conditionalFormatting>
  <conditionalFormatting sqref="B25:B26">
    <cfRule type="expression" dxfId="2273" priority="268">
      <formula>E25=1</formula>
    </cfRule>
  </conditionalFormatting>
  <conditionalFormatting sqref="C25:C26">
    <cfRule type="expression" dxfId="2272" priority="267">
      <formula>E25=1</formula>
    </cfRule>
  </conditionalFormatting>
  <conditionalFormatting sqref="D25:D26">
    <cfRule type="expression" dxfId="2271" priority="266">
      <formula>E25=1</formula>
    </cfRule>
  </conditionalFormatting>
  <conditionalFormatting sqref="D25:D26">
    <cfRule type="expression" dxfId="2270" priority="270">
      <formula>#REF!=1</formula>
    </cfRule>
  </conditionalFormatting>
  <conditionalFormatting sqref="B25:C26">
    <cfRule type="expression" dxfId="2269" priority="271">
      <formula>G25=1</formula>
    </cfRule>
  </conditionalFormatting>
  <conditionalFormatting sqref="B27:D27">
    <cfRule type="expression" dxfId="2268" priority="265">
      <formula>F27=1</formula>
    </cfRule>
  </conditionalFormatting>
  <conditionalFormatting sqref="B27:D27">
    <cfRule type="expression" dxfId="2267" priority="264">
      <formula>E27=1</formula>
    </cfRule>
  </conditionalFormatting>
  <conditionalFormatting sqref="C27">
    <cfRule type="expression" dxfId="2266" priority="263">
      <formula>E27=1</formula>
    </cfRule>
  </conditionalFormatting>
  <conditionalFormatting sqref="D27">
    <cfRule type="expression" dxfId="2265" priority="262">
      <formula>E27=1</formula>
    </cfRule>
  </conditionalFormatting>
  <conditionalFormatting sqref="B28:D28">
    <cfRule type="expression" dxfId="2264" priority="261">
      <formula>F28=1</formula>
    </cfRule>
  </conditionalFormatting>
  <conditionalFormatting sqref="B28:D28">
    <cfRule type="expression" dxfId="2263" priority="260">
      <formula>E28=1</formula>
    </cfRule>
  </conditionalFormatting>
  <conditionalFormatting sqref="C28">
    <cfRule type="expression" dxfId="2262" priority="259">
      <formula>E28=1</formula>
    </cfRule>
  </conditionalFormatting>
  <conditionalFormatting sqref="D28">
    <cfRule type="expression" dxfId="2261" priority="258">
      <formula>E28=1</formula>
    </cfRule>
  </conditionalFormatting>
  <conditionalFormatting sqref="B29:D29">
    <cfRule type="expression" dxfId="2260" priority="257">
      <formula>F29=1</formula>
    </cfRule>
  </conditionalFormatting>
  <conditionalFormatting sqref="B29:D29">
    <cfRule type="expression" dxfId="2259" priority="256">
      <formula>E29=1</formula>
    </cfRule>
  </conditionalFormatting>
  <conditionalFormatting sqref="C29">
    <cfRule type="expression" dxfId="2258" priority="255">
      <formula>E29=1</formula>
    </cfRule>
  </conditionalFormatting>
  <conditionalFormatting sqref="D29">
    <cfRule type="expression" dxfId="2257" priority="254">
      <formula>E29=1</formula>
    </cfRule>
  </conditionalFormatting>
  <conditionalFormatting sqref="H3">
    <cfRule type="expression" dxfId="2256" priority="253">
      <formula>$H$4&gt;=4</formula>
    </cfRule>
  </conditionalFormatting>
  <conditionalFormatting sqref="B30:D30">
    <cfRule type="expression" dxfId="2255" priority="252">
      <formula>F30=1</formula>
    </cfRule>
  </conditionalFormatting>
  <conditionalFormatting sqref="B30:D30">
    <cfRule type="expression" dxfId="2254" priority="251">
      <formula>E30=1</formula>
    </cfRule>
  </conditionalFormatting>
  <conditionalFormatting sqref="C30">
    <cfRule type="expression" dxfId="2253" priority="250">
      <formula>E30=1</formula>
    </cfRule>
  </conditionalFormatting>
  <conditionalFormatting sqref="D30">
    <cfRule type="expression" dxfId="2252" priority="249">
      <formula>E30=1</formula>
    </cfRule>
  </conditionalFormatting>
  <conditionalFormatting sqref="D31">
    <cfRule type="expression" dxfId="2251" priority="245">
      <formula>E31=1</formula>
    </cfRule>
  </conditionalFormatting>
  <conditionalFormatting sqref="B31:D31">
    <cfRule type="expression" dxfId="2250" priority="248">
      <formula>F31=1</formula>
    </cfRule>
  </conditionalFormatting>
  <conditionalFormatting sqref="B31:D31">
    <cfRule type="expression" dxfId="2249" priority="247">
      <formula>E31=1</formula>
    </cfRule>
  </conditionalFormatting>
  <conditionalFormatting sqref="C31">
    <cfRule type="expression" dxfId="2248" priority="246">
      <formula>E31=1</formula>
    </cfRule>
  </conditionalFormatting>
  <conditionalFormatting sqref="D32">
    <cfRule type="expression" dxfId="2247" priority="241">
      <formula>E32=1</formula>
    </cfRule>
  </conditionalFormatting>
  <conditionalFormatting sqref="B32:D32">
    <cfRule type="expression" dxfId="2246" priority="244">
      <formula>F32=1</formula>
    </cfRule>
  </conditionalFormatting>
  <conditionalFormatting sqref="B32:D32">
    <cfRule type="expression" dxfId="2245" priority="243">
      <formula>E32=1</formula>
    </cfRule>
  </conditionalFormatting>
  <conditionalFormatting sqref="C32">
    <cfRule type="expression" dxfId="2244" priority="242">
      <formula>E32=1</formula>
    </cfRule>
  </conditionalFormatting>
  <conditionalFormatting sqref="B33:D33">
    <cfRule type="expression" dxfId="2243" priority="240">
      <formula>F33=1</formula>
    </cfRule>
  </conditionalFormatting>
  <conditionalFormatting sqref="B33:D33">
    <cfRule type="expression" dxfId="2242" priority="239">
      <formula>E33=1</formula>
    </cfRule>
  </conditionalFormatting>
  <conditionalFormatting sqref="C33">
    <cfRule type="expression" dxfId="2241" priority="238">
      <formula>E33=1</formula>
    </cfRule>
  </conditionalFormatting>
  <conditionalFormatting sqref="D33">
    <cfRule type="expression" dxfId="2240" priority="237">
      <formula>E33=1</formula>
    </cfRule>
  </conditionalFormatting>
  <conditionalFormatting sqref="B34">
    <cfRule type="expression" dxfId="2239" priority="233">
      <formula>E34=1</formula>
    </cfRule>
  </conditionalFormatting>
  <conditionalFormatting sqref="C34">
    <cfRule type="expression" dxfId="2238" priority="232">
      <formula>E34=1</formula>
    </cfRule>
  </conditionalFormatting>
  <conditionalFormatting sqref="D34">
    <cfRule type="expression" dxfId="2237" priority="231">
      <formula>E34=1</formula>
    </cfRule>
  </conditionalFormatting>
  <conditionalFormatting sqref="C34:D34">
    <cfRule type="expression" dxfId="2236" priority="234">
      <formula>G35=1</formula>
    </cfRule>
  </conditionalFormatting>
  <conditionalFormatting sqref="D34">
    <cfRule type="expression" dxfId="2235" priority="235">
      <formula>#REF!=1</formula>
    </cfRule>
  </conditionalFormatting>
  <conditionalFormatting sqref="B34:C34">
    <cfRule type="expression" dxfId="2234" priority="236">
      <formula>G35=1</formula>
    </cfRule>
  </conditionalFormatting>
  <conditionalFormatting sqref="B35:D35">
    <cfRule type="expression" dxfId="2233" priority="230">
      <formula>F35=1</formula>
    </cfRule>
  </conditionalFormatting>
  <conditionalFormatting sqref="B35:D35">
    <cfRule type="expression" dxfId="2232" priority="229">
      <formula>E35=1</formula>
    </cfRule>
  </conditionalFormatting>
  <conditionalFormatting sqref="C35">
    <cfRule type="expression" dxfId="2231" priority="228">
      <formula>E35=1</formula>
    </cfRule>
  </conditionalFormatting>
  <conditionalFormatting sqref="D35">
    <cfRule type="expression" dxfId="2230" priority="227">
      <formula>E35=1</formula>
    </cfRule>
  </conditionalFormatting>
  <conditionalFormatting sqref="B36 D36">
    <cfRule type="expression" dxfId="2229" priority="224">
      <formula>F36=1</formula>
    </cfRule>
  </conditionalFormatting>
  <conditionalFormatting sqref="B36:C36">
    <cfRule type="expression" dxfId="2228" priority="223">
      <formula>E36=1</formula>
    </cfRule>
  </conditionalFormatting>
  <conditionalFormatting sqref="C36">
    <cfRule type="expression" dxfId="2227" priority="222">
      <formula>E36=1</formula>
    </cfRule>
  </conditionalFormatting>
  <conditionalFormatting sqref="D36">
    <cfRule type="expression" dxfId="2226" priority="221">
      <formula>E36=1</formula>
    </cfRule>
  </conditionalFormatting>
  <conditionalFormatting sqref="C36">
    <cfRule type="expression" dxfId="2225" priority="225">
      <formula>G39=1</formula>
    </cfRule>
  </conditionalFormatting>
  <conditionalFormatting sqref="D36">
    <cfRule type="expression" dxfId="2224" priority="226">
      <formula>G39=1</formula>
    </cfRule>
  </conditionalFormatting>
  <conditionalFormatting sqref="D37">
    <cfRule type="expression" dxfId="2223" priority="217">
      <formula>E37=1</formula>
    </cfRule>
  </conditionalFormatting>
  <conditionalFormatting sqref="B37:D37">
    <cfRule type="expression" dxfId="2222" priority="220">
      <formula>F37=1</formula>
    </cfRule>
  </conditionalFormatting>
  <conditionalFormatting sqref="B37:D37">
    <cfRule type="expression" dxfId="2221" priority="219">
      <formula>E37=1</formula>
    </cfRule>
  </conditionalFormatting>
  <conditionalFormatting sqref="C37">
    <cfRule type="expression" dxfId="2220" priority="218">
      <formula>E37=1</formula>
    </cfRule>
  </conditionalFormatting>
  <conditionalFormatting sqref="B38:C38">
    <cfRule type="expression" dxfId="2219" priority="216">
      <formula>F38=1</formula>
    </cfRule>
  </conditionalFormatting>
  <conditionalFormatting sqref="B38:C38">
    <cfRule type="expression" dxfId="2218" priority="215">
      <formula>E38=1</formula>
    </cfRule>
  </conditionalFormatting>
  <conditionalFormatting sqref="C38">
    <cfRule type="expression" dxfId="2217" priority="214">
      <formula>E38=1</formula>
    </cfRule>
  </conditionalFormatting>
  <conditionalFormatting sqref="B39:D39">
    <cfRule type="expression" dxfId="2216" priority="213">
      <formula>F39=1</formula>
    </cfRule>
  </conditionalFormatting>
  <conditionalFormatting sqref="B39:D39">
    <cfRule type="expression" dxfId="2215" priority="212">
      <formula>E39=1</formula>
    </cfRule>
  </conditionalFormatting>
  <conditionalFormatting sqref="C39">
    <cfRule type="expression" dxfId="2214" priority="211">
      <formula>E39=1</formula>
    </cfRule>
  </conditionalFormatting>
  <conditionalFormatting sqref="D39">
    <cfRule type="expression" dxfId="2213" priority="210">
      <formula>E39=1</formula>
    </cfRule>
  </conditionalFormatting>
  <conditionalFormatting sqref="B40:D40">
    <cfRule type="expression" dxfId="2212" priority="209">
      <formula>F40=1</formula>
    </cfRule>
  </conditionalFormatting>
  <conditionalFormatting sqref="B40:D40">
    <cfRule type="expression" dxfId="2211" priority="208">
      <formula>E40=1</formula>
    </cfRule>
  </conditionalFormatting>
  <conditionalFormatting sqref="C40">
    <cfRule type="expression" dxfId="2210" priority="207">
      <formula>E40=1</formula>
    </cfRule>
  </conditionalFormatting>
  <conditionalFormatting sqref="D40">
    <cfRule type="expression" dxfId="2209" priority="206">
      <formula>E40=1</formula>
    </cfRule>
  </conditionalFormatting>
  <conditionalFormatting sqref="D41">
    <cfRule type="expression" dxfId="2208" priority="201">
      <formula>H41=1</formula>
    </cfRule>
  </conditionalFormatting>
  <conditionalFormatting sqref="B41">
    <cfRule type="expression" dxfId="2207" priority="200">
      <formula>E41=1</formula>
    </cfRule>
  </conditionalFormatting>
  <conditionalFormatting sqref="C41">
    <cfRule type="expression" dxfId="2206" priority="199">
      <formula>E41=1</formula>
    </cfRule>
  </conditionalFormatting>
  <conditionalFormatting sqref="D41">
    <cfRule type="expression" dxfId="2205" priority="198">
      <formula>E41=1</formula>
    </cfRule>
  </conditionalFormatting>
  <conditionalFormatting sqref="C41">
    <cfRule type="expression" dxfId="2204" priority="202">
      <formula>#REF!=1</formula>
    </cfRule>
  </conditionalFormatting>
  <conditionalFormatting sqref="D41">
    <cfRule type="expression" dxfId="2203" priority="203">
      <formula>#REF!=1</formula>
    </cfRule>
  </conditionalFormatting>
  <conditionalFormatting sqref="C41">
    <cfRule type="expression" dxfId="2202" priority="204">
      <formula>#REF!=1</formula>
    </cfRule>
  </conditionalFormatting>
  <conditionalFormatting sqref="B41">
    <cfRule type="expression" dxfId="2201" priority="205">
      <formula>#REF!=1</formula>
    </cfRule>
  </conditionalFormatting>
  <conditionalFormatting sqref="B42:D42">
    <cfRule type="expression" dxfId="2200" priority="197">
      <formula>F42=1</formula>
    </cfRule>
  </conditionalFormatting>
  <conditionalFormatting sqref="B42:D42">
    <cfRule type="expression" dxfId="2199" priority="196">
      <formula>E42=1</formula>
    </cfRule>
  </conditionalFormatting>
  <conditionalFormatting sqref="C42">
    <cfRule type="expression" dxfId="2198" priority="195">
      <formula>E42=1</formula>
    </cfRule>
  </conditionalFormatting>
  <conditionalFormatting sqref="D42">
    <cfRule type="expression" dxfId="2197" priority="194">
      <formula>E42=1</formula>
    </cfRule>
  </conditionalFormatting>
  <conditionalFormatting sqref="C43:D43">
    <cfRule type="expression" dxfId="2196" priority="191">
      <formula>G43=1</formula>
    </cfRule>
  </conditionalFormatting>
  <conditionalFormatting sqref="B43 D43">
    <cfRule type="expression" dxfId="2195" priority="190">
      <formula>E43=1</formula>
    </cfRule>
  </conditionalFormatting>
  <conditionalFormatting sqref="C43">
    <cfRule type="expression" dxfId="2194" priority="189">
      <formula>E43=1</formula>
    </cfRule>
  </conditionalFormatting>
  <conditionalFormatting sqref="D43">
    <cfRule type="expression" dxfId="2193" priority="188">
      <formula>E43=1</formula>
    </cfRule>
  </conditionalFormatting>
  <conditionalFormatting sqref="C43">
    <cfRule type="expression" dxfId="2192" priority="192">
      <formula>G54=1</formula>
    </cfRule>
  </conditionalFormatting>
  <conditionalFormatting sqref="B43">
    <cfRule type="expression" dxfId="2191" priority="193">
      <formula>G54=1</formula>
    </cfRule>
  </conditionalFormatting>
  <conditionalFormatting sqref="B44:D44">
    <cfRule type="expression" dxfId="2190" priority="187">
      <formula>F44=1</formula>
    </cfRule>
  </conditionalFormatting>
  <conditionalFormatting sqref="B44:D44">
    <cfRule type="expression" dxfId="2189" priority="186">
      <formula>E44=1</formula>
    </cfRule>
  </conditionalFormatting>
  <conditionalFormatting sqref="C44">
    <cfRule type="expression" dxfId="2188" priority="185">
      <formula>E44=1</formula>
    </cfRule>
  </conditionalFormatting>
  <conditionalFormatting sqref="D44">
    <cfRule type="expression" dxfId="2187" priority="184">
      <formula>E44=1</formula>
    </cfRule>
  </conditionalFormatting>
  <conditionalFormatting sqref="B45:D45">
    <cfRule type="expression" dxfId="2186" priority="183">
      <formula>F45=1</formula>
    </cfRule>
  </conditionalFormatting>
  <conditionalFormatting sqref="B45:D45">
    <cfRule type="expression" dxfId="2185" priority="182">
      <formula>E45=1</formula>
    </cfRule>
  </conditionalFormatting>
  <conditionalFormatting sqref="C45">
    <cfRule type="expression" dxfId="2184" priority="181">
      <formula>E45=1</formula>
    </cfRule>
  </conditionalFormatting>
  <conditionalFormatting sqref="D45">
    <cfRule type="expression" dxfId="2183" priority="180">
      <formula>E45=1</formula>
    </cfRule>
  </conditionalFormatting>
  <conditionalFormatting sqref="B46:D46">
    <cfRule type="expression" dxfId="2182" priority="179">
      <formula>F46=1</formula>
    </cfRule>
  </conditionalFormatting>
  <conditionalFormatting sqref="B46:D46">
    <cfRule type="expression" dxfId="2181" priority="178">
      <formula>E46=1</formula>
    </cfRule>
  </conditionalFormatting>
  <conditionalFormatting sqref="C46">
    <cfRule type="expression" dxfId="2180" priority="177">
      <formula>E46=1</formula>
    </cfRule>
  </conditionalFormatting>
  <conditionalFormatting sqref="D46">
    <cfRule type="expression" dxfId="2179" priority="176">
      <formula>E46=1</formula>
    </cfRule>
  </conditionalFormatting>
  <conditionalFormatting sqref="B47:D47">
    <cfRule type="expression" dxfId="2178" priority="175">
      <formula>F47=1</formula>
    </cfRule>
  </conditionalFormatting>
  <conditionalFormatting sqref="B47:D47">
    <cfRule type="expression" dxfId="2177" priority="174">
      <formula>E47=1</formula>
    </cfRule>
  </conditionalFormatting>
  <conditionalFormatting sqref="C47">
    <cfRule type="expression" dxfId="2176" priority="173">
      <formula>E47=1</formula>
    </cfRule>
  </conditionalFormatting>
  <conditionalFormatting sqref="D47">
    <cfRule type="expression" dxfId="2175" priority="172">
      <formula>E47=1</formula>
    </cfRule>
  </conditionalFormatting>
  <conditionalFormatting sqref="B48:D48">
    <cfRule type="expression" dxfId="2174" priority="171">
      <formula>F48=1</formula>
    </cfRule>
  </conditionalFormatting>
  <conditionalFormatting sqref="B48:D48">
    <cfRule type="expression" dxfId="2173" priority="170">
      <formula>E48=1</formula>
    </cfRule>
  </conditionalFormatting>
  <conditionalFormatting sqref="C48">
    <cfRule type="expression" dxfId="2172" priority="169">
      <formula>E48=1</formula>
    </cfRule>
  </conditionalFormatting>
  <conditionalFormatting sqref="D48">
    <cfRule type="expression" dxfId="2171" priority="168">
      <formula>E48=1</formula>
    </cfRule>
  </conditionalFormatting>
  <conditionalFormatting sqref="B49:D49">
    <cfRule type="expression" dxfId="2170" priority="167">
      <formula>F49=1</formula>
    </cfRule>
  </conditionalFormatting>
  <conditionalFormatting sqref="B49:D49">
    <cfRule type="expression" dxfId="2169" priority="166">
      <formula>E49=1</formula>
    </cfRule>
  </conditionalFormatting>
  <conditionalFormatting sqref="C49">
    <cfRule type="expression" dxfId="2168" priority="165">
      <formula>E49=1</formula>
    </cfRule>
  </conditionalFormatting>
  <conditionalFormatting sqref="D49">
    <cfRule type="expression" dxfId="2167" priority="164">
      <formula>E49=1</formula>
    </cfRule>
  </conditionalFormatting>
  <conditionalFormatting sqref="B3">
    <cfRule type="expression" dxfId="2166" priority="159">
      <formula>F3=1</formula>
    </cfRule>
  </conditionalFormatting>
  <conditionalFormatting sqref="B3">
    <cfRule type="expression" dxfId="2165" priority="158">
      <formula>E3=1</formula>
    </cfRule>
  </conditionalFormatting>
  <conditionalFormatting sqref="D13">
    <cfRule type="expression" dxfId="2164" priority="112">
      <formula>H13=1</formula>
    </cfRule>
  </conditionalFormatting>
  <conditionalFormatting sqref="D13">
    <cfRule type="expression" dxfId="2163" priority="109">
      <formula>E13=1</formula>
    </cfRule>
  </conditionalFormatting>
  <conditionalFormatting sqref="D13">
    <cfRule type="expression" dxfId="2162" priority="114">
      <formula>#REF!=1</formula>
    </cfRule>
  </conditionalFormatting>
  <conditionalFormatting sqref="D16">
    <cfRule type="expression" dxfId="2161" priority="98">
      <formula>H16=1</formula>
    </cfRule>
  </conditionalFormatting>
  <conditionalFormatting sqref="D16">
    <cfRule type="expression" dxfId="2160" priority="97">
      <formula>G16=1</formula>
    </cfRule>
  </conditionalFormatting>
  <conditionalFormatting sqref="D16">
    <cfRule type="expression" dxfId="2159" priority="95">
      <formula>E16=1</formula>
    </cfRule>
  </conditionalFormatting>
  <conditionalFormatting sqref="B17:D17">
    <cfRule type="expression" dxfId="2158" priority="94">
      <formula>F17=1</formula>
    </cfRule>
  </conditionalFormatting>
  <conditionalFormatting sqref="B17:D17">
    <cfRule type="expression" dxfId="2157" priority="93">
      <formula>E17=1</formula>
    </cfRule>
  </conditionalFormatting>
  <conditionalFormatting sqref="C17">
    <cfRule type="expression" dxfId="2156" priority="92">
      <formula>E17=1</formula>
    </cfRule>
  </conditionalFormatting>
  <conditionalFormatting sqref="D17">
    <cfRule type="expression" dxfId="2155" priority="91">
      <formula>E17=1</formula>
    </cfRule>
  </conditionalFormatting>
  <conditionalFormatting sqref="B18:D18">
    <cfRule type="expression" dxfId="2154" priority="90">
      <formula>F18=1</formula>
    </cfRule>
  </conditionalFormatting>
  <conditionalFormatting sqref="B18:D18">
    <cfRule type="expression" dxfId="2153" priority="89">
      <formula>E18=1</formula>
    </cfRule>
  </conditionalFormatting>
  <conditionalFormatting sqref="C18">
    <cfRule type="expression" dxfId="2152" priority="88">
      <formula>E18=1</formula>
    </cfRule>
  </conditionalFormatting>
  <conditionalFormatting sqref="D18">
    <cfRule type="expression" dxfId="2151" priority="87">
      <formula>E18=1</formula>
    </cfRule>
  </conditionalFormatting>
  <conditionalFormatting sqref="B19:D19">
    <cfRule type="expression" dxfId="2150" priority="86">
      <formula>F19=1</formula>
    </cfRule>
  </conditionalFormatting>
  <conditionalFormatting sqref="B19:D19">
    <cfRule type="expression" dxfId="2149" priority="85">
      <formula>E19=1</formula>
    </cfRule>
  </conditionalFormatting>
  <conditionalFormatting sqref="C19">
    <cfRule type="expression" dxfId="2148" priority="84">
      <formula>E19=1</formula>
    </cfRule>
  </conditionalFormatting>
  <conditionalFormatting sqref="D19">
    <cfRule type="expression" dxfId="2147" priority="83">
      <formula>E19=1</formula>
    </cfRule>
  </conditionalFormatting>
  <conditionalFormatting sqref="B20:D20">
    <cfRule type="expression" dxfId="2146" priority="82">
      <formula>F20=1</formula>
    </cfRule>
  </conditionalFormatting>
  <conditionalFormatting sqref="B20:D20">
    <cfRule type="expression" dxfId="2145" priority="81">
      <formula>E20=1</formula>
    </cfRule>
  </conditionalFormatting>
  <conditionalFormatting sqref="C20">
    <cfRule type="expression" dxfId="2144" priority="80">
      <formula>E20=1</formula>
    </cfRule>
  </conditionalFormatting>
  <conditionalFormatting sqref="D20">
    <cfRule type="expression" dxfId="2143" priority="79">
      <formula>E20=1</formula>
    </cfRule>
  </conditionalFormatting>
  <conditionalFormatting sqref="B21:D21">
    <cfRule type="expression" dxfId="2142" priority="78">
      <formula>F21=1</formula>
    </cfRule>
  </conditionalFormatting>
  <conditionalFormatting sqref="B21:D21">
    <cfRule type="expression" dxfId="2141" priority="77">
      <formula>E21=1</formula>
    </cfRule>
  </conditionalFormatting>
  <conditionalFormatting sqref="C21">
    <cfRule type="expression" dxfId="2140" priority="76">
      <formula>E21=1</formula>
    </cfRule>
  </conditionalFormatting>
  <conditionalFormatting sqref="D21">
    <cfRule type="expression" dxfId="2139" priority="75">
      <formula>E21=1</formula>
    </cfRule>
  </conditionalFormatting>
  <conditionalFormatting sqref="C2">
    <cfRule type="expression" dxfId="2138" priority="70">
      <formula>G2=1</formula>
    </cfRule>
  </conditionalFormatting>
  <conditionalFormatting sqref="B2">
    <cfRule type="expression" dxfId="2137" priority="69">
      <formula>E2=1</formula>
    </cfRule>
  </conditionalFormatting>
  <conditionalFormatting sqref="C2">
    <cfRule type="expression" dxfId="2136" priority="68">
      <formula>E2=1</formula>
    </cfRule>
  </conditionalFormatting>
  <conditionalFormatting sqref="D2">
    <cfRule type="expression" dxfId="2135" priority="67">
      <formula>E2=1</formula>
    </cfRule>
  </conditionalFormatting>
  <conditionalFormatting sqref="C2">
    <cfRule type="expression" dxfId="2134" priority="71">
      <formula>#REF!=1</formula>
    </cfRule>
  </conditionalFormatting>
  <conditionalFormatting sqref="D2">
    <cfRule type="expression" dxfId="2133" priority="72">
      <formula>#REF!=1</formula>
    </cfRule>
  </conditionalFormatting>
  <conditionalFormatting sqref="D2">
    <cfRule type="expression" dxfId="2132" priority="73">
      <formula>#REF!=1</formula>
    </cfRule>
  </conditionalFormatting>
  <conditionalFormatting sqref="B2">
    <cfRule type="expression" dxfId="2131" priority="74">
      <formula>G2=1</formula>
    </cfRule>
  </conditionalFormatting>
  <conditionalFormatting sqref="C3">
    <cfRule type="expression" dxfId="2130" priority="63">
      <formula>G3=1</formula>
    </cfRule>
  </conditionalFormatting>
  <conditionalFormatting sqref="C3">
    <cfRule type="expression" dxfId="2129" priority="62">
      <formula>E3=1</formula>
    </cfRule>
  </conditionalFormatting>
  <conditionalFormatting sqref="D3">
    <cfRule type="expression" dxfId="2128" priority="61">
      <formula>E3=1</formula>
    </cfRule>
  </conditionalFormatting>
  <conditionalFormatting sqref="C3">
    <cfRule type="expression" dxfId="2127" priority="64">
      <formula>#REF!=1</formula>
    </cfRule>
  </conditionalFormatting>
  <conditionalFormatting sqref="D3">
    <cfRule type="expression" dxfId="2126" priority="65">
      <formula>#REF!=1</formula>
    </cfRule>
  </conditionalFormatting>
  <conditionalFormatting sqref="D3">
    <cfRule type="expression" dxfId="2125" priority="66">
      <formula>#REF!=1</formula>
    </cfRule>
  </conditionalFormatting>
  <conditionalFormatting sqref="C4">
    <cfRule type="expression" dxfId="2124" priority="58">
      <formula>G4=1</formula>
    </cfRule>
  </conditionalFormatting>
  <conditionalFormatting sqref="B4">
    <cfRule type="expression" dxfId="2123" priority="57">
      <formula>E4=1</formula>
    </cfRule>
  </conditionalFormatting>
  <conditionalFormatting sqref="C4">
    <cfRule type="expression" dxfId="2122" priority="56">
      <formula>E4=1</formula>
    </cfRule>
  </conditionalFormatting>
  <conditionalFormatting sqref="C4">
    <cfRule type="expression" dxfId="2121" priority="59">
      <formula>G15=1</formula>
    </cfRule>
  </conditionalFormatting>
  <conditionalFormatting sqref="B4">
    <cfRule type="expression" dxfId="2120" priority="60">
      <formula>G15=1</formula>
    </cfRule>
  </conditionalFormatting>
  <conditionalFormatting sqref="B5 D5">
    <cfRule type="expression" dxfId="2119" priority="52">
      <formula>F5=1</formula>
    </cfRule>
  </conditionalFormatting>
  <conditionalFormatting sqref="B5:C5">
    <cfRule type="expression" dxfId="2118" priority="51">
      <formula>E5=1</formula>
    </cfRule>
  </conditionalFormatting>
  <conditionalFormatting sqref="C5">
    <cfRule type="expression" dxfId="2117" priority="50">
      <formula>E5=1</formula>
    </cfRule>
  </conditionalFormatting>
  <conditionalFormatting sqref="D5">
    <cfRule type="expression" dxfId="2116" priority="49">
      <formula>E5=1</formula>
    </cfRule>
  </conditionalFormatting>
  <conditionalFormatting sqref="C5">
    <cfRule type="expression" dxfId="2115" priority="53">
      <formula>G8=1</formula>
    </cfRule>
  </conditionalFormatting>
  <conditionalFormatting sqref="D5">
    <cfRule type="expression" dxfId="2114" priority="54">
      <formula>G8=1</formula>
    </cfRule>
  </conditionalFormatting>
  <conditionalFormatting sqref="B6:D6">
    <cfRule type="expression" dxfId="2113" priority="48">
      <formula>F6=1</formula>
    </cfRule>
  </conditionalFormatting>
  <conditionalFormatting sqref="B6:D6">
    <cfRule type="expression" dxfId="2112" priority="47">
      <formula>E6=1</formula>
    </cfRule>
  </conditionalFormatting>
  <conditionalFormatting sqref="C6">
    <cfRule type="expression" dxfId="2111" priority="46">
      <formula>E6=1</formula>
    </cfRule>
  </conditionalFormatting>
  <conditionalFormatting sqref="D6">
    <cfRule type="expression" dxfId="2110" priority="45">
      <formula>E6=1</formula>
    </cfRule>
  </conditionalFormatting>
  <conditionalFormatting sqref="B7:D7">
    <cfRule type="expression" dxfId="2109" priority="44">
      <formula>F7=1</formula>
    </cfRule>
  </conditionalFormatting>
  <conditionalFormatting sqref="B7:D7">
    <cfRule type="expression" dxfId="2108" priority="43">
      <formula>E7=1</formula>
    </cfRule>
  </conditionalFormatting>
  <conditionalFormatting sqref="C7">
    <cfRule type="expression" dxfId="2107" priority="42">
      <formula>E7=1</formula>
    </cfRule>
  </conditionalFormatting>
  <conditionalFormatting sqref="D7">
    <cfRule type="expression" dxfId="2106" priority="41">
      <formula>E7=1</formula>
    </cfRule>
  </conditionalFormatting>
  <conditionalFormatting sqref="B8:D8">
    <cfRule type="expression" dxfId="2105" priority="40">
      <formula>F8=1</formula>
    </cfRule>
  </conditionalFormatting>
  <conditionalFormatting sqref="B8:D8">
    <cfRule type="expression" dxfId="2104" priority="39">
      <formula>E8=1</formula>
    </cfRule>
  </conditionalFormatting>
  <conditionalFormatting sqref="C8">
    <cfRule type="expression" dxfId="2103" priority="38">
      <formula>E8=1</formula>
    </cfRule>
  </conditionalFormatting>
  <conditionalFormatting sqref="D8">
    <cfRule type="expression" dxfId="2102" priority="37">
      <formula>E8=1</formula>
    </cfRule>
  </conditionalFormatting>
  <conditionalFormatting sqref="D9">
    <cfRule type="expression" dxfId="2101" priority="33">
      <formula>E9=1</formula>
    </cfRule>
  </conditionalFormatting>
  <conditionalFormatting sqref="B9:D9">
    <cfRule type="expression" dxfId="2100" priority="36">
      <formula>F9=1</formula>
    </cfRule>
  </conditionalFormatting>
  <conditionalFormatting sqref="B9:D9">
    <cfRule type="expression" dxfId="2099" priority="35">
      <formula>E9=1</formula>
    </cfRule>
  </conditionalFormatting>
  <conditionalFormatting sqref="C9">
    <cfRule type="expression" dxfId="2098" priority="34">
      <formula>E9=1</formula>
    </cfRule>
  </conditionalFormatting>
  <conditionalFormatting sqref="D4">
    <cfRule type="expression" dxfId="2097" priority="30">
      <formula>E4=1</formula>
    </cfRule>
  </conditionalFormatting>
  <conditionalFormatting sqref="D4">
    <cfRule type="expression" dxfId="2096" priority="31">
      <formula>#REF!=1</formula>
    </cfRule>
  </conditionalFormatting>
  <conditionalFormatting sqref="D4">
    <cfRule type="expression" dxfId="2095" priority="32">
      <formula>#REF!=1</formula>
    </cfRule>
  </conditionalFormatting>
  <conditionalFormatting sqref="D10">
    <cfRule type="expression" dxfId="2094" priority="26">
      <formula>E10=1</formula>
    </cfRule>
  </conditionalFormatting>
  <conditionalFormatting sqref="B10:D10">
    <cfRule type="expression" dxfId="2093" priority="29">
      <formula>F10=1</formula>
    </cfRule>
  </conditionalFormatting>
  <conditionalFormatting sqref="B10:D10">
    <cfRule type="expression" dxfId="2092" priority="28">
      <formula>E10=1</formula>
    </cfRule>
  </conditionalFormatting>
  <conditionalFormatting sqref="C10">
    <cfRule type="expression" dxfId="2091" priority="27">
      <formula>E10=1</formula>
    </cfRule>
  </conditionalFormatting>
  <conditionalFormatting sqref="D11">
    <cfRule type="expression" dxfId="2090" priority="22">
      <formula>E11=1</formula>
    </cfRule>
  </conditionalFormatting>
  <conditionalFormatting sqref="B11:D11">
    <cfRule type="expression" dxfId="2089" priority="25">
      <formula>F11=1</formula>
    </cfRule>
  </conditionalFormatting>
  <conditionalFormatting sqref="B11:D11">
    <cfRule type="expression" dxfId="2088" priority="24">
      <formula>E11=1</formula>
    </cfRule>
  </conditionalFormatting>
  <conditionalFormatting sqref="C11">
    <cfRule type="expression" dxfId="2087" priority="23">
      <formula>E11=1</formula>
    </cfRule>
  </conditionalFormatting>
  <conditionalFormatting sqref="D12">
    <cfRule type="expression" dxfId="2086" priority="18">
      <formula>E12=1</formula>
    </cfRule>
  </conditionalFormatting>
  <conditionalFormatting sqref="B12:D12">
    <cfRule type="expression" dxfId="2085" priority="21">
      <formula>F12=1</formula>
    </cfRule>
  </conditionalFormatting>
  <conditionalFormatting sqref="B12:D12">
    <cfRule type="expression" dxfId="2084" priority="20">
      <formula>E12=1</formula>
    </cfRule>
  </conditionalFormatting>
  <conditionalFormatting sqref="C12">
    <cfRule type="expression" dxfId="2083" priority="19">
      <formula>E12=1</formula>
    </cfRule>
  </conditionalFormatting>
  <conditionalFormatting sqref="B13:C13">
    <cfRule type="expression" dxfId="2082" priority="17">
      <formula>F13=1</formula>
    </cfRule>
  </conditionalFormatting>
  <conditionalFormatting sqref="B13:C13">
    <cfRule type="expression" dxfId="2081" priority="16">
      <formula>E13=1</formula>
    </cfRule>
  </conditionalFormatting>
  <conditionalFormatting sqref="C13">
    <cfRule type="expression" dxfId="2080" priority="15">
      <formula>E13=1</formula>
    </cfRule>
  </conditionalFormatting>
  <conditionalFormatting sqref="B14:D14">
    <cfRule type="expression" dxfId="2079" priority="14">
      <formula>F14=1</formula>
    </cfRule>
  </conditionalFormatting>
  <conditionalFormatting sqref="B14:D14">
    <cfRule type="expression" dxfId="2078" priority="13">
      <formula>E14=1</formula>
    </cfRule>
  </conditionalFormatting>
  <conditionalFormatting sqref="C14">
    <cfRule type="expression" dxfId="2077" priority="12">
      <formula>E14=1</formula>
    </cfRule>
  </conditionalFormatting>
  <conditionalFormatting sqref="D14">
    <cfRule type="expression" dxfId="2076" priority="11">
      <formula>E14=1</formula>
    </cfRule>
  </conditionalFormatting>
  <conditionalFormatting sqref="B15 D15">
    <cfRule type="expression" dxfId="2075" priority="8">
      <formula>F15=1</formula>
    </cfRule>
  </conditionalFormatting>
  <conditionalFormatting sqref="B15:C15">
    <cfRule type="expression" dxfId="2074" priority="7">
      <formula>E15=1</formula>
    </cfRule>
  </conditionalFormatting>
  <conditionalFormatting sqref="C15">
    <cfRule type="expression" dxfId="2073" priority="6">
      <formula>E15=1</formula>
    </cfRule>
  </conditionalFormatting>
  <conditionalFormatting sqref="D15">
    <cfRule type="expression" dxfId="2072" priority="5">
      <formula>E15=1</formula>
    </cfRule>
  </conditionalFormatting>
  <conditionalFormatting sqref="C15">
    <cfRule type="expression" dxfId="2071" priority="9">
      <formula>#REF!=1</formula>
    </cfRule>
  </conditionalFormatting>
  <conditionalFormatting sqref="D15">
    <cfRule type="expression" dxfId="2070" priority="10">
      <formula>#REF!=1</formula>
    </cfRule>
  </conditionalFormatting>
  <conditionalFormatting sqref="B16">
    <cfRule type="expression" dxfId="2069" priority="3">
      <formula>F16=1</formula>
    </cfRule>
  </conditionalFormatting>
  <conditionalFormatting sqref="B16:C16">
    <cfRule type="expression" dxfId="2068" priority="2">
      <formula>E16=1</formula>
    </cfRule>
  </conditionalFormatting>
  <conditionalFormatting sqref="C16">
    <cfRule type="expression" dxfId="2067" priority="1">
      <formula>E16=1</formula>
    </cfRule>
  </conditionalFormatting>
  <conditionalFormatting sqref="C16">
    <cfRule type="expression" dxfId="2066" priority="4">
      <formula>G19=1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0792-66E8-48F9-9F5E-1D6DD0713887}">
  <dimension ref="A1:M49"/>
  <sheetViews>
    <sheetView showGridLines="0" zoomScale="99" workbookViewId="0">
      <selection activeCell="D6" sqref="D6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IFERROR(__xludf.DUMMYFUNCTION("""COMPUTED_VALUE"""),529)</f>
        <v>529</v>
      </c>
      <c r="C2" s="3" t="str">
        <f ca="1">IFERROR(__xludf.DUMMYFUNCTION("""COMPUTED_VALUE"""),"Nick Chubb")</f>
        <v>Nick Chubb</v>
      </c>
      <c r="D2" s="3" t="s">
        <v>8</v>
      </c>
      <c r="E2" t="b">
        <f ca="1">NOT(ISERROR(MATCH(C2,'Geoff Usage (2)'!$C$38:$C$500,0)))</f>
        <v>0</v>
      </c>
      <c r="G2" t="s">
        <v>49</v>
      </c>
      <c r="H2" s="26">
        <f t="shared" ref="H2:H7" si="0">+COUNTIF($D$2:$D$74,G2)</f>
        <v>3</v>
      </c>
      <c r="J2" s="21" t="s">
        <v>880</v>
      </c>
      <c r="K2" s="30"/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IFERROR(__xludf.DUMMYFUNCTION("""COMPUTED_VALUE"""),326)</f>
        <v>326</v>
      </c>
      <c r="C3" s="3" t="str">
        <f ca="1">IFERROR(__xludf.DUMMYFUNCTION("""COMPUTED_VALUE"""),"Odell Beckham")</f>
        <v>Odell Beckham</v>
      </c>
      <c r="D3" s="3" t="s">
        <v>6</v>
      </c>
      <c r="E3" t="b">
        <f ca="1">NOT(ISERROR(MATCH(C3,'Geoff Usage (2)'!$C$38:$C$500,0)))</f>
        <v>0</v>
      </c>
      <c r="G3" t="s">
        <v>8</v>
      </c>
      <c r="H3" s="26">
        <f t="shared" si="0"/>
        <v>4</v>
      </c>
      <c r="J3" s="21" t="s">
        <v>881</v>
      </c>
      <c r="K3" s="30"/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IFERROR(__xludf.DUMMYFUNCTION("""COMPUTED_VALUE"""),192)</f>
        <v>192</v>
      </c>
      <c r="C4" s="3" t="str">
        <f ca="1">IFERROR(__xludf.DUMMYFUNCTION("""COMPUTED_VALUE"""),"Jarvis Landry")</f>
        <v>Jarvis Landry</v>
      </c>
      <c r="D4" s="3" t="s">
        <v>6</v>
      </c>
      <c r="E4" t="b">
        <f ca="1">NOT(ISERROR(MATCH(C4,'Geoff Usage (2)'!$C$38:$C$500,0)))</f>
        <v>0</v>
      </c>
      <c r="G4" t="s">
        <v>6</v>
      </c>
      <c r="H4" s="26">
        <f t="shared" si="0"/>
        <v>4</v>
      </c>
      <c r="J4" s="21" t="s">
        <v>882</v>
      </c>
      <c r="K4" s="30"/>
      <c r="L4" s="53"/>
    </row>
    <row r="5" spans="1:13" x14ac:dyDescent="0.15">
      <c r="A5" s="16">
        <f t="shared" si="1"/>
        <v>4</v>
      </c>
      <c r="B5" s="3">
        <f ca="1">IFERROR(__xludf.DUMMYFUNCTION("""COMPUTED_VALUE"""),261)</f>
        <v>261</v>
      </c>
      <c r="C5" s="3" t="str">
        <f ca="1">IFERROR(__xludf.DUMMYFUNCTION("""COMPUTED_VALUE"""),"Le'Veon Bell")</f>
        <v>Le'Veon Bell</v>
      </c>
      <c r="D5" s="3" t="s">
        <v>8</v>
      </c>
      <c r="E5" t="b">
        <f ca="1">NOT(ISERROR(MATCH(C5,'Geoff Usage (2)'!$C$38:$C$500,0)))</f>
        <v>1</v>
      </c>
      <c r="G5" t="s">
        <v>4</v>
      </c>
      <c r="H5" s="26">
        <f t="shared" si="0"/>
        <v>3</v>
      </c>
      <c r="J5" s="21" t="s">
        <v>883</v>
      </c>
      <c r="K5" s="30"/>
    </row>
    <row r="6" spans="1:13" x14ac:dyDescent="0.15">
      <c r="A6" s="16">
        <f t="shared" si="1"/>
        <v>5</v>
      </c>
      <c r="B6" s="3">
        <f ca="1">IFERROR(__xludf.DUMMYFUNCTION("""COMPUTED_VALUE"""),526)</f>
        <v>526</v>
      </c>
      <c r="C6" s="3" t="str">
        <f ca="1">IFERROR(__xludf.DUMMYFUNCTION("""COMPUTED_VALUE"""),"Baker Mayfield")</f>
        <v>Baker Mayfield</v>
      </c>
      <c r="D6" s="3" t="s">
        <v>49</v>
      </c>
      <c r="E6" t="b">
        <f ca="1">NOT(ISERROR(MATCH(C6,'Geoff Usage (2)'!$C$38:$C$500,0)))</f>
        <v>0</v>
      </c>
      <c r="G6" s="21" t="s">
        <v>782</v>
      </c>
      <c r="H6" s="26">
        <f t="shared" si="0"/>
        <v>3</v>
      </c>
      <c r="J6" s="21" t="s">
        <v>884</v>
      </c>
      <c r="K6" s="30"/>
    </row>
    <row r="7" spans="1:13" x14ac:dyDescent="0.15">
      <c r="A7" s="16">
        <f t="shared" si="1"/>
        <v>6</v>
      </c>
      <c r="B7" s="3">
        <f ca="1">IFERROR(__xludf.DUMMYFUNCTION("""COMPUTED_VALUE"""),207)</f>
        <v>207</v>
      </c>
      <c r="C7" s="3" t="str">
        <f ca="1">IFERROR(__xludf.DUMMYFUNCTION("""COMPUTED_VALUE"""),"Vance McDonald")</f>
        <v>Vance McDonald</v>
      </c>
      <c r="D7" s="3" t="s">
        <v>4</v>
      </c>
      <c r="E7" t="b">
        <f ca="1">NOT(ISERROR(MATCH(C7,'Geoff Usage (2)'!$C$38:$C$500,0)))</f>
        <v>0</v>
      </c>
      <c r="G7" s="23" t="s">
        <v>815</v>
      </c>
      <c r="H7" s="27">
        <f t="shared" si="0"/>
        <v>3</v>
      </c>
      <c r="J7" s="28" t="s">
        <v>885</v>
      </c>
      <c r="K7" s="30"/>
    </row>
    <row r="8" spans="1:13" x14ac:dyDescent="0.15">
      <c r="A8" s="16">
        <f t="shared" si="1"/>
        <v>7</v>
      </c>
      <c r="B8" s="3">
        <f ca="1">IFERROR(__xludf.DUMMYFUNCTION("""COMPUTED_VALUE"""),145)</f>
        <v>145</v>
      </c>
      <c r="C8" s="3" t="str">
        <f ca="1">IFERROR(__xludf.DUMMYFUNCTION("""COMPUTED_VALUE"""),"Derrick Henry")</f>
        <v>Derrick Henry</v>
      </c>
      <c r="D8" s="3" t="s">
        <v>8</v>
      </c>
      <c r="E8" t="b">
        <f ca="1">NOT(ISERROR(MATCH(C8,'Geoff Usage (2)'!$C$38:$C$500,0)))</f>
        <v>1</v>
      </c>
      <c r="J8" s="28" t="s">
        <v>886</v>
      </c>
      <c r="K8" s="31"/>
      <c r="L8" s="53"/>
    </row>
    <row r="9" spans="1:13" x14ac:dyDescent="0.15">
      <c r="A9" s="16">
        <f t="shared" si="1"/>
        <v>8</v>
      </c>
      <c r="B9" s="3">
        <f ca="1">IFERROR(__xludf.DUMMYFUNCTION("""COMPUTED_VALUE"""),533)</f>
        <v>533</v>
      </c>
      <c r="C9" s="3" t="str">
        <f ca="1">IFERROR(__xludf.DUMMYFUNCTION("""COMPUTED_VALUE"""),"Calvin Ridley")</f>
        <v>Calvin Ridley</v>
      </c>
      <c r="D9" s="3" t="s">
        <v>6</v>
      </c>
      <c r="E9" t="b">
        <f ca="1">NOT(ISERROR(MATCH(C9,'Geoff Usage (2)'!$C$38:$C$500,0)))</f>
        <v>1</v>
      </c>
      <c r="J9" s="28" t="s">
        <v>887</v>
      </c>
      <c r="K9" s="31"/>
      <c r="L9" s="53"/>
    </row>
    <row r="10" spans="1:13" x14ac:dyDescent="0.15">
      <c r="A10" s="16">
        <f t="shared" si="1"/>
        <v>9</v>
      </c>
      <c r="B10" s="3">
        <f ca="1">IFERROR(__xludf.DUMMYFUNCTION("""COMPUTED_VALUE"""),152)</f>
        <v>152</v>
      </c>
      <c r="C10" s="3" t="str">
        <f ca="1">IFERROR(__xludf.DUMMYFUNCTION("""COMPUTED_VALUE"""),"DeVante Parker")</f>
        <v>DeVante Parker</v>
      </c>
      <c r="D10" s="21" t="s">
        <v>6</v>
      </c>
      <c r="E10" t="b">
        <f ca="1">NOT(ISERROR(MATCH(C10,'Geoff Usage (2)'!$C$38:$C$500,0)))</f>
        <v>0</v>
      </c>
      <c r="J10" s="31" t="s">
        <v>888</v>
      </c>
      <c r="K10" s="31"/>
    </row>
    <row r="11" spans="1:13" x14ac:dyDescent="0.15">
      <c r="A11" s="16">
        <f t="shared" si="1"/>
        <v>10</v>
      </c>
      <c r="B11" s="3">
        <f ca="1">IFERROR(__xludf.DUMMYFUNCTION("""COMPUTED_VALUE"""),563)</f>
        <v>563</v>
      </c>
      <c r="C11" s="3" t="str">
        <f ca="1">IFERROR(__xludf.DUMMYFUNCTION("""COMPUTED_VALUE"""),"Dallas Goedert")</f>
        <v>Dallas Goedert</v>
      </c>
      <c r="D11" s="3" t="s">
        <v>4</v>
      </c>
      <c r="E11" t="b">
        <f ca="1">NOT(ISERROR(MATCH(C11,'Geoff Usage (2)'!$C$38:$C$500,0)))</f>
        <v>1</v>
      </c>
      <c r="F11" s="3"/>
      <c r="G11" s="3"/>
      <c r="H11" s="3"/>
      <c r="J11" s="31" t="s">
        <v>889</v>
      </c>
      <c r="K11" s="31"/>
    </row>
    <row r="12" spans="1:13" x14ac:dyDescent="0.15">
      <c r="A12" s="16">
        <f t="shared" si="1"/>
        <v>11</v>
      </c>
      <c r="B12" s="3">
        <f ca="1">IFERROR(__xludf.DUMMYFUNCTION("""COMPUTED_VALUE"""),10)</f>
        <v>10</v>
      </c>
      <c r="C12" s="3" t="str">
        <f ca="1">IFERROR(__xludf.DUMMYFUNCTION("""COMPUTED_VALUE"""),"Ben Watson")</f>
        <v>Ben Watson</v>
      </c>
      <c r="D12" s="3" t="s">
        <v>4</v>
      </c>
      <c r="E12" t="b">
        <f ca="1">NOT(ISERROR(MATCH(C12,'Geoff Usage (2)'!$C$38:$C$500,0)))</f>
        <v>0</v>
      </c>
      <c r="J12" s="31" t="s">
        <v>890</v>
      </c>
      <c r="K12" s="31"/>
    </row>
    <row r="13" spans="1:13" x14ac:dyDescent="0.15">
      <c r="A13" s="16">
        <f t="shared" si="1"/>
        <v>12</v>
      </c>
      <c r="B13" s="3">
        <f ca="1">IFERROR(__xludf.DUMMYFUNCTION("""COMPUTED_VALUE"""),530)</f>
        <v>530</v>
      </c>
      <c r="C13" s="3" t="str">
        <f ca="1">IFERROR(__xludf.DUMMYFUNCTION("""COMPUTED_VALUE"""),"Sam Darnold")</f>
        <v>Sam Darnold</v>
      </c>
      <c r="D13" s="3" t="s">
        <v>49</v>
      </c>
      <c r="E13" t="b">
        <f ca="1">NOT(ISERROR(MATCH(C13,'Geoff Usage (2)'!$C$38:$C$500,0)))</f>
        <v>1</v>
      </c>
      <c r="J13" s="31" t="s">
        <v>891</v>
      </c>
      <c r="K13" s="31"/>
    </row>
    <row r="14" spans="1:13" x14ac:dyDescent="0.15">
      <c r="A14" s="16">
        <f t="shared" si="1"/>
        <v>13</v>
      </c>
      <c r="B14" s="3">
        <f ca="1">IFERROR(__xludf.DUMMYFUNCTION("""COMPUTED_VALUE"""),623)</f>
        <v>623</v>
      </c>
      <c r="C14" s="3" t="str">
        <f ca="1">IFERROR(__xludf.DUMMYFUNCTION("""COMPUTED_VALUE"""),"Ronald Jones")</f>
        <v>Ronald Jones</v>
      </c>
      <c r="D14" s="3" t="s">
        <v>8</v>
      </c>
      <c r="E14" t="b">
        <f ca="1">NOT(ISERROR(MATCH(C14,'Geoff Usage (2)'!$C$38:$C$500,0)))</f>
        <v>0</v>
      </c>
      <c r="J14" s="31" t="s">
        <v>892</v>
      </c>
      <c r="K14" s="31"/>
    </row>
    <row r="15" spans="1:13" x14ac:dyDescent="0.15">
      <c r="A15" s="16">
        <f t="shared" si="1"/>
        <v>14</v>
      </c>
      <c r="B15" s="3">
        <f ca="1">IFERROR(__xludf.DUMMYFUNCTION("""COMPUTED_VALUE"""),309)</f>
        <v>309</v>
      </c>
      <c r="C15" s="3" t="str">
        <f ca="1">IFERROR(__xludf.DUMMYFUNCTION("""COMPUTED_VALUE"""),"Mitch Trubisky")</f>
        <v>Mitch Trubisky</v>
      </c>
      <c r="D15" s="3" t="s">
        <v>49</v>
      </c>
      <c r="E15" t="b">
        <f ca="1">NOT(ISERROR(MATCH(C15,'Geoff Usage (2)'!$C$38:$C$500,0)))</f>
        <v>0</v>
      </c>
      <c r="J15" s="33" t="s">
        <v>893</v>
      </c>
      <c r="K15" s="33"/>
    </row>
    <row r="16" spans="1:13" x14ac:dyDescent="0.15">
      <c r="A16" s="16">
        <f t="shared" si="1"/>
        <v>15</v>
      </c>
      <c r="B16" s="3">
        <f ca="1">IFERROR(__xludf.DUMMYFUNCTION("""COMPUTED_VALUE"""),856)</f>
        <v>856</v>
      </c>
      <c r="C16" s="3" t="str">
        <f ca="1">IFERROR(__xludf.DUMMYFUNCTION("""COMPUTED_VALUE"""),"Aldrick Rosas")</f>
        <v>Aldrick Rosas</v>
      </c>
      <c r="D16" s="3" t="s">
        <v>815</v>
      </c>
      <c r="E16" t="b">
        <f ca="1">NOT(ISERROR(MATCH(C16,'Geoff Usage (2)'!$C$38:$C$500,0)))</f>
        <v>0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IFERROR(__xludf.DUMMYFUNCTION("""COMPUTED_VALUE"""),859)</f>
        <v>859</v>
      </c>
      <c r="C17" s="3" t="str">
        <f ca="1">IFERROR(__xludf.DUMMYFUNCTION("""COMPUTED_VALUE"""),"Austin Seibert")</f>
        <v>Austin Seibert</v>
      </c>
      <c r="D17" s="3" t="s">
        <v>815</v>
      </c>
      <c r="E17" t="b">
        <f ca="1">NOT(ISERROR(MATCH(C17,'Geoff Usage (2)'!$C$38:$C$500,0)))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IFERROR(__xludf.DUMMYFUNCTION("""COMPUTED_VALUE"""),861)</f>
        <v>861</v>
      </c>
      <c r="C18" s="3" t="str">
        <f ca="1">IFERROR(__xludf.DUMMYFUNCTION("""COMPUTED_VALUE"""),"Ryan Succop")</f>
        <v>Ryan Succop</v>
      </c>
      <c r="D18" s="3" t="s">
        <v>815</v>
      </c>
      <c r="E18" t="b">
        <f ca="1">NOT(ISERROR(MATCH(C18,'Geoff Usage (2)'!$C$38:$C$500,0)))</f>
        <v>0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IFERROR(__xludf.DUMMYFUNCTION("""COMPUTED_VALUE"""),811)</f>
        <v>811</v>
      </c>
      <c r="C19" s="3" t="str">
        <f ca="1">IFERROR(__xludf.DUMMYFUNCTION("""COMPUTED_VALUE"""),"New York Giants")</f>
        <v>New York Giants</v>
      </c>
      <c r="D19" s="3" t="s">
        <v>782</v>
      </c>
      <c r="E19" t="b">
        <f ca="1">NOT(ISERROR(MATCH(C19,'Geoff Usage (2)'!$C$38:$C$500,0)))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IFERROR(__xludf.DUMMYFUNCTION("""COMPUTED_VALUE"""),813)</f>
        <v>813</v>
      </c>
      <c r="C20" s="3" t="str">
        <f ca="1">IFERROR(__xludf.DUMMYFUNCTION("""COMPUTED_VALUE"""),"Oakland Raiders")</f>
        <v>Oakland Raiders</v>
      </c>
      <c r="D20" s="3" t="s">
        <v>782</v>
      </c>
      <c r="E20" t="b">
        <f ca="1">NOT(ISERROR(MATCH(C20,'Geoff Usage (2)'!$C$38:$C$500,0)))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IFERROR(__xludf.DUMMYFUNCTION("""COMPUTED_VALUE"""),812)</f>
        <v>812</v>
      </c>
      <c r="C21" s="3" t="str">
        <f ca="1">IFERROR(__xludf.DUMMYFUNCTION("""COMPUTED_VALUE"""),"New York Jets")</f>
        <v>New York Jets</v>
      </c>
      <c r="D21" s="3" t="s">
        <v>782</v>
      </c>
      <c r="E21" t="b">
        <f ca="1">NOT(ISERROR(MATCH(C21,'Geoff Usage (2)'!$C$38:$C$500,0)))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909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8" x14ac:dyDescent="0.15">
      <c r="B33" s="3"/>
      <c r="C33" s="3"/>
      <c r="D33" s="3"/>
    </row>
    <row r="34" spans="2:8" ht="15" x14ac:dyDescent="0.2">
      <c r="B34" s="3"/>
      <c r="C34" s="3"/>
      <c r="D34" s="3"/>
      <c r="H34" s="87"/>
    </row>
    <row r="35" spans="2:8" ht="15" x14ac:dyDescent="0.2">
      <c r="B35" s="3"/>
      <c r="C35" s="3"/>
      <c r="D35" s="3"/>
      <c r="H35" s="87"/>
    </row>
    <row r="36" spans="2:8" ht="15" x14ac:dyDescent="0.2">
      <c r="B36" s="3"/>
      <c r="C36" s="3"/>
      <c r="D36" s="3"/>
      <c r="H36" s="87"/>
    </row>
    <row r="37" spans="2:8" ht="15" x14ac:dyDescent="0.2">
      <c r="B37" s="3"/>
      <c r="C37" s="3"/>
      <c r="D37" s="3"/>
      <c r="H37" s="87"/>
    </row>
    <row r="38" spans="2:8" ht="15" x14ac:dyDescent="0.2">
      <c r="B38" s="3"/>
      <c r="C38" s="3"/>
      <c r="D38" s="21"/>
      <c r="H38" s="88"/>
    </row>
    <row r="39" spans="2:8" ht="15" x14ac:dyDescent="0.2">
      <c r="B39" s="3"/>
      <c r="C39" s="3"/>
      <c r="D39" s="3"/>
      <c r="H39" s="87"/>
    </row>
    <row r="40" spans="2:8" ht="15" x14ac:dyDescent="0.2">
      <c r="B40" s="3"/>
      <c r="C40" s="3"/>
      <c r="D40" s="3"/>
      <c r="H40" s="87"/>
    </row>
    <row r="41" spans="2:8" ht="15" x14ac:dyDescent="0.2">
      <c r="B41" s="3"/>
      <c r="C41" s="3"/>
      <c r="D41" s="3"/>
      <c r="H41" s="87"/>
    </row>
    <row r="42" spans="2:8" ht="15" x14ac:dyDescent="0.2">
      <c r="B42" s="3"/>
      <c r="C42" s="3"/>
      <c r="D42" s="3"/>
      <c r="H42" s="87"/>
    </row>
    <row r="43" spans="2:8" ht="15" x14ac:dyDescent="0.2">
      <c r="B43" s="3"/>
      <c r="C43" s="3"/>
      <c r="D43" s="3"/>
      <c r="H43" s="87"/>
    </row>
    <row r="44" spans="2:8" ht="15" x14ac:dyDescent="0.2">
      <c r="B44" s="3"/>
      <c r="C44" s="3"/>
      <c r="D44" s="3"/>
      <c r="H44" s="87"/>
    </row>
    <row r="45" spans="2:8" ht="15" x14ac:dyDescent="0.2">
      <c r="B45" s="3"/>
      <c r="C45" s="3"/>
      <c r="D45" s="3"/>
      <c r="H45" s="87"/>
    </row>
    <row r="46" spans="2:8" ht="15" x14ac:dyDescent="0.2">
      <c r="B46" s="3"/>
      <c r="C46" s="3"/>
      <c r="D46" s="3"/>
      <c r="H46" s="87"/>
    </row>
    <row r="47" spans="2:8" ht="15" x14ac:dyDescent="0.2">
      <c r="B47" s="3"/>
      <c r="C47" s="3"/>
      <c r="D47" s="3"/>
      <c r="H47" s="87"/>
    </row>
    <row r="48" spans="2:8" x14ac:dyDescent="0.15">
      <c r="B48" s="3"/>
      <c r="C48" s="3"/>
      <c r="D48" s="3"/>
    </row>
    <row r="49" spans="2:4" x14ac:dyDescent="0.15">
      <c r="B49" s="3"/>
      <c r="C49" s="3"/>
      <c r="D49" s="3"/>
    </row>
  </sheetData>
  <conditionalFormatting sqref="A24:C24 A5:A15 C23 A25:A27">
    <cfRule type="expression" dxfId="2065" priority="606">
      <formula>E5=1</formula>
    </cfRule>
  </conditionalFormatting>
  <conditionalFormatting sqref="B24:C24 C23">
    <cfRule type="expression" dxfId="2064" priority="605">
      <formula>E23=1</formula>
    </cfRule>
  </conditionalFormatting>
  <conditionalFormatting sqref="C23:C24">
    <cfRule type="expression" dxfId="2063" priority="604">
      <formula>E23=1</formula>
    </cfRule>
  </conditionalFormatting>
  <conditionalFormatting sqref="H2">
    <cfRule type="expression" dxfId="2062" priority="603">
      <formula>$H$2&gt;=3</formula>
    </cfRule>
  </conditionalFormatting>
  <conditionalFormatting sqref="H4">
    <cfRule type="expression" dxfId="2061" priority="601">
      <formula>$H$4&gt;=4</formula>
    </cfRule>
  </conditionalFormatting>
  <conditionalFormatting sqref="H5">
    <cfRule type="expression" dxfId="2060" priority="600">
      <formula>$H$5&gt;=3</formula>
    </cfRule>
  </conditionalFormatting>
  <conditionalFormatting sqref="H6">
    <cfRule type="expression" dxfId="2059" priority="599">
      <formula>$H$6&gt;=3</formula>
    </cfRule>
  </conditionalFormatting>
  <conditionalFormatting sqref="H7">
    <cfRule type="expression" dxfId="2058" priority="598">
      <formula>$H$7&gt;=3</formula>
    </cfRule>
  </conditionalFormatting>
  <conditionalFormatting sqref="D23">
    <cfRule type="expression" dxfId="2057" priority="597">
      <formula>H21=1</formula>
    </cfRule>
  </conditionalFormatting>
  <conditionalFormatting sqref="A2:A3">
    <cfRule type="expression" dxfId="2056" priority="607">
      <formula>E3=1</formula>
    </cfRule>
  </conditionalFormatting>
  <conditionalFormatting sqref="D23">
    <cfRule type="expression" dxfId="2055" priority="596">
      <formula>G21=1</formula>
    </cfRule>
  </conditionalFormatting>
  <conditionalFormatting sqref="A20 A22">
    <cfRule type="expression" dxfId="2054" priority="608">
      <formula>#REF!=1</formula>
    </cfRule>
  </conditionalFormatting>
  <conditionalFormatting sqref="A4">
    <cfRule type="expression" dxfId="2053" priority="609">
      <formula>#REF!=1</formula>
    </cfRule>
  </conditionalFormatting>
  <conditionalFormatting sqref="A16:A17">
    <cfRule type="expression" dxfId="2052" priority="610">
      <formula>F16=1</formula>
    </cfRule>
  </conditionalFormatting>
  <conditionalFormatting sqref="A21 A19">
    <cfRule type="expression" dxfId="2051" priority="611">
      <formula>F18=1</formula>
    </cfRule>
  </conditionalFormatting>
  <conditionalFormatting sqref="A18">
    <cfRule type="expression" dxfId="2050" priority="612">
      <formula>F21=1</formula>
    </cfRule>
  </conditionalFormatting>
  <conditionalFormatting sqref="A23:B23">
    <cfRule type="expression" dxfId="2049" priority="595">
      <formula>E23=1</formula>
    </cfRule>
  </conditionalFormatting>
  <conditionalFormatting sqref="B23">
    <cfRule type="expression" dxfId="2048" priority="594">
      <formula>E23=1</formula>
    </cfRule>
  </conditionalFormatting>
  <conditionalFormatting sqref="F11:H11">
    <cfRule type="expression" dxfId="2047" priority="577">
      <formula>J11=1</formula>
    </cfRule>
  </conditionalFormatting>
  <conditionalFormatting sqref="F11:H11">
    <cfRule type="expression" dxfId="2046" priority="576">
      <formula>I11=1</formula>
    </cfRule>
  </conditionalFormatting>
  <conditionalFormatting sqref="G11">
    <cfRule type="expression" dxfId="2045" priority="575">
      <formula>I11=1</formula>
    </cfRule>
  </conditionalFormatting>
  <conditionalFormatting sqref="H11">
    <cfRule type="expression" dxfId="2044" priority="574">
      <formula>I11=1</formula>
    </cfRule>
  </conditionalFormatting>
  <conditionalFormatting sqref="H11">
    <cfRule type="expression" dxfId="2043" priority="570">
      <formula>I11=1</formula>
    </cfRule>
  </conditionalFormatting>
  <conditionalFormatting sqref="F11:H11">
    <cfRule type="expression" dxfId="2042" priority="573">
      <formula>J11=1</formula>
    </cfRule>
  </conditionalFormatting>
  <conditionalFormatting sqref="F11:H11">
    <cfRule type="expression" dxfId="2041" priority="572">
      <formula>I11=1</formula>
    </cfRule>
  </conditionalFormatting>
  <conditionalFormatting sqref="G11">
    <cfRule type="expression" dxfId="2040" priority="571">
      <formula>I11=1</formula>
    </cfRule>
  </conditionalFormatting>
  <conditionalFormatting sqref="B22:D22">
    <cfRule type="expression" dxfId="2039" priority="550">
      <formula>F22=1</formula>
    </cfRule>
  </conditionalFormatting>
  <conditionalFormatting sqref="B22:D22">
    <cfRule type="expression" dxfId="2038" priority="549">
      <formula>E22=1</formula>
    </cfRule>
  </conditionalFormatting>
  <conditionalFormatting sqref="C22">
    <cfRule type="expression" dxfId="2037" priority="548">
      <formula>E22=1</formula>
    </cfRule>
  </conditionalFormatting>
  <conditionalFormatting sqref="D22">
    <cfRule type="expression" dxfId="2036" priority="547">
      <formula>E22=1</formula>
    </cfRule>
  </conditionalFormatting>
  <conditionalFormatting sqref="B24 D24">
    <cfRule type="expression" dxfId="2035" priority="445">
      <formula>F2=1</formula>
    </cfRule>
  </conditionalFormatting>
  <conditionalFormatting sqref="B24:C24">
    <cfRule type="expression" dxfId="2034" priority="444">
      <formula>E2=1</formula>
    </cfRule>
  </conditionalFormatting>
  <conditionalFormatting sqref="C24">
    <cfRule type="expression" dxfId="2033" priority="443">
      <formula>E2=1</formula>
    </cfRule>
  </conditionalFormatting>
  <conditionalFormatting sqref="D24">
    <cfRule type="expression" dxfId="2032" priority="442">
      <formula>E2=1</formula>
    </cfRule>
  </conditionalFormatting>
  <conditionalFormatting sqref="C24">
    <cfRule type="expression" dxfId="2031" priority="446">
      <formula>#REF!=1</formula>
    </cfRule>
  </conditionalFormatting>
  <conditionalFormatting sqref="D24">
    <cfRule type="expression" dxfId="2030" priority="447">
      <formula>#REF!=1</formula>
    </cfRule>
  </conditionalFormatting>
  <conditionalFormatting sqref="C25:D26">
    <cfRule type="expression" dxfId="2029" priority="439">
      <formula>G25=1</formula>
    </cfRule>
  </conditionalFormatting>
  <conditionalFormatting sqref="B25:B26">
    <cfRule type="expression" dxfId="2028" priority="438">
      <formula>E25=1</formula>
    </cfRule>
  </conditionalFormatting>
  <conditionalFormatting sqref="C25:C26">
    <cfRule type="expression" dxfId="2027" priority="437">
      <formula>E25=1</formula>
    </cfRule>
  </conditionalFormatting>
  <conditionalFormatting sqref="D25:D26">
    <cfRule type="expression" dxfId="2026" priority="436">
      <formula>E25=1</formula>
    </cfRule>
  </conditionalFormatting>
  <conditionalFormatting sqref="D25:D26">
    <cfRule type="expression" dxfId="2025" priority="440">
      <formula>#REF!=1</formula>
    </cfRule>
  </conditionalFormatting>
  <conditionalFormatting sqref="B25:C26">
    <cfRule type="expression" dxfId="2024" priority="441">
      <formula>G25=1</formula>
    </cfRule>
  </conditionalFormatting>
  <conditionalFormatting sqref="B27:D27">
    <cfRule type="expression" dxfId="2023" priority="435">
      <formula>F27=1</formula>
    </cfRule>
  </conditionalFormatting>
  <conditionalFormatting sqref="B27:D27">
    <cfRule type="expression" dxfId="2022" priority="434">
      <formula>E27=1</formula>
    </cfRule>
  </conditionalFormatting>
  <conditionalFormatting sqref="C27">
    <cfRule type="expression" dxfId="2021" priority="433">
      <formula>E27=1</formula>
    </cfRule>
  </conditionalFormatting>
  <conditionalFormatting sqref="D27">
    <cfRule type="expression" dxfId="2020" priority="432">
      <formula>E27=1</formula>
    </cfRule>
  </conditionalFormatting>
  <conditionalFormatting sqref="B28:D28">
    <cfRule type="expression" dxfId="2019" priority="431">
      <formula>F28=1</formula>
    </cfRule>
  </conditionalFormatting>
  <conditionalFormatting sqref="B28:D28">
    <cfRule type="expression" dxfId="2018" priority="430">
      <formula>E28=1</formula>
    </cfRule>
  </conditionalFormatting>
  <conditionalFormatting sqref="C28">
    <cfRule type="expression" dxfId="2017" priority="429">
      <formula>E28=1</formula>
    </cfRule>
  </conditionalFormatting>
  <conditionalFormatting sqref="D28">
    <cfRule type="expression" dxfId="2016" priority="428">
      <formula>E28=1</formula>
    </cfRule>
  </conditionalFormatting>
  <conditionalFormatting sqref="B29:D29">
    <cfRule type="expression" dxfId="2015" priority="427">
      <formula>F29=1</formula>
    </cfRule>
  </conditionalFormatting>
  <conditionalFormatting sqref="B29:D29">
    <cfRule type="expression" dxfId="2014" priority="426">
      <formula>E29=1</formula>
    </cfRule>
  </conditionalFormatting>
  <conditionalFormatting sqref="C29">
    <cfRule type="expression" dxfId="2013" priority="425">
      <formula>E29=1</formula>
    </cfRule>
  </conditionalFormatting>
  <conditionalFormatting sqref="D29">
    <cfRule type="expression" dxfId="2012" priority="424">
      <formula>E29=1</formula>
    </cfRule>
  </conditionalFormatting>
  <conditionalFormatting sqref="B49:D49">
    <cfRule type="expression" dxfId="2011" priority="93">
      <formula>F49=1</formula>
    </cfRule>
  </conditionalFormatting>
  <conditionalFormatting sqref="B49:D49">
    <cfRule type="expression" dxfId="2010" priority="92">
      <formula>E49=1</formula>
    </cfRule>
  </conditionalFormatting>
  <conditionalFormatting sqref="C49">
    <cfRule type="expression" dxfId="2009" priority="91">
      <formula>E49=1</formula>
    </cfRule>
  </conditionalFormatting>
  <conditionalFormatting sqref="D49">
    <cfRule type="expression" dxfId="2008" priority="90">
      <formula>E49=1</formula>
    </cfRule>
  </conditionalFormatting>
  <conditionalFormatting sqref="D21">
    <cfRule type="expression" dxfId="2007" priority="1">
      <formula>E21=1</formula>
    </cfRule>
  </conditionalFormatting>
  <conditionalFormatting sqref="B21:D21">
    <cfRule type="expression" dxfId="2006" priority="4">
      <formula>F21=1</formula>
    </cfRule>
  </conditionalFormatting>
  <conditionalFormatting sqref="B21:D21">
    <cfRule type="expression" dxfId="2005" priority="3">
      <formula>E21=1</formula>
    </cfRule>
  </conditionalFormatting>
  <conditionalFormatting sqref="C21">
    <cfRule type="expression" dxfId="2004" priority="2">
      <formula>E21=1</formula>
    </cfRule>
  </conditionalFormatting>
  <conditionalFormatting sqref="D12">
    <cfRule type="expression" dxfId="2003" priority="43">
      <formula>E12=1</formula>
    </cfRule>
  </conditionalFormatting>
  <conditionalFormatting sqref="B39:D39">
    <cfRule type="expression" dxfId="2002" priority="139">
      <formula>F39=1</formula>
    </cfRule>
  </conditionalFormatting>
  <conditionalFormatting sqref="B39:D39">
    <cfRule type="expression" dxfId="2001" priority="138">
      <formula>E39=1</formula>
    </cfRule>
  </conditionalFormatting>
  <conditionalFormatting sqref="C39">
    <cfRule type="expression" dxfId="2000" priority="137">
      <formula>E39=1</formula>
    </cfRule>
  </conditionalFormatting>
  <conditionalFormatting sqref="D39">
    <cfRule type="expression" dxfId="1999" priority="136">
      <formula>E39=1</formula>
    </cfRule>
  </conditionalFormatting>
  <conditionalFormatting sqref="H3">
    <cfRule type="expression" dxfId="1998" priority="179">
      <formula>$H$4&gt;=4</formula>
    </cfRule>
  </conditionalFormatting>
  <conditionalFormatting sqref="B30:D30">
    <cfRule type="expression" dxfId="1997" priority="178">
      <formula>F30=1</formula>
    </cfRule>
  </conditionalFormatting>
  <conditionalFormatting sqref="B30:D30">
    <cfRule type="expression" dxfId="1996" priority="177">
      <formula>E30=1</formula>
    </cfRule>
  </conditionalFormatting>
  <conditionalFormatting sqref="C30">
    <cfRule type="expression" dxfId="1995" priority="176">
      <formula>E30=1</formula>
    </cfRule>
  </conditionalFormatting>
  <conditionalFormatting sqref="D30">
    <cfRule type="expression" dxfId="1994" priority="175">
      <formula>E30=1</formula>
    </cfRule>
  </conditionalFormatting>
  <conditionalFormatting sqref="D31">
    <cfRule type="expression" dxfId="1993" priority="171">
      <formula>E31=1</formula>
    </cfRule>
  </conditionalFormatting>
  <conditionalFormatting sqref="B31:D31">
    <cfRule type="expression" dxfId="1992" priority="174">
      <formula>F31=1</formula>
    </cfRule>
  </conditionalFormatting>
  <conditionalFormatting sqref="B31:D31">
    <cfRule type="expression" dxfId="1991" priority="173">
      <formula>E31=1</formula>
    </cfRule>
  </conditionalFormatting>
  <conditionalFormatting sqref="C31">
    <cfRule type="expression" dxfId="1990" priority="172">
      <formula>E31=1</formula>
    </cfRule>
  </conditionalFormatting>
  <conditionalFormatting sqref="D32">
    <cfRule type="expression" dxfId="1989" priority="167">
      <formula>E32=1</formula>
    </cfRule>
  </conditionalFormatting>
  <conditionalFormatting sqref="B32:D32">
    <cfRule type="expression" dxfId="1988" priority="170">
      <formula>F32=1</formula>
    </cfRule>
  </conditionalFormatting>
  <conditionalFormatting sqref="B32:D32">
    <cfRule type="expression" dxfId="1987" priority="169">
      <formula>E32=1</formula>
    </cfRule>
  </conditionalFormatting>
  <conditionalFormatting sqref="C32">
    <cfRule type="expression" dxfId="1986" priority="168">
      <formula>E32=1</formula>
    </cfRule>
  </conditionalFormatting>
  <conditionalFormatting sqref="B33:D33">
    <cfRule type="expression" dxfId="1985" priority="166">
      <formula>F33=1</formula>
    </cfRule>
  </conditionalFormatting>
  <conditionalFormatting sqref="B33:D33">
    <cfRule type="expression" dxfId="1984" priority="165">
      <formula>E33=1</formula>
    </cfRule>
  </conditionalFormatting>
  <conditionalFormatting sqref="C33">
    <cfRule type="expression" dxfId="1983" priority="164">
      <formula>E33=1</formula>
    </cfRule>
  </conditionalFormatting>
  <conditionalFormatting sqref="D33">
    <cfRule type="expression" dxfId="1982" priority="163">
      <formula>E33=1</formula>
    </cfRule>
  </conditionalFormatting>
  <conditionalFormatting sqref="B34">
    <cfRule type="expression" dxfId="1981" priority="159">
      <formula>E34=1</formula>
    </cfRule>
  </conditionalFormatting>
  <conditionalFormatting sqref="C34">
    <cfRule type="expression" dxfId="1980" priority="158">
      <formula>E34=1</formula>
    </cfRule>
  </conditionalFormatting>
  <conditionalFormatting sqref="D34">
    <cfRule type="expression" dxfId="1979" priority="157">
      <formula>E34=1</formula>
    </cfRule>
  </conditionalFormatting>
  <conditionalFormatting sqref="C34:D34">
    <cfRule type="expression" dxfId="1978" priority="160">
      <formula>G35=1</formula>
    </cfRule>
  </conditionalFormatting>
  <conditionalFormatting sqref="D34">
    <cfRule type="expression" dxfId="1977" priority="161">
      <formula>#REF!=1</formula>
    </cfRule>
  </conditionalFormatting>
  <conditionalFormatting sqref="B34:C34">
    <cfRule type="expression" dxfId="1976" priority="162">
      <formula>G35=1</formula>
    </cfRule>
  </conditionalFormatting>
  <conditionalFormatting sqref="B35:D35">
    <cfRule type="expression" dxfId="1975" priority="156">
      <formula>F35=1</formula>
    </cfRule>
  </conditionalFormatting>
  <conditionalFormatting sqref="B35:D35">
    <cfRule type="expression" dxfId="1974" priority="155">
      <formula>E35=1</formula>
    </cfRule>
  </conditionalFormatting>
  <conditionalFormatting sqref="C35">
    <cfRule type="expression" dxfId="1973" priority="154">
      <formula>E35=1</formula>
    </cfRule>
  </conditionalFormatting>
  <conditionalFormatting sqref="D35">
    <cfRule type="expression" dxfId="1972" priority="153">
      <formula>E35=1</formula>
    </cfRule>
  </conditionalFormatting>
  <conditionalFormatting sqref="B36 D36">
    <cfRule type="expression" dxfId="1971" priority="150">
      <formula>F36=1</formula>
    </cfRule>
  </conditionalFormatting>
  <conditionalFormatting sqref="B36:C36">
    <cfRule type="expression" dxfId="1970" priority="149">
      <formula>E36=1</formula>
    </cfRule>
  </conditionalFormatting>
  <conditionalFormatting sqref="C36">
    <cfRule type="expression" dxfId="1969" priority="148">
      <formula>E36=1</formula>
    </cfRule>
  </conditionalFormatting>
  <conditionalFormatting sqref="D36">
    <cfRule type="expression" dxfId="1968" priority="147">
      <formula>E36=1</formula>
    </cfRule>
  </conditionalFormatting>
  <conditionalFormatting sqref="C36">
    <cfRule type="expression" dxfId="1967" priority="151">
      <formula>G39=1</formula>
    </cfRule>
  </conditionalFormatting>
  <conditionalFormatting sqref="D36">
    <cfRule type="expression" dxfId="1966" priority="152">
      <formula>G39=1</formula>
    </cfRule>
  </conditionalFormatting>
  <conditionalFormatting sqref="D37">
    <cfRule type="expression" dxfId="1965" priority="143">
      <formula>E37=1</formula>
    </cfRule>
  </conditionalFormatting>
  <conditionalFormatting sqref="B37:D37">
    <cfRule type="expression" dxfId="1964" priority="146">
      <formula>F37=1</formula>
    </cfRule>
  </conditionalFormatting>
  <conditionalFormatting sqref="B37:D37">
    <cfRule type="expression" dxfId="1963" priority="145">
      <formula>E37=1</formula>
    </cfRule>
  </conditionalFormatting>
  <conditionalFormatting sqref="C37">
    <cfRule type="expression" dxfId="1962" priority="144">
      <formula>E37=1</formula>
    </cfRule>
  </conditionalFormatting>
  <conditionalFormatting sqref="B38:C38">
    <cfRule type="expression" dxfId="1961" priority="142">
      <formula>F38=1</formula>
    </cfRule>
  </conditionalFormatting>
  <conditionalFormatting sqref="B38:C38">
    <cfRule type="expression" dxfId="1960" priority="141">
      <formula>E38=1</formula>
    </cfRule>
  </conditionalFormatting>
  <conditionalFormatting sqref="C38">
    <cfRule type="expression" dxfId="1959" priority="140">
      <formula>E38=1</formula>
    </cfRule>
  </conditionalFormatting>
  <conditionalFormatting sqref="B40:D40">
    <cfRule type="expression" dxfId="1958" priority="135">
      <formula>F40=1</formula>
    </cfRule>
  </conditionalFormatting>
  <conditionalFormatting sqref="B40:D40">
    <cfRule type="expression" dxfId="1957" priority="134">
      <formula>E40=1</formula>
    </cfRule>
  </conditionalFormatting>
  <conditionalFormatting sqref="C40">
    <cfRule type="expression" dxfId="1956" priority="133">
      <formula>E40=1</formula>
    </cfRule>
  </conditionalFormatting>
  <conditionalFormatting sqref="D40">
    <cfRule type="expression" dxfId="1955" priority="132">
      <formula>E40=1</formula>
    </cfRule>
  </conditionalFormatting>
  <conditionalFormatting sqref="D41">
    <cfRule type="expression" dxfId="1954" priority="127">
      <formula>H41=1</formula>
    </cfRule>
  </conditionalFormatting>
  <conditionalFormatting sqref="B41">
    <cfRule type="expression" dxfId="1953" priority="126">
      <formula>E41=1</formula>
    </cfRule>
  </conditionalFormatting>
  <conditionalFormatting sqref="C41">
    <cfRule type="expression" dxfId="1952" priority="125">
      <formula>E41=1</formula>
    </cfRule>
  </conditionalFormatting>
  <conditionalFormatting sqref="D41">
    <cfRule type="expression" dxfId="1951" priority="124">
      <formula>E41=1</formula>
    </cfRule>
  </conditionalFormatting>
  <conditionalFormatting sqref="C41">
    <cfRule type="expression" dxfId="1950" priority="128">
      <formula>#REF!=1</formula>
    </cfRule>
  </conditionalFormatting>
  <conditionalFormatting sqref="D41">
    <cfRule type="expression" dxfId="1949" priority="129">
      <formula>#REF!=1</formula>
    </cfRule>
  </conditionalFormatting>
  <conditionalFormatting sqref="C41">
    <cfRule type="expression" dxfId="1948" priority="130">
      <formula>#REF!=1</formula>
    </cfRule>
  </conditionalFormatting>
  <conditionalFormatting sqref="B41">
    <cfRule type="expression" dxfId="1947" priority="131">
      <formula>#REF!=1</formula>
    </cfRule>
  </conditionalFormatting>
  <conditionalFormatting sqref="B42:D42">
    <cfRule type="expression" dxfId="1946" priority="123">
      <formula>F42=1</formula>
    </cfRule>
  </conditionalFormatting>
  <conditionalFormatting sqref="B42:D42">
    <cfRule type="expression" dxfId="1945" priority="122">
      <formula>E42=1</formula>
    </cfRule>
  </conditionalFormatting>
  <conditionalFormatting sqref="C42">
    <cfRule type="expression" dxfId="1944" priority="121">
      <formula>E42=1</formula>
    </cfRule>
  </conditionalFormatting>
  <conditionalFormatting sqref="D42">
    <cfRule type="expression" dxfId="1943" priority="120">
      <formula>E42=1</formula>
    </cfRule>
  </conditionalFormatting>
  <conditionalFormatting sqref="C43:D43">
    <cfRule type="expression" dxfId="1942" priority="117">
      <formula>G43=1</formula>
    </cfRule>
  </conditionalFormatting>
  <conditionalFormatting sqref="B43 D43">
    <cfRule type="expression" dxfId="1941" priority="116">
      <formula>E43=1</formula>
    </cfRule>
  </conditionalFormatting>
  <conditionalFormatting sqref="C43">
    <cfRule type="expression" dxfId="1940" priority="115">
      <formula>E43=1</formula>
    </cfRule>
  </conditionalFormatting>
  <conditionalFormatting sqref="D43">
    <cfRule type="expression" dxfId="1939" priority="114">
      <formula>E43=1</formula>
    </cfRule>
  </conditionalFormatting>
  <conditionalFormatting sqref="C43">
    <cfRule type="expression" dxfId="1938" priority="118">
      <formula>G54=1</formula>
    </cfRule>
  </conditionalFormatting>
  <conditionalFormatting sqref="B43">
    <cfRule type="expression" dxfId="1937" priority="119">
      <formula>G54=1</formula>
    </cfRule>
  </conditionalFormatting>
  <conditionalFormatting sqref="B44:D44">
    <cfRule type="expression" dxfId="1936" priority="113">
      <formula>F44=1</formula>
    </cfRule>
  </conditionalFormatting>
  <conditionalFormatting sqref="B44:D44">
    <cfRule type="expression" dxfId="1935" priority="112">
      <formula>E44=1</formula>
    </cfRule>
  </conditionalFormatting>
  <conditionalFormatting sqref="C44">
    <cfRule type="expression" dxfId="1934" priority="111">
      <formula>E44=1</formula>
    </cfRule>
  </conditionalFormatting>
  <conditionalFormatting sqref="D44">
    <cfRule type="expression" dxfId="1933" priority="110">
      <formula>E44=1</formula>
    </cfRule>
  </conditionalFormatting>
  <conditionalFormatting sqref="B45:D45">
    <cfRule type="expression" dxfId="1932" priority="109">
      <formula>F45=1</formula>
    </cfRule>
  </conditionalFormatting>
  <conditionalFormatting sqref="B45:D45">
    <cfRule type="expression" dxfId="1931" priority="108">
      <formula>E45=1</formula>
    </cfRule>
  </conditionalFormatting>
  <conditionalFormatting sqref="C45">
    <cfRule type="expression" dxfId="1930" priority="107">
      <formula>E45=1</formula>
    </cfRule>
  </conditionalFormatting>
  <conditionalFormatting sqref="D45">
    <cfRule type="expression" dxfId="1929" priority="106">
      <formula>E45=1</formula>
    </cfRule>
  </conditionalFormatting>
  <conditionalFormatting sqref="B46:D46">
    <cfRule type="expression" dxfId="1928" priority="105">
      <formula>F46=1</formula>
    </cfRule>
  </conditionalFormatting>
  <conditionalFormatting sqref="B46:D46">
    <cfRule type="expression" dxfId="1927" priority="104">
      <formula>E46=1</formula>
    </cfRule>
  </conditionalFormatting>
  <conditionalFormatting sqref="C46">
    <cfRule type="expression" dxfId="1926" priority="103">
      <formula>E46=1</formula>
    </cfRule>
  </conditionalFormatting>
  <conditionalFormatting sqref="D46">
    <cfRule type="expression" dxfId="1925" priority="102">
      <formula>E46=1</formula>
    </cfRule>
  </conditionalFormatting>
  <conditionalFormatting sqref="B47:D47">
    <cfRule type="expression" dxfId="1924" priority="101">
      <formula>F47=1</formula>
    </cfRule>
  </conditionalFormatting>
  <conditionalFormatting sqref="B47:D47">
    <cfRule type="expression" dxfId="1923" priority="100">
      <formula>E47=1</formula>
    </cfRule>
  </conditionalFormatting>
  <conditionalFormatting sqref="C47">
    <cfRule type="expression" dxfId="1922" priority="99">
      <formula>E47=1</formula>
    </cfRule>
  </conditionalFormatting>
  <conditionalFormatting sqref="D47">
    <cfRule type="expression" dxfId="1921" priority="98">
      <formula>E47=1</formula>
    </cfRule>
  </conditionalFormatting>
  <conditionalFormatting sqref="B48:D48">
    <cfRule type="expression" dxfId="1920" priority="97">
      <formula>F48=1</formula>
    </cfRule>
  </conditionalFormatting>
  <conditionalFormatting sqref="B48:D48">
    <cfRule type="expression" dxfId="1919" priority="96">
      <formula>E48=1</formula>
    </cfRule>
  </conditionalFormatting>
  <conditionalFormatting sqref="C48">
    <cfRule type="expression" dxfId="1918" priority="95">
      <formula>E48=1</formula>
    </cfRule>
  </conditionalFormatting>
  <conditionalFormatting sqref="D48">
    <cfRule type="expression" dxfId="1917" priority="94">
      <formula>E48=1</formula>
    </cfRule>
  </conditionalFormatting>
  <conditionalFormatting sqref="B2:D2">
    <cfRule type="expression" dxfId="1916" priority="89">
      <formula>F2=1</formula>
    </cfRule>
  </conditionalFormatting>
  <conditionalFormatting sqref="B2:D2">
    <cfRule type="expression" dxfId="1915" priority="88">
      <formula>E2=1</formula>
    </cfRule>
  </conditionalFormatting>
  <conditionalFormatting sqref="C2">
    <cfRule type="expression" dxfId="1914" priority="87">
      <formula>E2=1</formula>
    </cfRule>
  </conditionalFormatting>
  <conditionalFormatting sqref="D2">
    <cfRule type="expression" dxfId="1913" priority="86">
      <formula>E2=1</formula>
    </cfRule>
  </conditionalFormatting>
  <conditionalFormatting sqref="D3">
    <cfRule type="expression" dxfId="1912" priority="82">
      <formula>E3=1</formula>
    </cfRule>
  </conditionalFormatting>
  <conditionalFormatting sqref="B3:D3">
    <cfRule type="expression" dxfId="1911" priority="85">
      <formula>F3=1</formula>
    </cfRule>
  </conditionalFormatting>
  <conditionalFormatting sqref="B3:D3">
    <cfRule type="expression" dxfId="1910" priority="84">
      <formula>E3=1</formula>
    </cfRule>
  </conditionalFormatting>
  <conditionalFormatting sqref="C3">
    <cfRule type="expression" dxfId="1909" priority="83">
      <formula>E3=1</formula>
    </cfRule>
  </conditionalFormatting>
  <conditionalFormatting sqref="D4">
    <cfRule type="expression" dxfId="1908" priority="78">
      <formula>E4=1</formula>
    </cfRule>
  </conditionalFormatting>
  <conditionalFormatting sqref="B4:D4">
    <cfRule type="expression" dxfId="1907" priority="81">
      <formula>F4=1</formula>
    </cfRule>
  </conditionalFormatting>
  <conditionalFormatting sqref="B4:D4">
    <cfRule type="expression" dxfId="1906" priority="80">
      <formula>E4=1</formula>
    </cfRule>
  </conditionalFormatting>
  <conditionalFormatting sqref="C4">
    <cfRule type="expression" dxfId="1905" priority="79">
      <formula>E4=1</formula>
    </cfRule>
  </conditionalFormatting>
  <conditionalFormatting sqref="B5:D5">
    <cfRule type="expression" dxfId="1904" priority="77">
      <formula>F5=1</formula>
    </cfRule>
  </conditionalFormatting>
  <conditionalFormatting sqref="B5:D5">
    <cfRule type="expression" dxfId="1903" priority="76">
      <formula>E5=1</formula>
    </cfRule>
  </conditionalFormatting>
  <conditionalFormatting sqref="C5">
    <cfRule type="expression" dxfId="1902" priority="75">
      <formula>E5=1</formula>
    </cfRule>
  </conditionalFormatting>
  <conditionalFormatting sqref="D5">
    <cfRule type="expression" dxfId="1901" priority="74">
      <formula>E5=1</formula>
    </cfRule>
  </conditionalFormatting>
  <conditionalFormatting sqref="B6">
    <cfRule type="expression" dxfId="1900" priority="70">
      <formula>E6=1</formula>
    </cfRule>
  </conditionalFormatting>
  <conditionalFormatting sqref="C6">
    <cfRule type="expression" dxfId="1899" priority="69">
      <formula>E6=1</formula>
    </cfRule>
  </conditionalFormatting>
  <conditionalFormatting sqref="D6">
    <cfRule type="expression" dxfId="1898" priority="68">
      <formula>E6=1</formula>
    </cfRule>
  </conditionalFormatting>
  <conditionalFormatting sqref="C6:D6">
    <cfRule type="expression" dxfId="1897" priority="71">
      <formula>G7=1</formula>
    </cfRule>
  </conditionalFormatting>
  <conditionalFormatting sqref="D6">
    <cfRule type="expression" dxfId="1896" priority="72">
      <formula>#REF!=1</formula>
    </cfRule>
  </conditionalFormatting>
  <conditionalFormatting sqref="B6:C6">
    <cfRule type="expression" dxfId="1895" priority="73">
      <formula>G7=1</formula>
    </cfRule>
  </conditionalFormatting>
  <conditionalFormatting sqref="B7:D7">
    <cfRule type="expression" dxfId="1894" priority="67">
      <formula>F7=1</formula>
    </cfRule>
  </conditionalFormatting>
  <conditionalFormatting sqref="B7:D7">
    <cfRule type="expression" dxfId="1893" priority="66">
      <formula>E7=1</formula>
    </cfRule>
  </conditionalFormatting>
  <conditionalFormatting sqref="C7">
    <cfRule type="expression" dxfId="1892" priority="65">
      <formula>E7=1</formula>
    </cfRule>
  </conditionalFormatting>
  <conditionalFormatting sqref="D7">
    <cfRule type="expression" dxfId="1891" priority="64">
      <formula>E7=1</formula>
    </cfRule>
  </conditionalFormatting>
  <conditionalFormatting sqref="B8 D8">
    <cfRule type="expression" dxfId="1890" priority="61">
      <formula>F8=1</formula>
    </cfRule>
  </conditionalFormatting>
  <conditionalFormatting sqref="B8:C8">
    <cfRule type="expression" dxfId="1889" priority="60">
      <formula>E8=1</formula>
    </cfRule>
  </conditionalFormatting>
  <conditionalFormatting sqref="C8">
    <cfRule type="expression" dxfId="1888" priority="59">
      <formula>E8=1</formula>
    </cfRule>
  </conditionalFormatting>
  <conditionalFormatting sqref="D8">
    <cfRule type="expression" dxfId="1887" priority="58">
      <formula>E8=1</formula>
    </cfRule>
  </conditionalFormatting>
  <conditionalFormatting sqref="C8">
    <cfRule type="expression" dxfId="1886" priority="62">
      <formula>G11=1</formula>
    </cfRule>
  </conditionalFormatting>
  <conditionalFormatting sqref="D8">
    <cfRule type="expression" dxfId="1885" priority="63">
      <formula>G11=1</formula>
    </cfRule>
  </conditionalFormatting>
  <conditionalFormatting sqref="D9">
    <cfRule type="expression" dxfId="1884" priority="54">
      <formula>E9=1</formula>
    </cfRule>
  </conditionalFormatting>
  <conditionalFormatting sqref="B9:D9">
    <cfRule type="expression" dxfId="1883" priority="57">
      <formula>F9=1</formula>
    </cfRule>
  </conditionalFormatting>
  <conditionalFormatting sqref="B9:D9">
    <cfRule type="expression" dxfId="1882" priority="56">
      <formula>E9=1</formula>
    </cfRule>
  </conditionalFormatting>
  <conditionalFormatting sqref="C9">
    <cfRule type="expression" dxfId="1881" priority="55">
      <formula>E9=1</formula>
    </cfRule>
  </conditionalFormatting>
  <conditionalFormatting sqref="B10:C10">
    <cfRule type="expression" dxfId="1880" priority="53">
      <formula>F10=1</formula>
    </cfRule>
  </conditionalFormatting>
  <conditionalFormatting sqref="B10:C10">
    <cfRule type="expression" dxfId="1879" priority="52">
      <formula>E10=1</formula>
    </cfRule>
  </conditionalFormatting>
  <conditionalFormatting sqref="C10">
    <cfRule type="expression" dxfId="1878" priority="51">
      <formula>E10=1</formula>
    </cfRule>
  </conditionalFormatting>
  <conditionalFormatting sqref="B11:D11">
    <cfRule type="expression" dxfId="1877" priority="50">
      <formula>F11=1</formula>
    </cfRule>
  </conditionalFormatting>
  <conditionalFormatting sqref="B11:D11">
    <cfRule type="expression" dxfId="1876" priority="49">
      <formula>E11=1</formula>
    </cfRule>
  </conditionalFormatting>
  <conditionalFormatting sqref="C11">
    <cfRule type="expression" dxfId="1875" priority="48">
      <formula>E11=1</formula>
    </cfRule>
  </conditionalFormatting>
  <conditionalFormatting sqref="D11">
    <cfRule type="expression" dxfId="1874" priority="47">
      <formula>E11=1</formula>
    </cfRule>
  </conditionalFormatting>
  <conditionalFormatting sqref="B12:D12">
    <cfRule type="expression" dxfId="1873" priority="46">
      <formula>F12=1</formula>
    </cfRule>
  </conditionalFormatting>
  <conditionalFormatting sqref="B12:D12">
    <cfRule type="expression" dxfId="1872" priority="45">
      <formula>E12=1</formula>
    </cfRule>
  </conditionalFormatting>
  <conditionalFormatting sqref="C12">
    <cfRule type="expression" dxfId="1871" priority="44">
      <formula>E12=1</formula>
    </cfRule>
  </conditionalFormatting>
  <conditionalFormatting sqref="D13">
    <cfRule type="expression" dxfId="1870" priority="38">
      <formula>H13=1</formula>
    </cfRule>
  </conditionalFormatting>
  <conditionalFormatting sqref="B13">
    <cfRule type="expression" dxfId="1869" priority="37">
      <formula>E13=1</formula>
    </cfRule>
  </conditionalFormatting>
  <conditionalFormatting sqref="C13">
    <cfRule type="expression" dxfId="1868" priority="36">
      <formula>E13=1</formula>
    </cfRule>
  </conditionalFormatting>
  <conditionalFormatting sqref="D13">
    <cfRule type="expression" dxfId="1867" priority="35">
      <formula>E13=1</formula>
    </cfRule>
  </conditionalFormatting>
  <conditionalFormatting sqref="C13">
    <cfRule type="expression" dxfId="1866" priority="39">
      <formula>#REF!=1</formula>
    </cfRule>
  </conditionalFormatting>
  <conditionalFormatting sqref="D13">
    <cfRule type="expression" dxfId="1865" priority="40">
      <formula>#REF!=1</formula>
    </cfRule>
  </conditionalFormatting>
  <conditionalFormatting sqref="C13">
    <cfRule type="expression" dxfId="1864" priority="41">
      <formula>#REF!=1</formula>
    </cfRule>
  </conditionalFormatting>
  <conditionalFormatting sqref="B13">
    <cfRule type="expression" dxfId="1863" priority="42">
      <formula>#REF!=1</formula>
    </cfRule>
  </conditionalFormatting>
  <conditionalFormatting sqref="B14:D14">
    <cfRule type="expression" dxfId="1862" priority="34">
      <formula>F14=1</formula>
    </cfRule>
  </conditionalFormatting>
  <conditionalFormatting sqref="B14:D14">
    <cfRule type="expression" dxfId="1861" priority="33">
      <formula>E14=1</formula>
    </cfRule>
  </conditionalFormatting>
  <conditionalFormatting sqref="C14">
    <cfRule type="expression" dxfId="1860" priority="32">
      <formula>E14=1</formula>
    </cfRule>
  </conditionalFormatting>
  <conditionalFormatting sqref="D14">
    <cfRule type="expression" dxfId="1859" priority="31">
      <formula>E14=1</formula>
    </cfRule>
  </conditionalFormatting>
  <conditionalFormatting sqref="C15:D15">
    <cfRule type="expression" dxfId="1858" priority="28">
      <formula>G15=1</formula>
    </cfRule>
  </conditionalFormatting>
  <conditionalFormatting sqref="B15 D15">
    <cfRule type="expression" dxfId="1857" priority="27">
      <formula>E15=1</formula>
    </cfRule>
  </conditionalFormatting>
  <conditionalFormatting sqref="C15">
    <cfRule type="expression" dxfId="1856" priority="26">
      <formula>E15=1</formula>
    </cfRule>
  </conditionalFormatting>
  <conditionalFormatting sqref="D15">
    <cfRule type="expression" dxfId="1855" priority="25">
      <formula>E15=1</formula>
    </cfRule>
  </conditionalFormatting>
  <conditionalFormatting sqref="C15">
    <cfRule type="expression" dxfId="1854" priority="29">
      <formula>G26=1</formula>
    </cfRule>
  </conditionalFormatting>
  <conditionalFormatting sqref="B15">
    <cfRule type="expression" dxfId="1853" priority="30">
      <formula>G26=1</formula>
    </cfRule>
  </conditionalFormatting>
  <conditionalFormatting sqref="B16:D16">
    <cfRule type="expression" dxfId="1852" priority="24">
      <formula>F16=1</formula>
    </cfRule>
  </conditionalFormatting>
  <conditionalFormatting sqref="B16:D16">
    <cfRule type="expression" dxfId="1851" priority="23">
      <formula>E16=1</formula>
    </cfRule>
  </conditionalFormatting>
  <conditionalFormatting sqref="C16">
    <cfRule type="expression" dxfId="1850" priority="22">
      <formula>E16=1</formula>
    </cfRule>
  </conditionalFormatting>
  <conditionalFormatting sqref="D16">
    <cfRule type="expression" dxfId="1849" priority="21">
      <formula>E16=1</formula>
    </cfRule>
  </conditionalFormatting>
  <conditionalFormatting sqref="B17:D17">
    <cfRule type="expression" dxfId="1848" priority="20">
      <formula>F17=1</formula>
    </cfRule>
  </conditionalFormatting>
  <conditionalFormatting sqref="B17:D17">
    <cfRule type="expression" dxfId="1847" priority="19">
      <formula>E17=1</formula>
    </cfRule>
  </conditionalFormatting>
  <conditionalFormatting sqref="C17">
    <cfRule type="expression" dxfId="1846" priority="18">
      <formula>E17=1</formula>
    </cfRule>
  </conditionalFormatting>
  <conditionalFormatting sqref="D17">
    <cfRule type="expression" dxfId="1845" priority="17">
      <formula>E17=1</formula>
    </cfRule>
  </conditionalFormatting>
  <conditionalFormatting sqref="B18:D18">
    <cfRule type="expression" dxfId="1844" priority="16">
      <formula>F18=1</formula>
    </cfRule>
  </conditionalFormatting>
  <conditionalFormatting sqref="B18:D18">
    <cfRule type="expression" dxfId="1843" priority="15">
      <formula>E18=1</formula>
    </cfRule>
  </conditionalFormatting>
  <conditionalFormatting sqref="C18">
    <cfRule type="expression" dxfId="1842" priority="14">
      <formula>E18=1</formula>
    </cfRule>
  </conditionalFormatting>
  <conditionalFormatting sqref="D18">
    <cfRule type="expression" dxfId="1841" priority="13">
      <formula>E18=1</formula>
    </cfRule>
  </conditionalFormatting>
  <conditionalFormatting sqref="B19:D19">
    <cfRule type="expression" dxfId="1840" priority="12">
      <formula>F19=1</formula>
    </cfRule>
  </conditionalFormatting>
  <conditionalFormatting sqref="B19:D19">
    <cfRule type="expression" dxfId="1839" priority="11">
      <formula>E19=1</formula>
    </cfRule>
  </conditionalFormatting>
  <conditionalFormatting sqref="C19">
    <cfRule type="expression" dxfId="1838" priority="10">
      <formula>E19=1</formula>
    </cfRule>
  </conditionalFormatting>
  <conditionalFormatting sqref="D19">
    <cfRule type="expression" dxfId="1837" priority="9">
      <formula>E19=1</formula>
    </cfRule>
  </conditionalFormatting>
  <conditionalFormatting sqref="B20:D20">
    <cfRule type="expression" dxfId="1836" priority="8">
      <formula>F20=1</formula>
    </cfRule>
  </conditionalFormatting>
  <conditionalFormatting sqref="B20:D20">
    <cfRule type="expression" dxfId="1835" priority="7">
      <formula>E20=1</formula>
    </cfRule>
  </conditionalFormatting>
  <conditionalFormatting sqref="C20">
    <cfRule type="expression" dxfId="1834" priority="6">
      <formula>E20=1</formula>
    </cfRule>
  </conditionalFormatting>
  <conditionalFormatting sqref="D20">
    <cfRule type="expression" dxfId="1833" priority="5">
      <formula>E20=1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DFA2-65A2-44D7-81DB-7B0925CFBE63}">
  <dimension ref="A1:M33"/>
  <sheetViews>
    <sheetView showGridLines="0" workbookViewId="0">
      <selection activeCell="B21" sqref="B21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IFERROR(__xludf.DUMMYFUNCTION("""COMPUTED_VALUE"""),269)</f>
        <v>269</v>
      </c>
      <c r="C2" s="3" t="str">
        <f ca="1">IFERROR(__xludf.DUMMYFUNCTION("""COMPUTED_VALUE"""),"Marlon Mack")</f>
        <v>Marlon Mack</v>
      </c>
      <c r="D2" s="3" t="str">
        <f ca="1">IFERROR(__xludf.DUMMYFUNCTION("""COMPUTED_VALUE"""),"RB")</f>
        <v>RB</v>
      </c>
      <c r="E2" t="b">
        <f ca="1">NOT(ISERROR(MATCH(C2,'Keyur Usage'!$C$38:$C$500,0)))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535</v>
      </c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IFERROR(__xludf.DUMMYFUNCTION("""COMPUTED_VALUE"""),818)</f>
        <v>818</v>
      </c>
      <c r="C3" s="3" t="str">
        <f ca="1">IFERROR(__xludf.DUMMYFUNCTION("""COMPUTED_VALUE"""),"Tampa Bay Buccaneers")</f>
        <v>Tampa Bay Buccaneers</v>
      </c>
      <c r="D3" s="3" t="str">
        <f ca="1">IFERROR(__xludf.DUMMYFUNCTION("""COMPUTED_VALUE"""),"D/ST")</f>
        <v>D/ST</v>
      </c>
      <c r="E3" t="b">
        <f ca="1">NOT(ISERROR(MATCH(C3,'Keyur Usage'!$C$38:$C$500,0)))</f>
        <v>1</v>
      </c>
      <c r="G3" t="s">
        <v>8</v>
      </c>
      <c r="H3" s="26">
        <f t="shared" ca="1" si="0"/>
        <v>4</v>
      </c>
      <c r="J3" s="21" t="s">
        <v>881</v>
      </c>
      <c r="K3" s="30" t="s">
        <v>922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IFERROR(__xludf.DUMMYFUNCTION("""COMPUTED_VALUE"""),532)</f>
        <v>532</v>
      </c>
      <c r="C4" s="3" t="str">
        <f ca="1">IFERROR(__xludf.DUMMYFUNCTION("""COMPUTED_VALUE"""),"Lamar Jackson")</f>
        <v>Lamar Jackson</v>
      </c>
      <c r="D4" s="3" t="str">
        <f ca="1">IFERROR(__xludf.DUMMYFUNCTION("""COMPUTED_VALUE"""),"QB")</f>
        <v>QB</v>
      </c>
      <c r="E4" t="b">
        <f ca="1">NOT(ISERROR(MATCH(C4,'Keyur Usage'!$C$38:$C$500,0)))</f>
        <v>0</v>
      </c>
      <c r="G4" t="s">
        <v>6</v>
      </c>
      <c r="H4" s="26">
        <f t="shared" ca="1" si="0"/>
        <v>4</v>
      </c>
      <c r="J4" s="21" t="s">
        <v>882</v>
      </c>
      <c r="K4" s="30" t="s">
        <v>275</v>
      </c>
      <c r="L4" s="53"/>
    </row>
    <row r="5" spans="1:13" x14ac:dyDescent="0.15">
      <c r="A5" s="16">
        <f t="shared" si="1"/>
        <v>4</v>
      </c>
      <c r="B5" s="3">
        <f ca="1">IFERROR(__xludf.DUMMYFUNCTION("""COMPUTED_VALUE"""),234)</f>
        <v>234</v>
      </c>
      <c r="C5" s="3" t="str">
        <f ca="1">IFERROR(__xludf.DUMMYFUNCTION("""COMPUTED_VALUE"""),"Keenan Allen")</f>
        <v>Keenan Allen</v>
      </c>
      <c r="D5" s="3" t="str">
        <f ca="1">IFERROR(__xludf.DUMMYFUNCTION("""COMPUTED_VALUE"""),"WR")</f>
        <v>WR</v>
      </c>
      <c r="E5" t="b">
        <f ca="1">NOT(ISERROR(MATCH(C5,'Keyur Usage'!$C$38:$C$500,0)))</f>
        <v>1</v>
      </c>
      <c r="G5" t="s">
        <v>4</v>
      </c>
      <c r="H5" s="26">
        <f t="shared" ca="1" si="0"/>
        <v>3</v>
      </c>
      <c r="J5" s="21" t="s">
        <v>883</v>
      </c>
      <c r="K5" s="30" t="s">
        <v>717</v>
      </c>
    </row>
    <row r="6" spans="1:13" x14ac:dyDescent="0.15">
      <c r="A6" s="16">
        <f t="shared" si="1"/>
        <v>5</v>
      </c>
      <c r="B6" s="3">
        <f ca="1">IFERROR(__xludf.DUMMYFUNCTION("""COMPUTED_VALUE"""),51)</f>
        <v>51</v>
      </c>
      <c r="C6" s="3" t="str">
        <f ca="1">IFERROR(__xludf.DUMMYFUNCTION("""COMPUTED_VALUE"""),"Jared Cook")</f>
        <v>Jared Cook</v>
      </c>
      <c r="D6" s="3" t="str">
        <f ca="1">IFERROR(__xludf.DUMMYFUNCTION("""COMPUTED_VALUE"""),"TE")</f>
        <v>TE</v>
      </c>
      <c r="E6" t="b">
        <f ca="1">NOT(ISERROR(MATCH(C6,'Keyur Usage'!$C$38:$C$500,0)))</f>
        <v>1</v>
      </c>
      <c r="G6" s="21" t="s">
        <v>782</v>
      </c>
      <c r="H6" s="26">
        <f t="shared" ca="1" si="0"/>
        <v>3</v>
      </c>
      <c r="J6" s="21" t="s">
        <v>884</v>
      </c>
      <c r="K6" s="30" t="s">
        <v>298</v>
      </c>
    </row>
    <row r="7" spans="1:13" x14ac:dyDescent="0.15">
      <c r="A7" s="16">
        <f t="shared" si="1"/>
        <v>6</v>
      </c>
      <c r="B7" s="3">
        <f ca="1">IFERROR(__xludf.DUMMYFUNCTION("""COMPUTED_VALUE"""),325)</f>
        <v>325</v>
      </c>
      <c r="C7" s="3" t="str">
        <f ca="1">IFERROR(__xludf.DUMMYFUNCTION("""COMPUTED_VALUE"""),"O.J. Howard")</f>
        <v>O.J. Howard</v>
      </c>
      <c r="D7" s="3" t="str">
        <f ca="1">IFERROR(__xludf.DUMMYFUNCTION("""COMPUTED_VALUE"""),"TE")</f>
        <v>TE</v>
      </c>
      <c r="E7" t="b">
        <f ca="1">NOT(ISERROR(MATCH(C7,'Keyur Usage'!$C$38:$C$500,0)))</f>
        <v>1</v>
      </c>
      <c r="G7" s="23" t="s">
        <v>815</v>
      </c>
      <c r="H7" s="27">
        <f t="shared" ca="1" si="0"/>
        <v>2</v>
      </c>
      <c r="J7" s="28" t="s">
        <v>885</v>
      </c>
      <c r="K7" s="30" t="s">
        <v>240</v>
      </c>
    </row>
    <row r="8" spans="1:13" x14ac:dyDescent="0.15">
      <c r="A8" s="16">
        <f t="shared" si="1"/>
        <v>7</v>
      </c>
      <c r="B8" s="3">
        <f ca="1">IFERROR(__xludf.DUMMYFUNCTION("""COMPUTED_VALUE"""),207)</f>
        <v>207</v>
      </c>
      <c r="C8" s="3" t="str">
        <f ca="1">IFERROR(__xludf.DUMMYFUNCTION("""COMPUTED_VALUE"""),"Vance McDonald")</f>
        <v>Vance McDonald</v>
      </c>
      <c r="D8" s="3" t="str">
        <f ca="1">IFERROR(__xludf.DUMMYFUNCTION("""COMPUTED_VALUE"""),"TE")</f>
        <v>TE</v>
      </c>
      <c r="E8" t="b">
        <f ca="1">NOT(ISERROR(MATCH(C8,'Keyur Usage'!$C$38:$C$500,0)))</f>
        <v>0</v>
      </c>
      <c r="J8" s="28" t="s">
        <v>886</v>
      </c>
      <c r="K8" s="31" t="s">
        <v>501</v>
      </c>
      <c r="L8" s="53"/>
    </row>
    <row r="9" spans="1:13" x14ac:dyDescent="0.15">
      <c r="A9" s="16">
        <f t="shared" si="1"/>
        <v>8</v>
      </c>
      <c r="B9" s="3">
        <f ca="1">IFERROR(__xludf.DUMMYFUNCTION("""COMPUTED_VALUE"""),496)</f>
        <v>496</v>
      </c>
      <c r="C9" s="3" t="str">
        <f ca="1">IFERROR(__xludf.DUMMYFUNCTION("""COMPUTED_VALUE"""),"Allen Robinson")</f>
        <v>Allen Robinson</v>
      </c>
      <c r="D9" s="3" t="str">
        <f ca="1">IFERROR(__xludf.DUMMYFUNCTION("""COMPUTED_VALUE"""),"WR")</f>
        <v>WR</v>
      </c>
      <c r="E9" t="b">
        <f ca="1">NOT(ISERROR(MATCH(C9,'Keyur Usage'!$C$38:$C$500,0)))</f>
        <v>1</v>
      </c>
      <c r="J9" s="28" t="s">
        <v>887</v>
      </c>
      <c r="K9" s="31" t="s">
        <v>551</v>
      </c>
      <c r="L9" s="53"/>
    </row>
    <row r="10" spans="1:13" x14ac:dyDescent="0.15">
      <c r="A10" s="16">
        <f t="shared" si="1"/>
        <v>9</v>
      </c>
      <c r="B10" s="3">
        <f ca="1">IFERROR(__xludf.DUMMYFUNCTION("""COMPUTED_VALUE"""),724)</f>
        <v>724</v>
      </c>
      <c r="C10" s="3" t="str">
        <f ca="1">IFERROR(__xludf.DUMMYFUNCTION("""COMPUTED_VALUE"""),"Devin Singletary")</f>
        <v>Devin Singletary</v>
      </c>
      <c r="D10" s="3" t="str">
        <f ca="1">IFERROR(__xludf.DUMMYFUNCTION("""COMPUTED_VALUE"""),"RB")</f>
        <v>RB</v>
      </c>
      <c r="E10" t="b">
        <f ca="1">NOT(ISERROR(MATCH(C10,'Keyur Usage'!$C$38:$C$500,0)))</f>
        <v>1</v>
      </c>
      <c r="J10" s="31" t="s">
        <v>888</v>
      </c>
      <c r="K10" s="31" t="s">
        <v>57</v>
      </c>
    </row>
    <row r="11" spans="1:13" x14ac:dyDescent="0.15">
      <c r="A11" s="16">
        <f t="shared" si="1"/>
        <v>10</v>
      </c>
      <c r="B11" s="3">
        <f ca="1">IFERROR(__xludf.DUMMYFUNCTION("""COMPUTED_VALUE"""),292)</f>
        <v>292</v>
      </c>
      <c r="C11" s="3" t="str">
        <f ca="1">IFERROR(__xludf.DUMMYFUNCTION("""COMPUTED_VALUE"""),"Melvin Gordon")</f>
        <v>Melvin Gordon</v>
      </c>
      <c r="D11" s="3" t="str">
        <f ca="1">IFERROR(__xludf.DUMMYFUNCTION("""COMPUTED_VALUE"""),"RB")</f>
        <v>RB</v>
      </c>
      <c r="E11" t="b">
        <f ca="1">NOT(ISERROR(MATCH(C11,'Keyur Usage'!$C$38:$C$500,0)))</f>
        <v>1</v>
      </c>
      <c r="F11" s="3"/>
      <c r="G11" s="3"/>
      <c r="H11" s="3"/>
      <c r="J11" s="31" t="s">
        <v>889</v>
      </c>
      <c r="K11" s="31" t="s">
        <v>331</v>
      </c>
    </row>
    <row r="12" spans="1:13" x14ac:dyDescent="0.15">
      <c r="A12" s="16">
        <f t="shared" si="1"/>
        <v>11</v>
      </c>
      <c r="B12" s="3">
        <f ca="1">IFERROR(__xludf.DUMMYFUNCTION("""COMPUTED_VALUE"""),548)</f>
        <v>548</v>
      </c>
      <c r="C12" s="3" t="str">
        <f ca="1">IFERROR(__xludf.DUMMYFUNCTION("""COMPUTED_VALUE"""),"Christian Kirk")</f>
        <v>Christian Kirk</v>
      </c>
      <c r="D12" s="3" t="str">
        <f ca="1">IFERROR(__xludf.DUMMYFUNCTION("""COMPUTED_VALUE"""),"WR")</f>
        <v>WR</v>
      </c>
      <c r="E12" t="b">
        <f ca="1">NOT(ISERROR(MATCH(C12,'Keyur Usage'!$C$38:$C$500,0)))</f>
        <v>1</v>
      </c>
      <c r="J12" s="31" t="s">
        <v>890</v>
      </c>
      <c r="K12" s="31" t="s">
        <v>811</v>
      </c>
    </row>
    <row r="13" spans="1:13" x14ac:dyDescent="0.15">
      <c r="A13" s="16">
        <f t="shared" si="1"/>
        <v>12</v>
      </c>
      <c r="B13" s="3">
        <f ca="1">IFERROR(__xludf.DUMMYFUNCTION("""COMPUTED_VALUE"""),111)</f>
        <v>111</v>
      </c>
      <c r="C13" s="3" t="str">
        <f ca="1">IFERROR(__xludf.DUMMYFUNCTION("""COMPUTED_VALUE"""),"Robert Woods")</f>
        <v>Robert Woods</v>
      </c>
      <c r="D13" s="3" t="str">
        <f ca="1">IFERROR(__xludf.DUMMYFUNCTION("""COMPUTED_VALUE"""),"WR")</f>
        <v>WR</v>
      </c>
      <c r="E13" t="b">
        <f ca="1">NOT(ISERROR(MATCH(C13,'Keyur Usage'!$C$38:$C$500,0)))</f>
        <v>1</v>
      </c>
      <c r="J13" s="31" t="s">
        <v>891</v>
      </c>
      <c r="K13" s="31" t="s">
        <v>797</v>
      </c>
    </row>
    <row r="14" spans="1:13" x14ac:dyDescent="0.15">
      <c r="A14" s="16">
        <f t="shared" si="1"/>
        <v>13</v>
      </c>
      <c r="B14" s="3">
        <f ca="1">IFERROR(__xludf.DUMMYFUNCTION("""COMPUTED_VALUE"""),29)</f>
        <v>29</v>
      </c>
      <c r="C14" s="3" t="str">
        <f ca="1">IFERROR(__xludf.DUMMYFUNCTION("""COMPUTED_VALUE"""),"Damien Williams")</f>
        <v>Damien Williams</v>
      </c>
      <c r="D14" s="3" t="str">
        <f ca="1">IFERROR(__xludf.DUMMYFUNCTION("""COMPUTED_VALUE"""),"RB")</f>
        <v>RB</v>
      </c>
      <c r="E14" t="b">
        <f ca="1">NOT(ISERROR(MATCH(C14,'Keyur Usage'!$C$38:$C$500,0)))</f>
        <v>1</v>
      </c>
      <c r="J14" s="31" t="s">
        <v>892</v>
      </c>
      <c r="K14" s="31" t="s">
        <v>814</v>
      </c>
    </row>
    <row r="15" spans="1:13" x14ac:dyDescent="0.15">
      <c r="A15" s="16">
        <f t="shared" si="1"/>
        <v>14</v>
      </c>
      <c r="B15" s="3">
        <f ca="1">IFERROR(__xludf.DUMMYFUNCTION("FILTER(All_Players!A2:C866, All_Players!C2:All_Players!C866= ""K"")"),821)</f>
        <v>821</v>
      </c>
      <c r="C15" s="3" t="str">
        <f ca="1">IFERROR(__xludf.DUMMYFUNCTION("""COMPUTED_VALUE"""),"Mike Badgley")</f>
        <v>Mike Badgley</v>
      </c>
      <c r="D15" s="3" t="str">
        <f ca="1">IFERROR(__xludf.DUMMYFUNCTION("""COMPUTED_VALUE"""),"K")</f>
        <v>K</v>
      </c>
      <c r="E15" t="b">
        <f ca="1">NOT(ISERROR(MATCH(C15,'Keyur Usage'!$C$38:$C$500,0)))</f>
        <v>1</v>
      </c>
      <c r="J15" s="33" t="s">
        <v>893</v>
      </c>
      <c r="K15" s="33" t="s">
        <v>819</v>
      </c>
    </row>
    <row r="16" spans="1:13" x14ac:dyDescent="0.15">
      <c r="A16" s="16">
        <f t="shared" si="1"/>
        <v>15</v>
      </c>
      <c r="B16" s="3">
        <f ca="1">IFERROR(__xludf.DUMMYFUNCTION("""COMPUTED_VALUE"""),825)</f>
        <v>825</v>
      </c>
      <c r="C16" s="3" t="str">
        <f ca="1">IFERROR(__xludf.DUMMYFUNCTION("""COMPUTED_VALUE"""),"Chris Boswell")</f>
        <v>Chris Boswell</v>
      </c>
      <c r="D16" s="3" t="str">
        <f ca="1">IFERROR(__xludf.DUMMYFUNCTION("""COMPUTED_VALUE"""),"K")</f>
        <v>K</v>
      </c>
      <c r="E16" t="b">
        <f ca="1">NOT(ISERROR(MATCH(C16,'Keyur Usage'!$C$38:$C$500,0)))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IFERROR(__xludf.DUMMYFUNCTION("""COMPUTED_VALUE"""),186)</f>
        <v>186</v>
      </c>
      <c r="C17" s="3" t="str">
        <f ca="1">IFERROR(__xludf.DUMMYFUNCTION("""COMPUTED_VALUE"""),"Jacoby Brissett")</f>
        <v>Jacoby Brissett</v>
      </c>
      <c r="D17" s="3" t="str">
        <f ca="1">IFERROR(__xludf.DUMMYFUNCTION("""COMPUTED_VALUE"""),"QB")</f>
        <v>QB</v>
      </c>
      <c r="E17" t="b">
        <f ca="1">NOT(ISERROR(MATCH(C17,'Keyur Usage'!$C$38:$C$500,0)))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IFERROR(__xludf.DUMMYFUNCTION("""COMPUTED_VALUE"""),309)</f>
        <v>309</v>
      </c>
      <c r="C18" s="3" t="str">
        <f ca="1">IFERROR(__xludf.DUMMYFUNCTION("""COMPUTED_VALUE"""),"Mitch Trubisky")</f>
        <v>Mitch Trubisky</v>
      </c>
      <c r="D18" s="3" t="str">
        <f ca="1">IFERROR(__xludf.DUMMYFUNCTION("""COMPUTED_VALUE"""),"QB")</f>
        <v>QB</v>
      </c>
      <c r="E18" t="b">
        <f ca="1">NOT(ISERROR(MATCH(C18,'Keyur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IFERROR(__xludf.DUMMYFUNCTION("""COMPUTED_VALUE"""),804)</f>
        <v>804</v>
      </c>
      <c r="C19" s="3" t="str">
        <f ca="1">IFERROR(__xludf.DUMMYFUNCTION("""COMPUTED_VALUE"""),"Kansas City Chiefs")</f>
        <v>Kansas City Chiefs</v>
      </c>
      <c r="D19" s="3" t="str">
        <f ca="1">IFERROR(__xludf.DUMMYFUNCTION("""COMPUTED_VALUE"""),"D/ST")</f>
        <v>D/ST</v>
      </c>
      <c r="E19" t="b">
        <f ca="1">NOT(ISERROR(MATCH(C19,'Keyur Usage'!$C$38:$C$500,0)))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IFERROR(__xludf.DUMMYFUNCTION("""COMPUTED_VALUE"""),813)</f>
        <v>813</v>
      </c>
      <c r="C20" s="3" t="str">
        <f ca="1">IFERROR(__xludf.DUMMYFUNCTION("""COMPUTED_VALUE"""),"Oakland Raiders")</f>
        <v>Oakland Raiders</v>
      </c>
      <c r="D20" s="3" t="str">
        <f ca="1">IFERROR(__xludf.DUMMYFUNCTION("""COMPUTED_VALUE"""),"D/ST")</f>
        <v>D/ST</v>
      </c>
      <c r="E20" t="b">
        <f ca="1">NOT(ISERROR(MATCH(C20,'Keyur Usage'!$C$38:$C$500,0)))</f>
        <v>1</v>
      </c>
      <c r="F20" s="21"/>
    </row>
    <row r="21" spans="1:12" x14ac:dyDescent="0.15">
      <c r="A21" s="16">
        <f t="shared" si="1"/>
        <v>20</v>
      </c>
      <c r="B21" s="3"/>
      <c r="C21" s="3"/>
      <c r="D21" s="3"/>
      <c r="E21" t="b">
        <f>NOT(ISERROR(MATCH(C21,'Keyur Usage'!$C$38:$C$500,0)))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910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1832" priority="749">
      <formula>E5=1</formula>
    </cfRule>
  </conditionalFormatting>
  <conditionalFormatting sqref="B24:C25 C23">
    <cfRule type="expression" dxfId="1831" priority="748">
      <formula>E23=1</formula>
    </cfRule>
  </conditionalFormatting>
  <conditionalFormatting sqref="C23:C25">
    <cfRule type="expression" dxfId="1830" priority="747">
      <formula>E23=1</formula>
    </cfRule>
  </conditionalFormatting>
  <conditionalFormatting sqref="H2">
    <cfRule type="expression" dxfId="1829" priority="746">
      <formula>$H$2&gt;=3</formula>
    </cfRule>
  </conditionalFormatting>
  <conditionalFormatting sqref="H3">
    <cfRule type="expression" dxfId="1828" priority="745">
      <formula>$H$3&gt;=4</formula>
    </cfRule>
  </conditionalFormatting>
  <conditionalFormatting sqref="H4">
    <cfRule type="expression" dxfId="1827" priority="744">
      <formula>$H$4&gt;=4</formula>
    </cfRule>
  </conditionalFormatting>
  <conditionalFormatting sqref="H5">
    <cfRule type="expression" dxfId="1826" priority="743">
      <formula>$H$5&gt;=3</formula>
    </cfRule>
  </conditionalFormatting>
  <conditionalFormatting sqref="H6">
    <cfRule type="expression" dxfId="1825" priority="742">
      <formula>$H$6&gt;=3</formula>
    </cfRule>
  </conditionalFormatting>
  <conditionalFormatting sqref="H7">
    <cfRule type="expression" dxfId="1824" priority="741">
      <formula>$H$7&gt;=3</formula>
    </cfRule>
  </conditionalFormatting>
  <conditionalFormatting sqref="D23">
    <cfRule type="expression" dxfId="1823" priority="740">
      <formula>H21=1</formula>
    </cfRule>
  </conditionalFormatting>
  <conditionalFormatting sqref="A2:A3">
    <cfRule type="expression" dxfId="1822" priority="750">
      <formula>E3=1</formula>
    </cfRule>
  </conditionalFormatting>
  <conditionalFormatting sqref="D23">
    <cfRule type="expression" dxfId="1821" priority="739">
      <formula>G21=1</formula>
    </cfRule>
  </conditionalFormatting>
  <conditionalFormatting sqref="A20 A22">
    <cfRule type="expression" dxfId="1820" priority="751">
      <formula>#REF!=1</formula>
    </cfRule>
  </conditionalFormatting>
  <conditionalFormatting sqref="A4">
    <cfRule type="expression" dxfId="1819" priority="752">
      <formula>#REF!=1</formula>
    </cfRule>
  </conditionalFormatting>
  <conditionalFormatting sqref="A16:A17">
    <cfRule type="expression" dxfId="1818" priority="753">
      <formula>F16=1</formula>
    </cfRule>
  </conditionalFormatting>
  <conditionalFormatting sqref="A21 A19">
    <cfRule type="expression" dxfId="1817" priority="754">
      <formula>F18=1</formula>
    </cfRule>
  </conditionalFormatting>
  <conditionalFormatting sqref="A18">
    <cfRule type="expression" dxfId="1816" priority="755">
      <formula>F21=1</formula>
    </cfRule>
  </conditionalFormatting>
  <conditionalFormatting sqref="A23:B23">
    <cfRule type="expression" dxfId="1815" priority="738">
      <formula>E23=1</formula>
    </cfRule>
  </conditionalFormatting>
  <conditionalFormatting sqref="B23">
    <cfRule type="expression" dxfId="1814" priority="737">
      <formula>E23=1</formula>
    </cfRule>
  </conditionalFormatting>
  <conditionalFormatting sqref="B30:D30">
    <cfRule type="expression" dxfId="1813" priority="736">
      <formula>F30=1</formula>
    </cfRule>
  </conditionalFormatting>
  <conditionalFormatting sqref="B30:D30">
    <cfRule type="expression" dxfId="1812" priority="735">
      <formula>E30=1</formula>
    </cfRule>
  </conditionalFormatting>
  <conditionalFormatting sqref="C30">
    <cfRule type="expression" dxfId="1811" priority="734">
      <formula>E30=1</formula>
    </cfRule>
  </conditionalFormatting>
  <conditionalFormatting sqref="D30">
    <cfRule type="expression" dxfId="1810" priority="733">
      <formula>E30=1</formula>
    </cfRule>
  </conditionalFormatting>
  <conditionalFormatting sqref="B31:D31">
    <cfRule type="expression" dxfId="1809" priority="732">
      <formula>F31=1</formula>
    </cfRule>
  </conditionalFormatting>
  <conditionalFormatting sqref="B31:D31">
    <cfRule type="expression" dxfId="1808" priority="731">
      <formula>E31=1</formula>
    </cfRule>
  </conditionalFormatting>
  <conditionalFormatting sqref="C31">
    <cfRule type="expression" dxfId="1807" priority="730">
      <formula>E31=1</formula>
    </cfRule>
  </conditionalFormatting>
  <conditionalFormatting sqref="D31">
    <cfRule type="expression" dxfId="1806" priority="729">
      <formula>E31=1</formula>
    </cfRule>
  </conditionalFormatting>
  <conditionalFormatting sqref="B32:D32">
    <cfRule type="expression" dxfId="1805" priority="728">
      <formula>F32=1</formula>
    </cfRule>
  </conditionalFormatting>
  <conditionalFormatting sqref="B32:D32">
    <cfRule type="expression" dxfId="1804" priority="727">
      <formula>E32=1</formula>
    </cfRule>
  </conditionalFormatting>
  <conditionalFormatting sqref="C32">
    <cfRule type="expression" dxfId="1803" priority="726">
      <formula>E32=1</formula>
    </cfRule>
  </conditionalFormatting>
  <conditionalFormatting sqref="D32">
    <cfRule type="expression" dxfId="1802" priority="725">
      <formula>E32=1</formula>
    </cfRule>
  </conditionalFormatting>
  <conditionalFormatting sqref="B33:D33">
    <cfRule type="expression" dxfId="1801" priority="724">
      <formula>F33=1</formula>
    </cfRule>
  </conditionalFormatting>
  <conditionalFormatting sqref="B33:D33">
    <cfRule type="expression" dxfId="1800" priority="723">
      <formula>E33=1</formula>
    </cfRule>
  </conditionalFormatting>
  <conditionalFormatting sqref="C33">
    <cfRule type="expression" dxfId="1799" priority="722">
      <formula>E33=1</formula>
    </cfRule>
  </conditionalFormatting>
  <conditionalFormatting sqref="D33">
    <cfRule type="expression" dxfId="1798" priority="721">
      <formula>E33=1</formula>
    </cfRule>
  </conditionalFormatting>
  <conditionalFormatting sqref="F11:H11">
    <cfRule type="expression" dxfId="1797" priority="720">
      <formula>J11=1</formula>
    </cfRule>
  </conditionalFormatting>
  <conditionalFormatting sqref="F11:H11">
    <cfRule type="expression" dxfId="1796" priority="719">
      <formula>I11=1</formula>
    </cfRule>
  </conditionalFormatting>
  <conditionalFormatting sqref="G11">
    <cfRule type="expression" dxfId="1795" priority="718">
      <formula>I11=1</formula>
    </cfRule>
  </conditionalFormatting>
  <conditionalFormatting sqref="H11">
    <cfRule type="expression" dxfId="1794" priority="717">
      <formula>I11=1</formula>
    </cfRule>
  </conditionalFormatting>
  <conditionalFormatting sqref="H11">
    <cfRule type="expression" dxfId="1793" priority="713">
      <formula>I11=1</formula>
    </cfRule>
  </conditionalFormatting>
  <conditionalFormatting sqref="F11:H11">
    <cfRule type="expression" dxfId="1792" priority="716">
      <formula>J11=1</formula>
    </cfRule>
  </conditionalFormatting>
  <conditionalFormatting sqref="F11:H11">
    <cfRule type="expression" dxfId="1791" priority="715">
      <formula>I11=1</formula>
    </cfRule>
  </conditionalFormatting>
  <conditionalFormatting sqref="G11">
    <cfRule type="expression" dxfId="1790" priority="714">
      <formula>I11=1</formula>
    </cfRule>
  </conditionalFormatting>
  <conditionalFormatting sqref="B28:D28">
    <cfRule type="expression" dxfId="1789" priority="712">
      <formula>F28=1</formula>
    </cfRule>
  </conditionalFormatting>
  <conditionalFormatting sqref="B28:D28">
    <cfRule type="expression" dxfId="1788" priority="711">
      <formula>E28=1</formula>
    </cfRule>
  </conditionalFormatting>
  <conditionalFormatting sqref="C28">
    <cfRule type="expression" dxfId="1787" priority="710">
      <formula>E28=1</formula>
    </cfRule>
  </conditionalFormatting>
  <conditionalFormatting sqref="D28">
    <cfRule type="expression" dxfId="1786" priority="709">
      <formula>E28=1</formula>
    </cfRule>
  </conditionalFormatting>
  <conditionalFormatting sqref="B29:D29">
    <cfRule type="expression" dxfId="1785" priority="708">
      <formula>F29=1</formula>
    </cfRule>
  </conditionalFormatting>
  <conditionalFormatting sqref="B29:D29">
    <cfRule type="expression" dxfId="1784" priority="707">
      <formula>E29=1</formula>
    </cfRule>
  </conditionalFormatting>
  <conditionalFormatting sqref="C29">
    <cfRule type="expression" dxfId="1783" priority="706">
      <formula>E29=1</formula>
    </cfRule>
  </conditionalFormatting>
  <conditionalFormatting sqref="D29">
    <cfRule type="expression" dxfId="1782" priority="705">
      <formula>E29=1</formula>
    </cfRule>
  </conditionalFormatting>
  <conditionalFormatting sqref="C26:D26">
    <cfRule type="expression" dxfId="1781" priority="700">
      <formula>G26=1</formula>
    </cfRule>
  </conditionalFormatting>
  <conditionalFormatting sqref="D26">
    <cfRule type="expression" dxfId="1780" priority="699">
      <formula>G26=1</formula>
    </cfRule>
  </conditionalFormatting>
  <conditionalFormatting sqref="B26">
    <cfRule type="expression" dxfId="1779" priority="701">
      <formula>F9=1</formula>
    </cfRule>
  </conditionalFormatting>
  <conditionalFormatting sqref="B26:C26">
    <cfRule type="expression" dxfId="1778" priority="702">
      <formula>E9=1</formula>
    </cfRule>
  </conditionalFormatting>
  <conditionalFormatting sqref="C26">
    <cfRule type="expression" dxfId="1777" priority="703">
      <formula>E9=1</formula>
    </cfRule>
  </conditionalFormatting>
  <conditionalFormatting sqref="D26">
    <cfRule type="expression" dxfId="1776" priority="704">
      <formula>E9=1</formula>
    </cfRule>
  </conditionalFormatting>
  <conditionalFormatting sqref="B27:C27">
    <cfRule type="expression" dxfId="1775" priority="697">
      <formula>F27=1</formula>
    </cfRule>
  </conditionalFormatting>
  <conditionalFormatting sqref="B27:D27">
    <cfRule type="expression" dxfId="1774" priority="696">
      <formula>E27=1</formula>
    </cfRule>
  </conditionalFormatting>
  <conditionalFormatting sqref="C27">
    <cfRule type="expression" dxfId="1773" priority="695">
      <formula>E27=1</formula>
    </cfRule>
  </conditionalFormatting>
  <conditionalFormatting sqref="D27">
    <cfRule type="expression" dxfId="1772" priority="694">
      <formula>E27=1</formula>
    </cfRule>
  </conditionalFormatting>
  <conditionalFormatting sqref="D27">
    <cfRule type="expression" dxfId="1771" priority="698">
      <formula>H26=1</formula>
    </cfRule>
  </conditionalFormatting>
  <conditionalFormatting sqref="B22:D22">
    <cfRule type="expression" dxfId="1770" priority="689">
      <formula>F22=1</formula>
    </cfRule>
  </conditionalFormatting>
  <conditionalFormatting sqref="B22:D22">
    <cfRule type="expression" dxfId="1769" priority="688">
      <formula>E22=1</formula>
    </cfRule>
  </conditionalFormatting>
  <conditionalFormatting sqref="C22">
    <cfRule type="expression" dxfId="1768" priority="687">
      <formula>E22=1</formula>
    </cfRule>
  </conditionalFormatting>
  <conditionalFormatting sqref="D22">
    <cfRule type="expression" dxfId="1767" priority="686">
      <formula>E22=1</formula>
    </cfRule>
  </conditionalFormatting>
  <conditionalFormatting sqref="B21:D21">
    <cfRule type="expression" dxfId="1766" priority="561">
      <formula>F21=1</formula>
    </cfRule>
  </conditionalFormatting>
  <conditionalFormatting sqref="B21:D21">
    <cfRule type="expression" dxfId="1765" priority="560">
      <formula>E21=1</formula>
    </cfRule>
  </conditionalFormatting>
  <conditionalFormatting sqref="C21">
    <cfRule type="expression" dxfId="1764" priority="559">
      <formula>E21=1</formula>
    </cfRule>
  </conditionalFormatting>
  <conditionalFormatting sqref="D21">
    <cfRule type="expression" dxfId="1763" priority="558">
      <formula>E21=1</formula>
    </cfRule>
  </conditionalFormatting>
  <conditionalFormatting sqref="B20:D20">
    <cfRule type="expression" dxfId="1762" priority="102">
      <formula>F20=1</formula>
    </cfRule>
  </conditionalFormatting>
  <conditionalFormatting sqref="B20:D20">
    <cfRule type="expression" dxfId="1761" priority="101">
      <formula>E20=1</formula>
    </cfRule>
  </conditionalFormatting>
  <conditionalFormatting sqref="C20">
    <cfRule type="expression" dxfId="1760" priority="100">
      <formula>E20=1</formula>
    </cfRule>
  </conditionalFormatting>
  <conditionalFormatting sqref="D20">
    <cfRule type="expression" dxfId="1759" priority="99">
      <formula>E20=1</formula>
    </cfRule>
  </conditionalFormatting>
  <conditionalFormatting sqref="C17:D17">
    <cfRule type="expression" dxfId="1758" priority="125">
      <formula>G17=1</formula>
    </cfRule>
  </conditionalFormatting>
  <conditionalFormatting sqref="B17 D17">
    <cfRule type="expression" dxfId="1757" priority="124">
      <formula>E17=1</formula>
    </cfRule>
  </conditionalFormatting>
  <conditionalFormatting sqref="C17">
    <cfRule type="expression" dxfId="1756" priority="123">
      <formula>E17=1</formula>
    </cfRule>
  </conditionalFormatting>
  <conditionalFormatting sqref="D17">
    <cfRule type="expression" dxfId="1755" priority="122">
      <formula>E17=1</formula>
    </cfRule>
  </conditionalFormatting>
  <conditionalFormatting sqref="B17">
    <cfRule type="expression" dxfId="1754" priority="126">
      <formula>F19=1</formula>
    </cfRule>
  </conditionalFormatting>
  <conditionalFormatting sqref="C17">
    <cfRule type="expression" dxfId="1753" priority="127">
      <formula>F19=1</formula>
    </cfRule>
  </conditionalFormatting>
  <conditionalFormatting sqref="C18:D18">
    <cfRule type="expression" dxfId="1752" priority="119">
      <formula>G18=1</formula>
    </cfRule>
  </conditionalFormatting>
  <conditionalFormatting sqref="B18 D18">
    <cfRule type="expression" dxfId="1751" priority="118">
      <formula>E18=1</formula>
    </cfRule>
  </conditionalFormatting>
  <conditionalFormatting sqref="C18">
    <cfRule type="expression" dxfId="1750" priority="117">
      <formula>E18=1</formula>
    </cfRule>
  </conditionalFormatting>
  <conditionalFormatting sqref="D18">
    <cfRule type="expression" dxfId="1749" priority="116">
      <formula>E18=1</formula>
    </cfRule>
  </conditionalFormatting>
  <conditionalFormatting sqref="B18">
    <cfRule type="expression" dxfId="1748" priority="120">
      <formula>F19=1</formula>
    </cfRule>
  </conditionalFormatting>
  <conditionalFormatting sqref="C18">
    <cfRule type="expression" dxfId="1747" priority="121">
      <formula>F19=1</formula>
    </cfRule>
  </conditionalFormatting>
  <conditionalFormatting sqref="B19:C19">
    <cfRule type="expression" dxfId="1746" priority="114">
      <formula>F19=1</formula>
    </cfRule>
  </conditionalFormatting>
  <conditionalFormatting sqref="B19:D19">
    <cfRule type="expression" dxfId="1745" priority="113">
      <formula>E19=1</formula>
    </cfRule>
  </conditionalFormatting>
  <conditionalFormatting sqref="C19">
    <cfRule type="expression" dxfId="1744" priority="112">
      <formula>E19=1</formula>
    </cfRule>
  </conditionalFormatting>
  <conditionalFormatting sqref="D19">
    <cfRule type="expression" dxfId="1743" priority="111">
      <formula>E19=1</formula>
    </cfRule>
  </conditionalFormatting>
  <conditionalFormatting sqref="D19">
    <cfRule type="expression" dxfId="1742" priority="115">
      <formula>H18=1</formula>
    </cfRule>
  </conditionalFormatting>
  <conditionalFormatting sqref="B3:D3">
    <cfRule type="expression" dxfId="1741" priority="98">
      <formula>F3=1</formula>
    </cfRule>
  </conditionalFormatting>
  <conditionalFormatting sqref="B3:D3">
    <cfRule type="expression" dxfId="1740" priority="97">
      <formula>E3=1</formula>
    </cfRule>
  </conditionalFormatting>
  <conditionalFormatting sqref="C3">
    <cfRule type="expression" dxfId="1739" priority="96">
      <formula>E3=1</formula>
    </cfRule>
  </conditionalFormatting>
  <conditionalFormatting sqref="D3">
    <cfRule type="expression" dxfId="1738" priority="95">
      <formula>E3=1</formula>
    </cfRule>
  </conditionalFormatting>
  <conditionalFormatting sqref="D4">
    <cfRule type="expression" dxfId="1737" priority="90">
      <formula>H4=1</formula>
    </cfRule>
  </conditionalFormatting>
  <conditionalFormatting sqref="B4">
    <cfRule type="expression" dxfId="1736" priority="89">
      <formula>E4=1</formula>
    </cfRule>
  </conditionalFormatting>
  <conditionalFormatting sqref="C4">
    <cfRule type="expression" dxfId="1735" priority="88">
      <formula>E4=1</formula>
    </cfRule>
  </conditionalFormatting>
  <conditionalFormatting sqref="D4">
    <cfRule type="expression" dxfId="1734" priority="87">
      <formula>E4=1</formula>
    </cfRule>
  </conditionalFormatting>
  <conditionalFormatting sqref="C4">
    <cfRule type="expression" dxfId="1733" priority="91">
      <formula>G5=1</formula>
    </cfRule>
  </conditionalFormatting>
  <conditionalFormatting sqref="D4">
    <cfRule type="expression" dxfId="1732" priority="92">
      <formula>#REF!=1</formula>
    </cfRule>
  </conditionalFormatting>
  <conditionalFormatting sqref="C4">
    <cfRule type="expression" dxfId="1731" priority="93">
      <formula>H4=1</formula>
    </cfRule>
  </conditionalFormatting>
  <conditionalFormatting sqref="B4">
    <cfRule type="expression" dxfId="1730" priority="94">
      <formula>G5=1</formula>
    </cfRule>
  </conditionalFormatting>
  <conditionalFormatting sqref="B17:D17">
    <cfRule type="expression" dxfId="1729" priority="86">
      <formula>F17=1</formula>
    </cfRule>
  </conditionalFormatting>
  <conditionalFormatting sqref="B17:D17">
    <cfRule type="expression" dxfId="1728" priority="85">
      <formula>E17=1</formula>
    </cfRule>
  </conditionalFormatting>
  <conditionalFormatting sqref="C17">
    <cfRule type="expression" dxfId="1727" priority="84">
      <formula>E17=1</formula>
    </cfRule>
  </conditionalFormatting>
  <conditionalFormatting sqref="D17">
    <cfRule type="expression" dxfId="1726" priority="83">
      <formula>E17=1</formula>
    </cfRule>
  </conditionalFormatting>
  <conditionalFormatting sqref="C18:D18">
    <cfRule type="expression" dxfId="1725" priority="80">
      <formula>G18=1</formula>
    </cfRule>
  </conditionalFormatting>
  <conditionalFormatting sqref="B18 D18">
    <cfRule type="expression" dxfId="1724" priority="79">
      <formula>E18=1</formula>
    </cfRule>
  </conditionalFormatting>
  <conditionalFormatting sqref="C18">
    <cfRule type="expression" dxfId="1723" priority="78">
      <formula>E18=1</formula>
    </cfRule>
  </conditionalFormatting>
  <conditionalFormatting sqref="D18">
    <cfRule type="expression" dxfId="1722" priority="77">
      <formula>E18=1</formula>
    </cfRule>
  </conditionalFormatting>
  <conditionalFormatting sqref="B18">
    <cfRule type="expression" dxfId="1721" priority="81">
      <formula>F20=1</formula>
    </cfRule>
  </conditionalFormatting>
  <conditionalFormatting sqref="C18">
    <cfRule type="expression" dxfId="1720" priority="82">
      <formula>F20=1</formula>
    </cfRule>
  </conditionalFormatting>
  <conditionalFormatting sqref="D5">
    <cfRule type="expression" dxfId="1719" priority="61">
      <formula>E5=1</formula>
    </cfRule>
  </conditionalFormatting>
  <conditionalFormatting sqref="B5:D5">
    <cfRule type="expression" dxfId="1718" priority="64">
      <formula>F5=1</formula>
    </cfRule>
  </conditionalFormatting>
  <conditionalFormatting sqref="B5:D5">
    <cfRule type="expression" dxfId="1717" priority="63">
      <formula>E5=1</formula>
    </cfRule>
  </conditionalFormatting>
  <conditionalFormatting sqref="C5">
    <cfRule type="expression" dxfId="1716" priority="62">
      <formula>E5=1</formula>
    </cfRule>
  </conditionalFormatting>
  <conditionalFormatting sqref="D9">
    <cfRule type="expression" dxfId="1715" priority="53">
      <formula>E9=1</formula>
    </cfRule>
  </conditionalFormatting>
  <conditionalFormatting sqref="B9:D9">
    <cfRule type="expression" dxfId="1714" priority="56">
      <formula>F9=1</formula>
    </cfRule>
  </conditionalFormatting>
  <conditionalFormatting sqref="B9:D9">
    <cfRule type="expression" dxfId="1713" priority="55">
      <formula>E9=1</formula>
    </cfRule>
  </conditionalFormatting>
  <conditionalFormatting sqref="C9">
    <cfRule type="expression" dxfId="1712" priority="54">
      <formula>E9=1</formula>
    </cfRule>
  </conditionalFormatting>
  <conditionalFormatting sqref="D12">
    <cfRule type="expression" dxfId="1711" priority="45">
      <formula>E12=1</formula>
    </cfRule>
  </conditionalFormatting>
  <conditionalFormatting sqref="B12:D12">
    <cfRule type="expression" dxfId="1710" priority="48">
      <formula>F12=1</formula>
    </cfRule>
  </conditionalFormatting>
  <conditionalFormatting sqref="B12:D12">
    <cfRule type="expression" dxfId="1709" priority="47">
      <formula>E12=1</formula>
    </cfRule>
  </conditionalFormatting>
  <conditionalFormatting sqref="C12">
    <cfRule type="expression" dxfId="1708" priority="46">
      <formula>E12=1</formula>
    </cfRule>
  </conditionalFormatting>
  <conditionalFormatting sqref="B6:D6">
    <cfRule type="expression" dxfId="1707" priority="44">
      <formula>F6=1</formula>
    </cfRule>
  </conditionalFormatting>
  <conditionalFormatting sqref="B6:D6">
    <cfRule type="expression" dxfId="1706" priority="43">
      <formula>E6=1</formula>
    </cfRule>
  </conditionalFormatting>
  <conditionalFormatting sqref="C6">
    <cfRule type="expression" dxfId="1705" priority="42">
      <formula>E6=1</formula>
    </cfRule>
  </conditionalFormatting>
  <conditionalFormatting sqref="D6">
    <cfRule type="expression" dxfId="1704" priority="41">
      <formula>E6=1</formula>
    </cfRule>
  </conditionalFormatting>
  <conditionalFormatting sqref="B7:D7">
    <cfRule type="expression" dxfId="1703" priority="40">
      <formula>F7=1</formula>
    </cfRule>
  </conditionalFormatting>
  <conditionalFormatting sqref="B7:D7">
    <cfRule type="expression" dxfId="1702" priority="39">
      <formula>E7=1</formula>
    </cfRule>
  </conditionalFormatting>
  <conditionalFormatting sqref="C7">
    <cfRule type="expression" dxfId="1701" priority="38">
      <formula>E7=1</formula>
    </cfRule>
  </conditionalFormatting>
  <conditionalFormatting sqref="D7">
    <cfRule type="expression" dxfId="1700" priority="37">
      <formula>E7=1</formula>
    </cfRule>
  </conditionalFormatting>
  <conditionalFormatting sqref="B8:D8">
    <cfRule type="expression" dxfId="1699" priority="36">
      <formula>F8=1</formula>
    </cfRule>
  </conditionalFormatting>
  <conditionalFormatting sqref="B8:D8">
    <cfRule type="expression" dxfId="1698" priority="35">
      <formula>E8=1</formula>
    </cfRule>
  </conditionalFormatting>
  <conditionalFormatting sqref="C8">
    <cfRule type="expression" dxfId="1697" priority="34">
      <formula>E8=1</formula>
    </cfRule>
  </conditionalFormatting>
  <conditionalFormatting sqref="D8">
    <cfRule type="expression" dxfId="1696" priority="33">
      <formula>E8=1</formula>
    </cfRule>
  </conditionalFormatting>
  <conditionalFormatting sqref="B2:D2">
    <cfRule type="expression" dxfId="1695" priority="32">
      <formula>F2=1</formula>
    </cfRule>
  </conditionalFormatting>
  <conditionalFormatting sqref="B2:D2">
    <cfRule type="expression" dxfId="1694" priority="31">
      <formula>E2=1</formula>
    </cfRule>
  </conditionalFormatting>
  <conditionalFormatting sqref="C2">
    <cfRule type="expression" dxfId="1693" priority="30">
      <formula>E2=1</formula>
    </cfRule>
  </conditionalFormatting>
  <conditionalFormatting sqref="D2">
    <cfRule type="expression" dxfId="1692" priority="29">
      <formula>E2=1</formula>
    </cfRule>
  </conditionalFormatting>
  <conditionalFormatting sqref="B10:D10">
    <cfRule type="expression" dxfId="1691" priority="28">
      <formula>F10=1</formula>
    </cfRule>
  </conditionalFormatting>
  <conditionalFormatting sqref="B10:D10">
    <cfRule type="expression" dxfId="1690" priority="27">
      <formula>E10=1</formula>
    </cfRule>
  </conditionalFormatting>
  <conditionalFormatting sqref="C10">
    <cfRule type="expression" dxfId="1689" priority="26">
      <formula>E10=1</formula>
    </cfRule>
  </conditionalFormatting>
  <conditionalFormatting sqref="D10">
    <cfRule type="expression" dxfId="1688" priority="25">
      <formula>E10=1</formula>
    </cfRule>
  </conditionalFormatting>
  <conditionalFormatting sqref="B11:D11">
    <cfRule type="expression" dxfId="1687" priority="24">
      <formula>F11=1</formula>
    </cfRule>
  </conditionalFormatting>
  <conditionalFormatting sqref="B11:D11">
    <cfRule type="expression" dxfId="1686" priority="23">
      <formula>E11=1</formula>
    </cfRule>
  </conditionalFormatting>
  <conditionalFormatting sqref="C11">
    <cfRule type="expression" dxfId="1685" priority="22">
      <formula>E11=1</formula>
    </cfRule>
  </conditionalFormatting>
  <conditionalFormatting sqref="D11">
    <cfRule type="expression" dxfId="1684" priority="21">
      <formula>E11=1</formula>
    </cfRule>
  </conditionalFormatting>
  <conditionalFormatting sqref="B14:D14">
    <cfRule type="expression" dxfId="1683" priority="20">
      <formula>F14=1</formula>
    </cfRule>
  </conditionalFormatting>
  <conditionalFormatting sqref="B14:D14">
    <cfRule type="expression" dxfId="1682" priority="19">
      <formula>E14=1</formula>
    </cfRule>
  </conditionalFormatting>
  <conditionalFormatting sqref="C14">
    <cfRule type="expression" dxfId="1681" priority="18">
      <formula>E14=1</formula>
    </cfRule>
  </conditionalFormatting>
  <conditionalFormatting sqref="D14">
    <cfRule type="expression" dxfId="1680" priority="17">
      <formula>E14=1</formula>
    </cfRule>
  </conditionalFormatting>
  <conditionalFormatting sqref="B16:D16">
    <cfRule type="expression" dxfId="1679" priority="12">
      <formula>F16=1</formula>
    </cfRule>
  </conditionalFormatting>
  <conditionalFormatting sqref="B16:D16">
    <cfRule type="expression" dxfId="1678" priority="11">
      <formula>E16=1</formula>
    </cfRule>
  </conditionalFormatting>
  <conditionalFormatting sqref="C16">
    <cfRule type="expression" dxfId="1677" priority="10">
      <formula>E16=1</formula>
    </cfRule>
  </conditionalFormatting>
  <conditionalFormatting sqref="D16">
    <cfRule type="expression" dxfId="1676" priority="9">
      <formula>E16=1</formula>
    </cfRule>
  </conditionalFormatting>
  <conditionalFormatting sqref="B15:D15">
    <cfRule type="expression" dxfId="1675" priority="8">
      <formula>F15=1</formula>
    </cfRule>
  </conditionalFormatting>
  <conditionalFormatting sqref="B15:D15">
    <cfRule type="expression" dxfId="1674" priority="7">
      <formula>E15=1</formula>
    </cfRule>
  </conditionalFormatting>
  <conditionalFormatting sqref="C15">
    <cfRule type="expression" dxfId="1673" priority="6">
      <formula>E15=1</formula>
    </cfRule>
  </conditionalFormatting>
  <conditionalFormatting sqref="D15">
    <cfRule type="expression" dxfId="1672" priority="5">
      <formula>E15=1</formula>
    </cfRule>
  </conditionalFormatting>
  <conditionalFormatting sqref="D13">
    <cfRule type="expression" dxfId="1671" priority="1">
      <formula>E13=1</formula>
    </cfRule>
  </conditionalFormatting>
  <conditionalFormatting sqref="B13:D13">
    <cfRule type="expression" dxfId="1670" priority="4">
      <formula>F13=1</formula>
    </cfRule>
  </conditionalFormatting>
  <conditionalFormatting sqref="B13:D13">
    <cfRule type="expression" dxfId="1669" priority="3">
      <formula>E13=1</formula>
    </cfRule>
  </conditionalFormatting>
  <conditionalFormatting sqref="C13">
    <cfRule type="expression" dxfId="1668" priority="2">
      <formula>E13=1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F74-32AA-4E61-ABF7-FF6A4D198513}">
  <dimension ref="A1:M33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IFERROR(__xludf.DUMMYFUNCTION("""COMPUTED_VALUE"""),354)</f>
        <v>354</v>
      </c>
      <c r="C2" s="3" t="str">
        <f ca="1">IFERROR(__xludf.DUMMYFUNCTION("""COMPUTED_VALUE"""),"Russell Wilson")</f>
        <v>Russell Wilson</v>
      </c>
      <c r="D2" s="3" t="str">
        <f ca="1">IFERROR(__xludf.DUMMYFUNCTION("""COMPUTED_VALUE"""),"QB")</f>
        <v>QB</v>
      </c>
      <c r="E2" t="b">
        <f ca="1">NOT(ISERROR(MATCH(C2,'Geoff Usage (2)'!$C$38:$C$500,0)))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360</v>
      </c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IFERROR(__xludf.DUMMYFUNCTION("""COMPUTED_VALUE"""),144)</f>
        <v>144</v>
      </c>
      <c r="C3" s="3" t="str">
        <f ca="1">IFERROR(__xludf.DUMMYFUNCTION("""COMPUTED_VALUE"""),"Derek Carr")</f>
        <v>Derek Carr</v>
      </c>
      <c r="D3" s="3" t="str">
        <f ca="1">IFERROR(__xludf.DUMMYFUNCTION("""COMPUTED_VALUE"""),"QB")</f>
        <v>QB</v>
      </c>
      <c r="E3" t="b">
        <f ca="1">NOT(ISERROR(MATCH(C3,'Geoff Usage (2)'!$C$38:$C$500,0)))</f>
        <v>1</v>
      </c>
      <c r="G3" t="s">
        <v>8</v>
      </c>
      <c r="H3" s="26">
        <f t="shared" ca="1" si="0"/>
        <v>3</v>
      </c>
      <c r="J3" s="21" t="s">
        <v>881</v>
      </c>
      <c r="K3" s="30" t="s">
        <v>150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IFERROR(__xludf.DUMMYFUNCTION("""COMPUTED_VALUE"""),119)</f>
        <v>119</v>
      </c>
      <c r="C4" s="3" t="str">
        <f ca="1">IFERROR(__xludf.DUMMYFUNCTION("""COMPUTED_VALUE"""),"Cameron Brate")</f>
        <v>Cameron Brate</v>
      </c>
      <c r="D4" s="3" t="str">
        <f ca="1">IFERROR(__xludf.DUMMYFUNCTION("""COMPUTED_VALUE"""),"TE")</f>
        <v>TE</v>
      </c>
      <c r="E4" t="b">
        <f ca="1">NOT(ISERROR(MATCH(C4,'Geoff Usage (2)'!$C$38:$C$500,0)))</f>
        <v>0</v>
      </c>
      <c r="G4" t="s">
        <v>6</v>
      </c>
      <c r="H4" s="26">
        <f t="shared" ca="1" si="0"/>
        <v>3</v>
      </c>
      <c r="J4" s="21" t="s">
        <v>882</v>
      </c>
      <c r="K4" s="30" t="s">
        <v>405</v>
      </c>
      <c r="L4" s="53"/>
    </row>
    <row r="5" spans="1:13" x14ac:dyDescent="0.15">
      <c r="A5" s="16">
        <f t="shared" si="1"/>
        <v>4</v>
      </c>
      <c r="B5" s="3">
        <f ca="1">IFERROR(__xludf.DUMMYFUNCTION("""COMPUTED_VALUE"""),343)</f>
        <v>343</v>
      </c>
      <c r="C5" s="3" t="str">
        <f ca="1">IFERROR(__xludf.DUMMYFUNCTION("""COMPUTED_VALUE"""),"Robby Anderson")</f>
        <v>Robby Anderson</v>
      </c>
      <c r="D5" s="3" t="str">
        <f ca="1">IFERROR(__xludf.DUMMYFUNCTION("""COMPUTED_VALUE"""),"WR")</f>
        <v>WR</v>
      </c>
      <c r="E5" t="b">
        <f ca="1">NOT(ISERROR(MATCH(C5,'Geoff Usage (2)'!$C$38:$C$500,0)))</f>
        <v>0</v>
      </c>
      <c r="G5" t="s">
        <v>4</v>
      </c>
      <c r="H5" s="26">
        <f t="shared" ca="1" si="0"/>
        <v>3</v>
      </c>
      <c r="J5" s="21" t="s">
        <v>883</v>
      </c>
      <c r="K5" s="30" t="s">
        <v>193</v>
      </c>
    </row>
    <row r="6" spans="1:13" x14ac:dyDescent="0.15">
      <c r="A6" s="16">
        <f t="shared" si="1"/>
        <v>5</v>
      </c>
      <c r="B6" s="3">
        <f ca="1">IFERROR(__xludf.DUMMYFUNCTION("""COMPUTED_VALUE"""),496)</f>
        <v>496</v>
      </c>
      <c r="C6" s="3" t="str">
        <f ca="1">IFERROR(__xludf.DUMMYFUNCTION("""COMPUTED_VALUE"""),"Allen Robinson")</f>
        <v>Allen Robinson</v>
      </c>
      <c r="D6" s="3" t="str">
        <f ca="1">IFERROR(__xludf.DUMMYFUNCTION("""COMPUTED_VALUE"""),"WR")</f>
        <v>WR</v>
      </c>
      <c r="E6" t="b">
        <f ca="1">NOT(ISERROR(MATCH(C6,'Geoff Usage (2)'!$C$38:$C$500,0)))</f>
        <v>1</v>
      </c>
      <c r="G6" s="21" t="s">
        <v>782</v>
      </c>
      <c r="H6" s="26">
        <f t="shared" ca="1" si="0"/>
        <v>2</v>
      </c>
      <c r="J6" s="21" t="s">
        <v>884</v>
      </c>
      <c r="K6" s="30" t="s">
        <v>195</v>
      </c>
    </row>
    <row r="7" spans="1:13" x14ac:dyDescent="0.15">
      <c r="A7" s="16">
        <f t="shared" si="1"/>
        <v>6</v>
      </c>
      <c r="B7" s="3">
        <f ca="1">IFERROR(__xludf.DUMMYFUNCTION("""COMPUTED_VALUE"""),335)</f>
        <v>335</v>
      </c>
      <c r="C7" s="3" t="str">
        <f ca="1">IFERROR(__xludf.DUMMYFUNCTION("""COMPUTED_VALUE"""),"Tyler Lockett")</f>
        <v>Tyler Lockett</v>
      </c>
      <c r="D7" s="3" t="str">
        <f ca="1">IFERROR(__xludf.DUMMYFUNCTION("""COMPUTED_VALUE"""),"WR")</f>
        <v>WR</v>
      </c>
      <c r="E7" t="b">
        <f ca="1">NOT(ISERROR(MATCH(C7,'Geoff Usage (2)'!$C$38:$C$500,0)))</f>
        <v>1</v>
      </c>
      <c r="G7" s="23" t="s">
        <v>815</v>
      </c>
      <c r="H7" s="27">
        <f t="shared" ca="1" si="0"/>
        <v>3</v>
      </c>
      <c r="J7" s="28" t="s">
        <v>885</v>
      </c>
      <c r="K7" s="30" t="s">
        <v>349</v>
      </c>
    </row>
    <row r="8" spans="1:13" x14ac:dyDescent="0.15">
      <c r="A8" s="16">
        <f t="shared" si="1"/>
        <v>7</v>
      </c>
      <c r="B8" s="3">
        <f ca="1">IFERROR(__xludf.DUMMYFUNCTION("""COMPUTED_VALUE"""),187)</f>
        <v>187</v>
      </c>
      <c r="C8" s="3" t="str">
        <f ca="1">IFERROR(__xludf.DUMMYFUNCTION("""COMPUTED_VALUE"""),"Jamaal Williams")</f>
        <v>Jamaal Williams</v>
      </c>
      <c r="D8" s="3" t="str">
        <f ca="1">IFERROR(__xludf.DUMMYFUNCTION("""COMPUTED_VALUE"""),"RB")</f>
        <v>RB</v>
      </c>
      <c r="E8" t="b">
        <f ca="1">NOT(ISERROR(MATCH(C8,'Geoff Usage (2)'!$C$38:$C$500,0)))</f>
        <v>0</v>
      </c>
      <c r="J8" s="28" t="s">
        <v>886</v>
      </c>
      <c r="K8" s="31" t="s">
        <v>501</v>
      </c>
      <c r="L8" s="53"/>
    </row>
    <row r="9" spans="1:13" x14ac:dyDescent="0.15">
      <c r="A9" s="16">
        <f t="shared" si="1"/>
        <v>8</v>
      </c>
      <c r="B9" s="3">
        <f ca="1">IFERROR(__xludf.DUMMYFUNCTION("""COMPUTED_VALUE"""),189)</f>
        <v>189</v>
      </c>
      <c r="C9" s="3" t="str">
        <f ca="1">IFERROR(__xludf.DUMMYFUNCTION("""COMPUTED_VALUE"""),"James White")</f>
        <v>James White</v>
      </c>
      <c r="D9" s="3" t="str">
        <f ca="1">IFERROR(__xludf.DUMMYFUNCTION("""COMPUTED_VALUE"""),"RB")</f>
        <v>RB</v>
      </c>
      <c r="E9" t="b">
        <f ca="1">NOT(ISERROR(MATCH(C9,'Geoff Usage (2)'!$C$38:$C$500,0)))</f>
        <v>1</v>
      </c>
      <c r="J9" s="28" t="s">
        <v>887</v>
      </c>
      <c r="K9" s="31" t="s">
        <v>341</v>
      </c>
      <c r="L9" s="53"/>
    </row>
    <row r="10" spans="1:13" x14ac:dyDescent="0.15">
      <c r="A10" s="16">
        <f t="shared" si="1"/>
        <v>9</v>
      </c>
      <c r="B10" s="3">
        <f ca="1">IFERROR(__xludf.DUMMYFUNCTION("""COMPUTED_VALUE"""),717)</f>
        <v>717</v>
      </c>
      <c r="C10" s="3" t="str">
        <f ca="1">IFERROR(__xludf.DUMMYFUNCTION("""COMPUTED_VALUE"""),"T.J. Hockenson")</f>
        <v>T.J. Hockenson</v>
      </c>
      <c r="D10" s="3" t="str">
        <f ca="1">IFERROR(__xludf.DUMMYFUNCTION("""COMPUTED_VALUE"""),"TE")</f>
        <v>TE</v>
      </c>
      <c r="E10" t="b">
        <f ca="1">NOT(ISERROR(MATCH(C10,'Geoff Usage (2)'!$C$38:$C$500,0)))</f>
        <v>1</v>
      </c>
      <c r="J10" s="31" t="s">
        <v>888</v>
      </c>
      <c r="K10" s="31" t="s">
        <v>125</v>
      </c>
    </row>
    <row r="11" spans="1:13" x14ac:dyDescent="0.15">
      <c r="A11" s="16">
        <f t="shared" si="1"/>
        <v>10</v>
      </c>
      <c r="B11" s="3">
        <f ca="1">IFERROR(__xludf.DUMMYFUNCTION("""COMPUTED_VALUE"""),530)</f>
        <v>530</v>
      </c>
      <c r="C11" s="3" t="str">
        <f ca="1">IFERROR(__xludf.DUMMYFUNCTION("""COMPUTED_VALUE"""),"Sam Darnold")</f>
        <v>Sam Darnold</v>
      </c>
      <c r="D11" s="3" t="str">
        <f ca="1">IFERROR(__xludf.DUMMYFUNCTION("""COMPUTED_VALUE"""),"QB")</f>
        <v>QB</v>
      </c>
      <c r="E11" t="b">
        <f ca="1">NOT(ISERROR(MATCH(C11,'Geoff Usage (2)'!$C$38:$C$500,0)))</f>
        <v>1</v>
      </c>
      <c r="F11" s="3"/>
      <c r="G11" s="3"/>
      <c r="H11" s="3"/>
      <c r="J11" s="31" t="s">
        <v>889</v>
      </c>
      <c r="K11" s="31" t="s">
        <v>710</v>
      </c>
    </row>
    <row r="12" spans="1:13" x14ac:dyDescent="0.15">
      <c r="A12" s="16">
        <f t="shared" si="1"/>
        <v>11</v>
      </c>
      <c r="B12" s="3">
        <f ca="1">IFERROR(__xludf.DUMMYFUNCTION("""COMPUTED_VALUE"""),600)</f>
        <v>600</v>
      </c>
      <c r="C12" s="3" t="str">
        <f ca="1">IFERROR(__xludf.DUMMYFUNCTION("""COMPUTED_VALUE"""),"Jordan Akins")</f>
        <v>Jordan Akins</v>
      </c>
      <c r="D12" s="3" t="str">
        <f ca="1">IFERROR(__xludf.DUMMYFUNCTION("""COMPUTED_VALUE"""),"TE")</f>
        <v>TE</v>
      </c>
      <c r="E12" t="b">
        <f ca="1">NOT(ISERROR(MATCH(C12,'Geoff Usage (2)'!$C$38:$C$500,0)))</f>
        <v>0</v>
      </c>
      <c r="J12" s="31" t="s">
        <v>890</v>
      </c>
      <c r="K12" s="31" t="s">
        <v>785</v>
      </c>
    </row>
    <row r="13" spans="1:13" x14ac:dyDescent="0.15">
      <c r="A13" s="16">
        <f t="shared" si="1"/>
        <v>12</v>
      </c>
      <c r="B13" s="3">
        <f ca="1">IFERROR(__xludf.DUMMYFUNCTION("""COMPUTED_VALUE"""),400)</f>
        <v>400</v>
      </c>
      <c r="C13" s="3" t="str">
        <f ca="1">IFERROR(__xludf.DUMMYFUNCTION("""COMPUTED_VALUE"""),"Tevin Coleman")</f>
        <v>Tevin Coleman</v>
      </c>
      <c r="D13" s="3" t="str">
        <f ca="1">IFERROR(__xludf.DUMMYFUNCTION("""COMPUTED_VALUE"""),"RB")</f>
        <v>RB</v>
      </c>
      <c r="E13" t="b">
        <f ca="1">NOT(ISERROR(MATCH(C13,'Geoff Usage (2)'!$C$38:$C$500,0)))</f>
        <v>1</v>
      </c>
      <c r="J13" s="31" t="s">
        <v>891</v>
      </c>
      <c r="K13" s="31" t="s">
        <v>800</v>
      </c>
    </row>
    <row r="14" spans="1:13" x14ac:dyDescent="0.15">
      <c r="A14" s="16">
        <f t="shared" si="1"/>
        <v>13</v>
      </c>
      <c r="B14" s="3">
        <f ca="1">IFERROR(__xludf.DUMMYFUNCTION("""COMPUTED_VALUE"""),851)</f>
        <v>851</v>
      </c>
      <c r="C14" s="3" t="str">
        <f ca="1">IFERROR(__xludf.DUMMYFUNCTION("""COMPUTED_VALUE"""),"Brandon McManus")</f>
        <v>Brandon McManus</v>
      </c>
      <c r="D14" s="3" t="str">
        <f ca="1">IFERROR(__xludf.DUMMYFUNCTION("""COMPUTED_VALUE"""),"K")</f>
        <v>K</v>
      </c>
      <c r="E14" t="b">
        <f ca="1">NOT(ISERROR(MATCH(C14,'Geoff Usage (2)'!$C$38:$C$500,0)))</f>
        <v>0</v>
      </c>
      <c r="J14" s="31" t="s">
        <v>892</v>
      </c>
      <c r="K14" s="31"/>
    </row>
    <row r="15" spans="1:13" x14ac:dyDescent="0.15">
      <c r="A15" s="16">
        <f t="shared" si="1"/>
        <v>14</v>
      </c>
      <c r="B15" s="3">
        <f ca="1">IFERROR(__xludf.DUMMYFUNCTION("""COMPUTED_VALUE"""),792)</f>
        <v>792</v>
      </c>
      <c r="C15" s="3" t="str">
        <f ca="1">IFERROR(__xludf.DUMMYFUNCTION("""COMPUTED_VALUE"""),"Buffalo Bills")</f>
        <v>Buffalo Bills</v>
      </c>
      <c r="D15" s="3" t="str">
        <f ca="1">IFERROR(__xludf.DUMMYFUNCTION("""COMPUTED_VALUE"""),"D/ST")</f>
        <v>D/ST</v>
      </c>
      <c r="E15" t="b">
        <f ca="1">NOT(ISERROR(MATCH(C15,'Geoff Usage (2)'!$C$38:$C$500,0)))</f>
        <v>1</v>
      </c>
      <c r="J15" s="33" t="s">
        <v>893</v>
      </c>
      <c r="K15" s="33"/>
    </row>
    <row r="16" spans="1:13" x14ac:dyDescent="0.15">
      <c r="A16" s="16">
        <f t="shared" si="1"/>
        <v>15</v>
      </c>
      <c r="B16" s="3">
        <f ca="1">IFERROR(__xludf.DUMMYFUNCTION("""COMPUTED_VALUE"""),807)</f>
        <v>807</v>
      </c>
      <c r="C16" s="3" t="str">
        <f ca="1">IFERROR(__xludf.DUMMYFUNCTION("""COMPUTED_VALUE"""),"Miami Dolphins")</f>
        <v>Miami Dolphins</v>
      </c>
      <c r="D16" s="3" t="str">
        <f ca="1">IFERROR(__xludf.DUMMYFUNCTION("""COMPUTED_VALUE"""),"D/ST")</f>
        <v>D/ST</v>
      </c>
      <c r="E16" t="b">
        <f ca="1">NOT(ISERROR(MATCH(C16,'Geoff Usage (2)'!$C$38:$C$500,0)))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IFERROR(__xludf.DUMMYFUNCTION("""COMPUTED_VALUE"""),830)</f>
        <v>830</v>
      </c>
      <c r="C17" s="3" t="str">
        <f ca="1">IFERROR(__xludf.DUMMYFUNCTION("""COMPUTED_VALUE"""),"Daniel Carlson")</f>
        <v>Daniel Carlson</v>
      </c>
      <c r="D17" s="3" t="str">
        <f ca="1">IFERROR(__xludf.DUMMYFUNCTION("""COMPUTED_VALUE"""),"K")</f>
        <v>K</v>
      </c>
      <c r="E17" t="b">
        <f ca="1">NOT(ISERROR(MATCH(C17,'Geoff Usage (2)'!$C$38:$C$500,0)))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IFERROR(__xludf.DUMMYFUNCTION("""COMPUTED_VALUE"""),859)</f>
        <v>859</v>
      </c>
      <c r="C18" s="3" t="str">
        <f ca="1">IFERROR(__xludf.DUMMYFUNCTION("""COMPUTED_VALUE"""),"Austin Seibert")</f>
        <v>Austin Seibert</v>
      </c>
      <c r="D18" s="3" t="str">
        <f ca="1">IFERROR(__xludf.DUMMYFUNCTION("""COMPUTED_VALUE"""),"K")</f>
        <v>K</v>
      </c>
      <c r="E18" t="b">
        <f ca="1">NOT(ISERROR(MATCH(C18,'Geoff Usage (2)'!$C$38:$C$500,0)))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/>
      <c r="C19" s="3"/>
      <c r="D19" s="3"/>
      <c r="E19" t="b">
        <f>NOT(ISERROR(MATCH(C19,'Geoff Usage (2)'!$C$38:$C$500,0)))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/>
      <c r="C20" s="3"/>
      <c r="D20" s="3"/>
      <c r="E20" t="b">
        <f>NOT(ISERROR(MATCH(C20,'Geoff Usage (2)'!$C$38:$C$500,0)))</f>
        <v>1</v>
      </c>
      <c r="F20" s="21"/>
    </row>
    <row r="21" spans="1:12" x14ac:dyDescent="0.15">
      <c r="A21" s="16">
        <f t="shared" si="1"/>
        <v>20</v>
      </c>
      <c r="B21" s="3"/>
      <c r="C21" s="3"/>
      <c r="D21" s="3"/>
      <c r="E21" t="b">
        <f>NOT(ISERROR(MATCH(C21,'Geoff Usage (2)'!$C$38:$C$500,0)))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909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1667" priority="765">
      <formula>E5=1</formula>
    </cfRule>
  </conditionalFormatting>
  <conditionalFormatting sqref="B24:C25 C23">
    <cfRule type="expression" dxfId="1666" priority="764">
      <formula>E23=1</formula>
    </cfRule>
  </conditionalFormatting>
  <conditionalFormatting sqref="C23:C25">
    <cfRule type="expression" dxfId="1665" priority="763">
      <formula>E23=1</formula>
    </cfRule>
  </conditionalFormatting>
  <conditionalFormatting sqref="H2">
    <cfRule type="expression" dxfId="1664" priority="762">
      <formula>$H$2&gt;=3</formula>
    </cfRule>
  </conditionalFormatting>
  <conditionalFormatting sqref="H3">
    <cfRule type="expression" dxfId="1663" priority="761">
      <formula>$H$3&gt;=4</formula>
    </cfRule>
  </conditionalFormatting>
  <conditionalFormatting sqref="H4">
    <cfRule type="expression" dxfId="1662" priority="760">
      <formula>$H$4&gt;=4</formula>
    </cfRule>
  </conditionalFormatting>
  <conditionalFormatting sqref="H5">
    <cfRule type="expression" dxfId="1661" priority="759">
      <formula>$H$5&gt;=3</formula>
    </cfRule>
  </conditionalFormatting>
  <conditionalFormatting sqref="H6">
    <cfRule type="expression" dxfId="1660" priority="758">
      <formula>$H$6&gt;=3</formula>
    </cfRule>
  </conditionalFormatting>
  <conditionalFormatting sqref="H7">
    <cfRule type="expression" dxfId="1659" priority="757">
      <formula>$H$7&gt;=3</formula>
    </cfRule>
  </conditionalFormatting>
  <conditionalFormatting sqref="D23">
    <cfRule type="expression" dxfId="1658" priority="756">
      <formula>H21=1</formula>
    </cfRule>
  </conditionalFormatting>
  <conditionalFormatting sqref="A2:A3">
    <cfRule type="expression" dxfId="1657" priority="766">
      <formula>E3=1</formula>
    </cfRule>
  </conditionalFormatting>
  <conditionalFormatting sqref="D23">
    <cfRule type="expression" dxfId="1656" priority="755">
      <formula>G21=1</formula>
    </cfRule>
  </conditionalFormatting>
  <conditionalFormatting sqref="A20 A22">
    <cfRule type="expression" dxfId="1655" priority="767">
      <formula>#REF!=1</formula>
    </cfRule>
  </conditionalFormatting>
  <conditionalFormatting sqref="A4">
    <cfRule type="expression" dxfId="1654" priority="768">
      <formula>#REF!=1</formula>
    </cfRule>
  </conditionalFormatting>
  <conditionalFormatting sqref="A16:A17">
    <cfRule type="expression" dxfId="1653" priority="769">
      <formula>F16=1</formula>
    </cfRule>
  </conditionalFormatting>
  <conditionalFormatting sqref="A21 A19">
    <cfRule type="expression" dxfId="1652" priority="770">
      <formula>F18=1</formula>
    </cfRule>
  </conditionalFormatting>
  <conditionalFormatting sqref="A18">
    <cfRule type="expression" dxfId="1651" priority="771">
      <formula>F21=1</formula>
    </cfRule>
  </conditionalFormatting>
  <conditionalFormatting sqref="A23:B23">
    <cfRule type="expression" dxfId="1650" priority="754">
      <formula>E23=1</formula>
    </cfRule>
  </conditionalFormatting>
  <conditionalFormatting sqref="B23">
    <cfRule type="expression" dxfId="1649" priority="753">
      <formula>E23=1</formula>
    </cfRule>
  </conditionalFormatting>
  <conditionalFormatting sqref="B30:D30">
    <cfRule type="expression" dxfId="1648" priority="752">
      <formula>F30=1</formula>
    </cfRule>
  </conditionalFormatting>
  <conditionalFormatting sqref="B30:D30">
    <cfRule type="expression" dxfId="1647" priority="751">
      <formula>E30=1</formula>
    </cfRule>
  </conditionalFormatting>
  <conditionalFormatting sqref="C30">
    <cfRule type="expression" dxfId="1646" priority="750">
      <formula>E30=1</formula>
    </cfRule>
  </conditionalFormatting>
  <conditionalFormatting sqref="D30">
    <cfRule type="expression" dxfId="1645" priority="749">
      <formula>E30=1</formula>
    </cfRule>
  </conditionalFormatting>
  <conditionalFormatting sqref="B31:D31">
    <cfRule type="expression" dxfId="1644" priority="748">
      <formula>F31=1</formula>
    </cfRule>
  </conditionalFormatting>
  <conditionalFormatting sqref="B31:D31">
    <cfRule type="expression" dxfId="1643" priority="747">
      <formula>E31=1</formula>
    </cfRule>
  </conditionalFormatting>
  <conditionalFormatting sqref="C31">
    <cfRule type="expression" dxfId="1642" priority="746">
      <formula>E31=1</formula>
    </cfRule>
  </conditionalFormatting>
  <conditionalFormatting sqref="D31">
    <cfRule type="expression" dxfId="1641" priority="745">
      <formula>E31=1</formula>
    </cfRule>
  </conditionalFormatting>
  <conditionalFormatting sqref="B32:D32">
    <cfRule type="expression" dxfId="1640" priority="744">
      <formula>F32=1</formula>
    </cfRule>
  </conditionalFormatting>
  <conditionalFormatting sqref="B32:D32">
    <cfRule type="expression" dxfId="1639" priority="743">
      <formula>E32=1</formula>
    </cfRule>
  </conditionalFormatting>
  <conditionalFormatting sqref="C32">
    <cfRule type="expression" dxfId="1638" priority="742">
      <formula>E32=1</formula>
    </cfRule>
  </conditionalFormatting>
  <conditionalFormatting sqref="D32">
    <cfRule type="expression" dxfId="1637" priority="741">
      <formula>E32=1</formula>
    </cfRule>
  </conditionalFormatting>
  <conditionalFormatting sqref="B33:D33">
    <cfRule type="expression" dxfId="1636" priority="740">
      <formula>F33=1</formula>
    </cfRule>
  </conditionalFormatting>
  <conditionalFormatting sqref="B33:D33">
    <cfRule type="expression" dxfId="1635" priority="739">
      <formula>E33=1</formula>
    </cfRule>
  </conditionalFormatting>
  <conditionalFormatting sqref="C33">
    <cfRule type="expression" dxfId="1634" priority="738">
      <formula>E33=1</formula>
    </cfRule>
  </conditionalFormatting>
  <conditionalFormatting sqref="D33">
    <cfRule type="expression" dxfId="1633" priority="737">
      <formula>E33=1</formula>
    </cfRule>
  </conditionalFormatting>
  <conditionalFormatting sqref="F11:H11">
    <cfRule type="expression" dxfId="1632" priority="736">
      <formula>J11=1</formula>
    </cfRule>
  </conditionalFormatting>
  <conditionalFormatting sqref="F11:H11">
    <cfRule type="expression" dxfId="1631" priority="735">
      <formula>I11=1</formula>
    </cfRule>
  </conditionalFormatting>
  <conditionalFormatting sqref="G11">
    <cfRule type="expression" dxfId="1630" priority="734">
      <formula>I11=1</formula>
    </cfRule>
  </conditionalFormatting>
  <conditionalFormatting sqref="H11">
    <cfRule type="expression" dxfId="1629" priority="733">
      <formula>I11=1</formula>
    </cfRule>
  </conditionalFormatting>
  <conditionalFormatting sqref="H11">
    <cfRule type="expression" dxfId="1628" priority="729">
      <formula>I11=1</formula>
    </cfRule>
  </conditionalFormatting>
  <conditionalFormatting sqref="F11:H11">
    <cfRule type="expression" dxfId="1627" priority="732">
      <formula>J11=1</formula>
    </cfRule>
  </conditionalFormatting>
  <conditionalFormatting sqref="F11:H11">
    <cfRule type="expression" dxfId="1626" priority="731">
      <formula>I11=1</formula>
    </cfRule>
  </conditionalFormatting>
  <conditionalFormatting sqref="G11">
    <cfRule type="expression" dxfId="1625" priority="730">
      <formula>I11=1</formula>
    </cfRule>
  </conditionalFormatting>
  <conditionalFormatting sqref="B28:D28">
    <cfRule type="expression" dxfId="1624" priority="728">
      <formula>F28=1</formula>
    </cfRule>
  </conditionalFormatting>
  <conditionalFormatting sqref="B28:D28">
    <cfRule type="expression" dxfId="1623" priority="727">
      <formula>E28=1</formula>
    </cfRule>
  </conditionalFormatting>
  <conditionalFormatting sqref="C28">
    <cfRule type="expression" dxfId="1622" priority="726">
      <formula>E28=1</formula>
    </cfRule>
  </conditionalFormatting>
  <conditionalFormatting sqref="D28">
    <cfRule type="expression" dxfId="1621" priority="725">
      <formula>E28=1</formula>
    </cfRule>
  </conditionalFormatting>
  <conditionalFormatting sqref="B29:D29">
    <cfRule type="expression" dxfId="1620" priority="724">
      <formula>F29=1</formula>
    </cfRule>
  </conditionalFormatting>
  <conditionalFormatting sqref="B29:D29">
    <cfRule type="expression" dxfId="1619" priority="723">
      <formula>E29=1</formula>
    </cfRule>
  </conditionalFormatting>
  <conditionalFormatting sqref="C29">
    <cfRule type="expression" dxfId="1618" priority="722">
      <formula>E29=1</formula>
    </cfRule>
  </conditionalFormatting>
  <conditionalFormatting sqref="D29">
    <cfRule type="expression" dxfId="1617" priority="721">
      <formula>E29=1</formula>
    </cfRule>
  </conditionalFormatting>
  <conditionalFormatting sqref="C26:D26">
    <cfRule type="expression" dxfId="1616" priority="716">
      <formula>G26=1</formula>
    </cfRule>
  </conditionalFormatting>
  <conditionalFormatting sqref="D26">
    <cfRule type="expression" dxfId="1615" priority="715">
      <formula>G26=1</formula>
    </cfRule>
  </conditionalFormatting>
  <conditionalFormatting sqref="B26">
    <cfRule type="expression" dxfId="1614" priority="717">
      <formula>F9=1</formula>
    </cfRule>
  </conditionalFormatting>
  <conditionalFormatting sqref="B26:C26">
    <cfRule type="expression" dxfId="1613" priority="718">
      <formula>E9=1</formula>
    </cfRule>
  </conditionalFormatting>
  <conditionalFormatting sqref="C26">
    <cfRule type="expression" dxfId="1612" priority="719">
      <formula>E9=1</formula>
    </cfRule>
  </conditionalFormatting>
  <conditionalFormatting sqref="D26">
    <cfRule type="expression" dxfId="1611" priority="720">
      <formula>E9=1</formula>
    </cfRule>
  </conditionalFormatting>
  <conditionalFormatting sqref="B27:C27">
    <cfRule type="expression" dxfId="1610" priority="713">
      <formula>F27=1</formula>
    </cfRule>
  </conditionalFormatting>
  <conditionalFormatting sqref="B27:D27">
    <cfRule type="expression" dxfId="1609" priority="712">
      <formula>E27=1</formula>
    </cfRule>
  </conditionalFormatting>
  <conditionalFormatting sqref="C27">
    <cfRule type="expression" dxfId="1608" priority="711">
      <formula>E27=1</formula>
    </cfRule>
  </conditionalFormatting>
  <conditionalFormatting sqref="D27">
    <cfRule type="expression" dxfId="1607" priority="710">
      <formula>E27=1</formula>
    </cfRule>
  </conditionalFormatting>
  <conditionalFormatting sqref="D27">
    <cfRule type="expression" dxfId="1606" priority="714">
      <formula>H26=1</formula>
    </cfRule>
  </conditionalFormatting>
  <conditionalFormatting sqref="B12:D12">
    <cfRule type="expression" dxfId="1605" priority="701">
      <formula>F12=1</formula>
    </cfRule>
  </conditionalFormatting>
  <conditionalFormatting sqref="B12:D12">
    <cfRule type="expression" dxfId="1604" priority="700">
      <formula>E12=1</formula>
    </cfRule>
  </conditionalFormatting>
  <conditionalFormatting sqref="C12">
    <cfRule type="expression" dxfId="1603" priority="699">
      <formula>E12=1</formula>
    </cfRule>
  </conditionalFormatting>
  <conditionalFormatting sqref="D12">
    <cfRule type="expression" dxfId="1602" priority="698">
      <formula>E12=1</formula>
    </cfRule>
  </conditionalFormatting>
  <conditionalFormatting sqref="B22:D22">
    <cfRule type="expression" dxfId="1601" priority="693">
      <formula>F22=1</formula>
    </cfRule>
  </conditionalFormatting>
  <conditionalFormatting sqref="B22:D22">
    <cfRule type="expression" dxfId="1600" priority="692">
      <formula>E22=1</formula>
    </cfRule>
  </conditionalFormatting>
  <conditionalFormatting sqref="C22">
    <cfRule type="expression" dxfId="1599" priority="691">
      <formula>E22=1</formula>
    </cfRule>
  </conditionalFormatting>
  <conditionalFormatting sqref="D22">
    <cfRule type="expression" dxfId="1598" priority="690">
      <formula>E22=1</formula>
    </cfRule>
  </conditionalFormatting>
  <conditionalFormatting sqref="B13:D13">
    <cfRule type="expression" dxfId="1597" priority="689">
      <formula>F13=1</formula>
    </cfRule>
  </conditionalFormatting>
  <conditionalFormatting sqref="B13:D13">
    <cfRule type="expression" dxfId="1596" priority="688">
      <formula>E13=1</formula>
    </cfRule>
  </conditionalFormatting>
  <conditionalFormatting sqref="C13">
    <cfRule type="expression" dxfId="1595" priority="687">
      <formula>E13=1</formula>
    </cfRule>
  </conditionalFormatting>
  <conditionalFormatting sqref="D13">
    <cfRule type="expression" dxfId="1594" priority="686">
      <formula>E13=1</formula>
    </cfRule>
  </conditionalFormatting>
  <conditionalFormatting sqref="B19:D19">
    <cfRule type="expression" dxfId="1593" priority="560">
      <formula>F19=1</formula>
    </cfRule>
  </conditionalFormatting>
  <conditionalFormatting sqref="B19:D19">
    <cfRule type="expression" dxfId="1592" priority="559">
      <formula>E19=1</formula>
    </cfRule>
  </conditionalFormatting>
  <conditionalFormatting sqref="C19">
    <cfRule type="expression" dxfId="1591" priority="558">
      <formula>E19=1</formula>
    </cfRule>
  </conditionalFormatting>
  <conditionalFormatting sqref="D19">
    <cfRule type="expression" dxfId="1590" priority="557">
      <formula>E19=1</formula>
    </cfRule>
  </conditionalFormatting>
  <conditionalFormatting sqref="B17:D17">
    <cfRule type="expression" dxfId="1589" priority="576">
      <formula>F17=1</formula>
    </cfRule>
  </conditionalFormatting>
  <conditionalFormatting sqref="B17:D17">
    <cfRule type="expression" dxfId="1588" priority="575">
      <formula>E17=1</formula>
    </cfRule>
  </conditionalFormatting>
  <conditionalFormatting sqref="C17">
    <cfRule type="expression" dxfId="1587" priority="574">
      <formula>E17=1</formula>
    </cfRule>
  </conditionalFormatting>
  <conditionalFormatting sqref="D17">
    <cfRule type="expression" dxfId="1586" priority="573">
      <formula>E17=1</formula>
    </cfRule>
  </conditionalFormatting>
  <conditionalFormatting sqref="B20">
    <cfRule type="expression" dxfId="1585" priority="553">
      <formula>F20=1</formula>
    </cfRule>
  </conditionalFormatting>
  <conditionalFormatting sqref="B20:C20">
    <cfRule type="expression" dxfId="1584" priority="552">
      <formula>E20=1</formula>
    </cfRule>
  </conditionalFormatting>
  <conditionalFormatting sqref="C20">
    <cfRule type="expression" dxfId="1583" priority="551">
      <formula>E20=1</formula>
    </cfRule>
  </conditionalFormatting>
  <conditionalFormatting sqref="D20">
    <cfRule type="expression" dxfId="1582" priority="550">
      <formula>E20=1</formula>
    </cfRule>
  </conditionalFormatting>
  <conditionalFormatting sqref="D20">
    <cfRule type="expression" dxfId="1581" priority="554">
      <formula>H19=1</formula>
    </cfRule>
  </conditionalFormatting>
  <conditionalFormatting sqref="C20">
    <cfRule type="expression" dxfId="1580" priority="555">
      <formula>G21=1</formula>
    </cfRule>
  </conditionalFormatting>
  <conditionalFormatting sqref="D20">
    <cfRule type="expression" dxfId="1579" priority="556">
      <formula>G21=1</formula>
    </cfRule>
  </conditionalFormatting>
  <conditionalFormatting sqref="B19">
    <cfRule type="expression" dxfId="1578" priority="538">
      <formula>F19=1</formula>
    </cfRule>
  </conditionalFormatting>
  <conditionalFormatting sqref="B19:C19">
    <cfRule type="expression" dxfId="1577" priority="537">
      <formula>E19=1</formula>
    </cfRule>
  </conditionalFormatting>
  <conditionalFormatting sqref="C19">
    <cfRule type="expression" dxfId="1576" priority="536">
      <formula>E19=1</formula>
    </cfRule>
  </conditionalFormatting>
  <conditionalFormatting sqref="D19">
    <cfRule type="expression" dxfId="1575" priority="535">
      <formula>E19=1</formula>
    </cfRule>
  </conditionalFormatting>
  <conditionalFormatting sqref="D19">
    <cfRule type="expression" dxfId="1574" priority="539">
      <formula>H18=1</formula>
    </cfRule>
  </conditionalFormatting>
  <conditionalFormatting sqref="C19">
    <cfRule type="expression" dxfId="1573" priority="540">
      <formula>G20=1</formula>
    </cfRule>
  </conditionalFormatting>
  <conditionalFormatting sqref="D19">
    <cfRule type="expression" dxfId="1572" priority="541">
      <formula>G20=1</formula>
    </cfRule>
  </conditionalFormatting>
  <conditionalFormatting sqref="B20:D20">
    <cfRule type="expression" dxfId="1571" priority="534">
      <formula>F20=1</formula>
    </cfRule>
  </conditionalFormatting>
  <conditionalFormatting sqref="B20:D20">
    <cfRule type="expression" dxfId="1570" priority="533">
      <formula>E20=1</formula>
    </cfRule>
  </conditionalFormatting>
  <conditionalFormatting sqref="C20">
    <cfRule type="expression" dxfId="1569" priority="532">
      <formula>E20=1</formula>
    </cfRule>
  </conditionalFormatting>
  <conditionalFormatting sqref="D20">
    <cfRule type="expression" dxfId="1568" priority="531">
      <formula>E20=1</formula>
    </cfRule>
  </conditionalFormatting>
  <conditionalFormatting sqref="B4:D4">
    <cfRule type="expression" dxfId="1567" priority="530">
      <formula>F4=1</formula>
    </cfRule>
  </conditionalFormatting>
  <conditionalFormatting sqref="B4:D4">
    <cfRule type="expression" dxfId="1566" priority="529">
      <formula>E4=1</formula>
    </cfRule>
  </conditionalFormatting>
  <conditionalFormatting sqref="C4">
    <cfRule type="expression" dxfId="1565" priority="528">
      <formula>E4=1</formula>
    </cfRule>
  </conditionalFormatting>
  <conditionalFormatting sqref="D4">
    <cfRule type="expression" dxfId="1564" priority="527">
      <formula>E4=1</formula>
    </cfRule>
  </conditionalFormatting>
  <conditionalFormatting sqref="B5:D5">
    <cfRule type="expression" dxfId="1563" priority="526">
      <formula>F5=1</formula>
    </cfRule>
  </conditionalFormatting>
  <conditionalFormatting sqref="B5:D5">
    <cfRule type="expression" dxfId="1562" priority="525">
      <formula>E5=1</formula>
    </cfRule>
  </conditionalFormatting>
  <conditionalFormatting sqref="C5">
    <cfRule type="expression" dxfId="1561" priority="524">
      <formula>E5=1</formula>
    </cfRule>
  </conditionalFormatting>
  <conditionalFormatting sqref="D5">
    <cfRule type="expression" dxfId="1560" priority="523">
      <formula>E5=1</formula>
    </cfRule>
  </conditionalFormatting>
  <conditionalFormatting sqref="B6:D6">
    <cfRule type="expression" dxfId="1559" priority="522">
      <formula>F6=1</formula>
    </cfRule>
  </conditionalFormatting>
  <conditionalFormatting sqref="B6:D6">
    <cfRule type="expression" dxfId="1558" priority="521">
      <formula>E6=1</formula>
    </cfRule>
  </conditionalFormatting>
  <conditionalFormatting sqref="C6">
    <cfRule type="expression" dxfId="1557" priority="520">
      <formula>E6=1</formula>
    </cfRule>
  </conditionalFormatting>
  <conditionalFormatting sqref="D6">
    <cfRule type="expression" dxfId="1556" priority="519">
      <formula>E6=1</formula>
    </cfRule>
  </conditionalFormatting>
  <conditionalFormatting sqref="D8">
    <cfRule type="expression" dxfId="1555" priority="511">
      <formula>E8=1</formula>
    </cfRule>
  </conditionalFormatting>
  <conditionalFormatting sqref="B8:D8">
    <cfRule type="expression" dxfId="1554" priority="514">
      <formula>F8=1</formula>
    </cfRule>
  </conditionalFormatting>
  <conditionalFormatting sqref="B8:D8">
    <cfRule type="expression" dxfId="1553" priority="513">
      <formula>E8=1</formula>
    </cfRule>
  </conditionalFormatting>
  <conditionalFormatting sqref="C8">
    <cfRule type="expression" dxfId="1552" priority="512">
      <formula>E8=1</formula>
    </cfRule>
  </conditionalFormatting>
  <conditionalFormatting sqref="D7">
    <cfRule type="expression" dxfId="1551" priority="499">
      <formula>E7=1</formula>
    </cfRule>
  </conditionalFormatting>
  <conditionalFormatting sqref="B7:D7">
    <cfRule type="expression" dxfId="1550" priority="502">
      <formula>F7=1</formula>
    </cfRule>
  </conditionalFormatting>
  <conditionalFormatting sqref="B7:D7">
    <cfRule type="expression" dxfId="1549" priority="501">
      <formula>E7=1</formula>
    </cfRule>
  </conditionalFormatting>
  <conditionalFormatting sqref="C7">
    <cfRule type="expression" dxfId="1548" priority="500">
      <formula>E7=1</formula>
    </cfRule>
  </conditionalFormatting>
  <conditionalFormatting sqref="D9">
    <cfRule type="expression" dxfId="1547" priority="495">
      <formula>E9=1</formula>
    </cfRule>
  </conditionalFormatting>
  <conditionalFormatting sqref="B9:D9">
    <cfRule type="expression" dxfId="1546" priority="498">
      <formula>F9=1</formula>
    </cfRule>
  </conditionalFormatting>
  <conditionalFormatting sqref="B9:D9">
    <cfRule type="expression" dxfId="1545" priority="497">
      <formula>E9=1</formula>
    </cfRule>
  </conditionalFormatting>
  <conditionalFormatting sqref="C9">
    <cfRule type="expression" dxfId="1544" priority="496">
      <formula>E9=1</formula>
    </cfRule>
  </conditionalFormatting>
  <conditionalFormatting sqref="B14:D14">
    <cfRule type="expression" dxfId="1543" priority="494">
      <formula>F14=1</formula>
    </cfRule>
  </conditionalFormatting>
  <conditionalFormatting sqref="B14:D14">
    <cfRule type="expression" dxfId="1542" priority="493">
      <formula>E14=1</formula>
    </cfRule>
  </conditionalFormatting>
  <conditionalFormatting sqref="C14">
    <cfRule type="expression" dxfId="1541" priority="492">
      <formula>E14=1</formula>
    </cfRule>
  </conditionalFormatting>
  <conditionalFormatting sqref="D14">
    <cfRule type="expression" dxfId="1540" priority="491">
      <formula>E14=1</formula>
    </cfRule>
  </conditionalFormatting>
  <conditionalFormatting sqref="B16:D16">
    <cfRule type="expression" dxfId="1539" priority="482">
      <formula>F16=1</formula>
    </cfRule>
  </conditionalFormatting>
  <conditionalFormatting sqref="B16:D16">
    <cfRule type="expression" dxfId="1538" priority="481">
      <formula>E16=1</formula>
    </cfRule>
  </conditionalFormatting>
  <conditionalFormatting sqref="C16">
    <cfRule type="expression" dxfId="1537" priority="480">
      <formula>E16=1</formula>
    </cfRule>
  </conditionalFormatting>
  <conditionalFormatting sqref="D16">
    <cfRule type="expression" dxfId="1536" priority="479">
      <formula>E16=1</formula>
    </cfRule>
  </conditionalFormatting>
  <conditionalFormatting sqref="C15:D15">
    <cfRule type="expression" dxfId="1535" priority="476">
      <formula>G15=1</formula>
    </cfRule>
  </conditionalFormatting>
  <conditionalFormatting sqref="D15 B15">
    <cfRule type="expression" dxfId="1534" priority="475">
      <formula>E15=1</formula>
    </cfRule>
  </conditionalFormatting>
  <conditionalFormatting sqref="C15">
    <cfRule type="expression" dxfId="1533" priority="474">
      <formula>E15=1</formula>
    </cfRule>
  </conditionalFormatting>
  <conditionalFormatting sqref="D15">
    <cfRule type="expression" dxfId="1532" priority="473">
      <formula>E15=1</formula>
    </cfRule>
  </conditionalFormatting>
  <conditionalFormatting sqref="B15">
    <cfRule type="expression" dxfId="1531" priority="477">
      <formula>F17=1</formula>
    </cfRule>
  </conditionalFormatting>
  <conditionalFormatting sqref="C15">
    <cfRule type="expression" dxfId="1530" priority="478">
      <formula>F17=1</formula>
    </cfRule>
  </conditionalFormatting>
  <conditionalFormatting sqref="B10:D10">
    <cfRule type="expression" dxfId="1529" priority="472">
      <formula>F10=1</formula>
    </cfRule>
  </conditionalFormatting>
  <conditionalFormatting sqref="B10:D10">
    <cfRule type="expression" dxfId="1528" priority="471">
      <formula>E10=1</formula>
    </cfRule>
  </conditionalFormatting>
  <conditionalFormatting sqref="C10">
    <cfRule type="expression" dxfId="1527" priority="470">
      <formula>E10=1</formula>
    </cfRule>
  </conditionalFormatting>
  <conditionalFormatting sqref="D10">
    <cfRule type="expression" dxfId="1526" priority="469">
      <formula>E10=1</formula>
    </cfRule>
  </conditionalFormatting>
  <conditionalFormatting sqref="B18:D18">
    <cfRule type="expression" dxfId="1525" priority="468">
      <formula>F18=1</formula>
    </cfRule>
  </conditionalFormatting>
  <conditionalFormatting sqref="B18:D18">
    <cfRule type="expression" dxfId="1524" priority="467">
      <formula>E18=1</formula>
    </cfRule>
  </conditionalFormatting>
  <conditionalFormatting sqref="C18">
    <cfRule type="expression" dxfId="1523" priority="466">
      <formula>E18=1</formula>
    </cfRule>
  </conditionalFormatting>
  <conditionalFormatting sqref="D18">
    <cfRule type="expression" dxfId="1522" priority="465">
      <formula>E18=1</formula>
    </cfRule>
  </conditionalFormatting>
  <conditionalFormatting sqref="B18:D18">
    <cfRule type="expression" dxfId="1521" priority="456">
      <formula>F18=1</formula>
    </cfRule>
  </conditionalFormatting>
  <conditionalFormatting sqref="B18:D18">
    <cfRule type="expression" dxfId="1520" priority="455">
      <formula>E18=1</formula>
    </cfRule>
  </conditionalFormatting>
  <conditionalFormatting sqref="C18">
    <cfRule type="expression" dxfId="1519" priority="454">
      <formula>E18=1</formula>
    </cfRule>
  </conditionalFormatting>
  <conditionalFormatting sqref="D18">
    <cfRule type="expression" dxfId="1518" priority="453">
      <formula>E18=1</formula>
    </cfRule>
  </conditionalFormatting>
  <conditionalFormatting sqref="B16:D16">
    <cfRule type="expression" dxfId="1517" priority="460">
      <formula>F16=1</formula>
    </cfRule>
  </conditionalFormatting>
  <conditionalFormatting sqref="B16:D16">
    <cfRule type="expression" dxfId="1516" priority="459">
      <formula>E16=1</formula>
    </cfRule>
  </conditionalFormatting>
  <conditionalFormatting sqref="C16">
    <cfRule type="expression" dxfId="1515" priority="458">
      <formula>E16=1</formula>
    </cfRule>
  </conditionalFormatting>
  <conditionalFormatting sqref="D16">
    <cfRule type="expression" dxfId="1514" priority="457">
      <formula>E16=1</formula>
    </cfRule>
  </conditionalFormatting>
  <conditionalFormatting sqref="B19">
    <cfRule type="expression" dxfId="1513" priority="449">
      <formula>F19=1</formula>
    </cfRule>
  </conditionalFormatting>
  <conditionalFormatting sqref="B19:C19">
    <cfRule type="expression" dxfId="1512" priority="448">
      <formula>E19=1</formula>
    </cfRule>
  </conditionalFormatting>
  <conditionalFormatting sqref="C19">
    <cfRule type="expression" dxfId="1511" priority="447">
      <formula>E19=1</formula>
    </cfRule>
  </conditionalFormatting>
  <conditionalFormatting sqref="D19">
    <cfRule type="expression" dxfId="1510" priority="446">
      <formula>E19=1</formula>
    </cfRule>
  </conditionalFormatting>
  <conditionalFormatting sqref="D19">
    <cfRule type="expression" dxfId="1509" priority="450">
      <formula>H18=1</formula>
    </cfRule>
  </conditionalFormatting>
  <conditionalFormatting sqref="C19">
    <cfRule type="expression" dxfId="1508" priority="451">
      <formula>G20=1</formula>
    </cfRule>
  </conditionalFormatting>
  <conditionalFormatting sqref="D19">
    <cfRule type="expression" dxfId="1507" priority="452">
      <formula>G20=1</formula>
    </cfRule>
  </conditionalFormatting>
  <conditionalFormatting sqref="B18">
    <cfRule type="expression" dxfId="1506" priority="442">
      <formula>F18=1</formula>
    </cfRule>
  </conditionalFormatting>
  <conditionalFormatting sqref="B18:C18">
    <cfRule type="expression" dxfId="1505" priority="441">
      <formula>E18=1</formula>
    </cfRule>
  </conditionalFormatting>
  <conditionalFormatting sqref="C18">
    <cfRule type="expression" dxfId="1504" priority="440">
      <formula>E18=1</formula>
    </cfRule>
  </conditionalFormatting>
  <conditionalFormatting sqref="D18">
    <cfRule type="expression" dxfId="1503" priority="439">
      <formula>E18=1</formula>
    </cfRule>
  </conditionalFormatting>
  <conditionalFormatting sqref="D18">
    <cfRule type="expression" dxfId="1502" priority="443">
      <formula>H17=1</formula>
    </cfRule>
  </conditionalFormatting>
  <conditionalFormatting sqref="C18">
    <cfRule type="expression" dxfId="1501" priority="444">
      <formula>G19=1</formula>
    </cfRule>
  </conditionalFormatting>
  <conditionalFormatting sqref="D18">
    <cfRule type="expression" dxfId="1500" priority="445">
      <formula>G19=1</formula>
    </cfRule>
  </conditionalFormatting>
  <conditionalFormatting sqref="B19:D19">
    <cfRule type="expression" dxfId="1499" priority="438">
      <formula>F19=1</formula>
    </cfRule>
  </conditionalFormatting>
  <conditionalFormatting sqref="B19:D19">
    <cfRule type="expression" dxfId="1498" priority="437">
      <formula>E19=1</formula>
    </cfRule>
  </conditionalFormatting>
  <conditionalFormatting sqref="C19">
    <cfRule type="expression" dxfId="1497" priority="436">
      <formula>E19=1</formula>
    </cfRule>
  </conditionalFormatting>
  <conditionalFormatting sqref="D19">
    <cfRule type="expression" dxfId="1496" priority="435">
      <formula>E19=1</formula>
    </cfRule>
  </conditionalFormatting>
  <conditionalFormatting sqref="B13:D13">
    <cfRule type="expression" dxfId="1495" priority="434">
      <formula>F13=1</formula>
    </cfRule>
  </conditionalFormatting>
  <conditionalFormatting sqref="B13:D13">
    <cfRule type="expression" dxfId="1494" priority="433">
      <formula>E13=1</formula>
    </cfRule>
  </conditionalFormatting>
  <conditionalFormatting sqref="C13">
    <cfRule type="expression" dxfId="1493" priority="432">
      <formula>E13=1</formula>
    </cfRule>
  </conditionalFormatting>
  <conditionalFormatting sqref="D13">
    <cfRule type="expression" dxfId="1492" priority="431">
      <formula>E13=1</formula>
    </cfRule>
  </conditionalFormatting>
  <conditionalFormatting sqref="B15:D15">
    <cfRule type="expression" dxfId="1491" priority="430">
      <formula>F15=1</formula>
    </cfRule>
  </conditionalFormatting>
  <conditionalFormatting sqref="B15:D15">
    <cfRule type="expression" dxfId="1490" priority="429">
      <formula>E15=1</formula>
    </cfRule>
  </conditionalFormatting>
  <conditionalFormatting sqref="C15">
    <cfRule type="expression" dxfId="1489" priority="428">
      <formula>E15=1</formula>
    </cfRule>
  </conditionalFormatting>
  <conditionalFormatting sqref="D15">
    <cfRule type="expression" dxfId="1488" priority="427">
      <formula>E15=1</formula>
    </cfRule>
  </conditionalFormatting>
  <conditionalFormatting sqref="C14:D14">
    <cfRule type="expression" dxfId="1487" priority="424">
      <formula>G14=1</formula>
    </cfRule>
  </conditionalFormatting>
  <conditionalFormatting sqref="D14 B14">
    <cfRule type="expression" dxfId="1486" priority="423">
      <formula>E14=1</formula>
    </cfRule>
  </conditionalFormatting>
  <conditionalFormatting sqref="C14">
    <cfRule type="expression" dxfId="1485" priority="422">
      <formula>E14=1</formula>
    </cfRule>
  </conditionalFormatting>
  <conditionalFormatting sqref="D14">
    <cfRule type="expression" dxfId="1484" priority="421">
      <formula>E14=1</formula>
    </cfRule>
  </conditionalFormatting>
  <conditionalFormatting sqref="B14">
    <cfRule type="expression" dxfId="1483" priority="425">
      <formula>F16=1</formula>
    </cfRule>
  </conditionalFormatting>
  <conditionalFormatting sqref="C14">
    <cfRule type="expression" dxfId="1482" priority="426">
      <formula>F16=1</formula>
    </cfRule>
  </conditionalFormatting>
  <conditionalFormatting sqref="B17:D17">
    <cfRule type="expression" dxfId="1481" priority="420">
      <formula>F17=1</formula>
    </cfRule>
  </conditionalFormatting>
  <conditionalFormatting sqref="B17:D17">
    <cfRule type="expression" dxfId="1480" priority="419">
      <formula>E17=1</formula>
    </cfRule>
  </conditionalFormatting>
  <conditionalFormatting sqref="C17">
    <cfRule type="expression" dxfId="1479" priority="418">
      <formula>E17=1</formula>
    </cfRule>
  </conditionalFormatting>
  <conditionalFormatting sqref="D17">
    <cfRule type="expression" dxfId="1478" priority="417">
      <formula>E17=1</formula>
    </cfRule>
  </conditionalFormatting>
  <conditionalFormatting sqref="B20:D20">
    <cfRule type="expression" dxfId="1477" priority="416">
      <formula>F20=1</formula>
    </cfRule>
  </conditionalFormatting>
  <conditionalFormatting sqref="B20:D20">
    <cfRule type="expression" dxfId="1476" priority="415">
      <formula>E20=1</formula>
    </cfRule>
  </conditionalFormatting>
  <conditionalFormatting sqref="C20">
    <cfRule type="expression" dxfId="1475" priority="414">
      <formula>E20=1</formula>
    </cfRule>
  </conditionalFormatting>
  <conditionalFormatting sqref="D20">
    <cfRule type="expression" dxfId="1474" priority="413">
      <formula>E20=1</formula>
    </cfRule>
  </conditionalFormatting>
  <conditionalFormatting sqref="B21:D21">
    <cfRule type="expression" dxfId="1473" priority="412">
      <formula>F21=1</formula>
    </cfRule>
  </conditionalFormatting>
  <conditionalFormatting sqref="B21:D21">
    <cfRule type="expression" dxfId="1472" priority="411">
      <formula>E21=1</formula>
    </cfRule>
  </conditionalFormatting>
  <conditionalFormatting sqref="C21">
    <cfRule type="expression" dxfId="1471" priority="410">
      <formula>E21=1</formula>
    </cfRule>
  </conditionalFormatting>
  <conditionalFormatting sqref="D21">
    <cfRule type="expression" dxfId="1470" priority="409">
      <formula>E21=1</formula>
    </cfRule>
  </conditionalFormatting>
  <conditionalFormatting sqref="B12:D12">
    <cfRule type="expression" dxfId="1469" priority="408">
      <formula>F12=1</formula>
    </cfRule>
  </conditionalFormatting>
  <conditionalFormatting sqref="B12:D12">
    <cfRule type="expression" dxfId="1468" priority="407">
      <formula>E12=1</formula>
    </cfRule>
  </conditionalFormatting>
  <conditionalFormatting sqref="C12">
    <cfRule type="expression" dxfId="1467" priority="406">
      <formula>E12=1</formula>
    </cfRule>
  </conditionalFormatting>
  <conditionalFormatting sqref="D12">
    <cfRule type="expression" dxfId="1466" priority="405">
      <formula>E12=1</formula>
    </cfRule>
  </conditionalFormatting>
  <conditionalFormatting sqref="B18:D18">
    <cfRule type="expression" dxfId="1465" priority="400">
      <formula>F18=1</formula>
    </cfRule>
  </conditionalFormatting>
  <conditionalFormatting sqref="B18:D18">
    <cfRule type="expression" dxfId="1464" priority="399">
      <formula>E18=1</formula>
    </cfRule>
  </conditionalFormatting>
  <conditionalFormatting sqref="C18">
    <cfRule type="expression" dxfId="1463" priority="398">
      <formula>E18=1</formula>
    </cfRule>
  </conditionalFormatting>
  <conditionalFormatting sqref="D18">
    <cfRule type="expression" dxfId="1462" priority="397">
      <formula>E18=1</formula>
    </cfRule>
  </conditionalFormatting>
  <conditionalFormatting sqref="B16:D16">
    <cfRule type="expression" dxfId="1461" priority="404">
      <formula>F16=1</formula>
    </cfRule>
  </conditionalFormatting>
  <conditionalFormatting sqref="B16:D16">
    <cfRule type="expression" dxfId="1460" priority="403">
      <formula>E16=1</formula>
    </cfRule>
  </conditionalFormatting>
  <conditionalFormatting sqref="C16">
    <cfRule type="expression" dxfId="1459" priority="402">
      <formula>E16=1</formula>
    </cfRule>
  </conditionalFormatting>
  <conditionalFormatting sqref="D16">
    <cfRule type="expression" dxfId="1458" priority="401">
      <formula>E16=1</formula>
    </cfRule>
  </conditionalFormatting>
  <conditionalFormatting sqref="B19">
    <cfRule type="expression" dxfId="1457" priority="393">
      <formula>F19=1</formula>
    </cfRule>
  </conditionalFormatting>
  <conditionalFormatting sqref="B19:C19">
    <cfRule type="expression" dxfId="1456" priority="392">
      <formula>E19=1</formula>
    </cfRule>
  </conditionalFormatting>
  <conditionalFormatting sqref="C19">
    <cfRule type="expression" dxfId="1455" priority="391">
      <formula>E19=1</formula>
    </cfRule>
  </conditionalFormatting>
  <conditionalFormatting sqref="D19">
    <cfRule type="expression" dxfId="1454" priority="390">
      <formula>E19=1</formula>
    </cfRule>
  </conditionalFormatting>
  <conditionalFormatting sqref="D19">
    <cfRule type="expression" dxfId="1453" priority="394">
      <formula>H18=1</formula>
    </cfRule>
  </conditionalFormatting>
  <conditionalFormatting sqref="C19">
    <cfRule type="expression" dxfId="1452" priority="395">
      <formula>G20=1</formula>
    </cfRule>
  </conditionalFormatting>
  <conditionalFormatting sqref="D19">
    <cfRule type="expression" dxfId="1451" priority="396">
      <formula>G20=1</formula>
    </cfRule>
  </conditionalFormatting>
  <conditionalFormatting sqref="B18">
    <cfRule type="expression" dxfId="1450" priority="386">
      <formula>F18=1</formula>
    </cfRule>
  </conditionalFormatting>
  <conditionalFormatting sqref="B18:C18">
    <cfRule type="expression" dxfId="1449" priority="385">
      <formula>E18=1</formula>
    </cfRule>
  </conditionalFormatting>
  <conditionalFormatting sqref="C18">
    <cfRule type="expression" dxfId="1448" priority="384">
      <formula>E18=1</formula>
    </cfRule>
  </conditionalFormatting>
  <conditionalFormatting sqref="D18">
    <cfRule type="expression" dxfId="1447" priority="383">
      <formula>E18=1</formula>
    </cfRule>
  </conditionalFormatting>
  <conditionalFormatting sqref="D18">
    <cfRule type="expression" dxfId="1446" priority="387">
      <formula>H17=1</formula>
    </cfRule>
  </conditionalFormatting>
  <conditionalFormatting sqref="C18">
    <cfRule type="expression" dxfId="1445" priority="388">
      <formula>G19=1</formula>
    </cfRule>
  </conditionalFormatting>
  <conditionalFormatting sqref="D18">
    <cfRule type="expression" dxfId="1444" priority="389">
      <formula>G19=1</formula>
    </cfRule>
  </conditionalFormatting>
  <conditionalFormatting sqref="B19:D19">
    <cfRule type="expression" dxfId="1443" priority="382">
      <formula>F19=1</formula>
    </cfRule>
  </conditionalFormatting>
  <conditionalFormatting sqref="B19:D19">
    <cfRule type="expression" dxfId="1442" priority="381">
      <formula>E19=1</formula>
    </cfRule>
  </conditionalFormatting>
  <conditionalFormatting sqref="C19">
    <cfRule type="expression" dxfId="1441" priority="380">
      <formula>E19=1</formula>
    </cfRule>
  </conditionalFormatting>
  <conditionalFormatting sqref="D19">
    <cfRule type="expression" dxfId="1440" priority="379">
      <formula>E19=1</formula>
    </cfRule>
  </conditionalFormatting>
  <conditionalFormatting sqref="B13:D13">
    <cfRule type="expression" dxfId="1439" priority="378">
      <formula>F13=1</formula>
    </cfRule>
  </conditionalFormatting>
  <conditionalFormatting sqref="B13:D13">
    <cfRule type="expression" dxfId="1438" priority="377">
      <formula>E13=1</formula>
    </cfRule>
  </conditionalFormatting>
  <conditionalFormatting sqref="C13">
    <cfRule type="expression" dxfId="1437" priority="376">
      <formula>E13=1</formula>
    </cfRule>
  </conditionalFormatting>
  <conditionalFormatting sqref="D13">
    <cfRule type="expression" dxfId="1436" priority="375">
      <formula>E13=1</formula>
    </cfRule>
  </conditionalFormatting>
  <conditionalFormatting sqref="B15:D15">
    <cfRule type="expression" dxfId="1435" priority="374">
      <formula>F15=1</formula>
    </cfRule>
  </conditionalFormatting>
  <conditionalFormatting sqref="B15:D15">
    <cfRule type="expression" dxfId="1434" priority="373">
      <formula>E15=1</formula>
    </cfRule>
  </conditionalFormatting>
  <conditionalFormatting sqref="C15">
    <cfRule type="expression" dxfId="1433" priority="372">
      <formula>E15=1</formula>
    </cfRule>
  </conditionalFormatting>
  <conditionalFormatting sqref="D15">
    <cfRule type="expression" dxfId="1432" priority="371">
      <formula>E15=1</formula>
    </cfRule>
  </conditionalFormatting>
  <conditionalFormatting sqref="C14:D14">
    <cfRule type="expression" dxfId="1431" priority="368">
      <formula>G14=1</formula>
    </cfRule>
  </conditionalFormatting>
  <conditionalFormatting sqref="D14 B14">
    <cfRule type="expression" dxfId="1430" priority="367">
      <formula>E14=1</formula>
    </cfRule>
  </conditionalFormatting>
  <conditionalFormatting sqref="C14">
    <cfRule type="expression" dxfId="1429" priority="366">
      <formula>E14=1</formula>
    </cfRule>
  </conditionalFormatting>
  <conditionalFormatting sqref="D14">
    <cfRule type="expression" dxfId="1428" priority="365">
      <formula>E14=1</formula>
    </cfRule>
  </conditionalFormatting>
  <conditionalFormatting sqref="B14">
    <cfRule type="expression" dxfId="1427" priority="369">
      <formula>F16=1</formula>
    </cfRule>
  </conditionalFormatting>
  <conditionalFormatting sqref="C14">
    <cfRule type="expression" dxfId="1426" priority="370">
      <formula>F16=1</formula>
    </cfRule>
  </conditionalFormatting>
  <conditionalFormatting sqref="B17:D17">
    <cfRule type="expression" dxfId="1425" priority="364">
      <formula>F17=1</formula>
    </cfRule>
  </conditionalFormatting>
  <conditionalFormatting sqref="B17:D17">
    <cfRule type="expression" dxfId="1424" priority="363">
      <formula>E17=1</formula>
    </cfRule>
  </conditionalFormatting>
  <conditionalFormatting sqref="C17">
    <cfRule type="expression" dxfId="1423" priority="362">
      <formula>E17=1</formula>
    </cfRule>
  </conditionalFormatting>
  <conditionalFormatting sqref="D17">
    <cfRule type="expression" dxfId="1422" priority="361">
      <formula>E17=1</formula>
    </cfRule>
  </conditionalFormatting>
  <conditionalFormatting sqref="B17:D17">
    <cfRule type="expression" dxfId="1421" priority="356">
      <formula>F17=1</formula>
    </cfRule>
  </conditionalFormatting>
  <conditionalFormatting sqref="B17:D17">
    <cfRule type="expression" dxfId="1420" priority="355">
      <formula>E17=1</formula>
    </cfRule>
  </conditionalFormatting>
  <conditionalFormatting sqref="C17">
    <cfRule type="expression" dxfId="1419" priority="354">
      <formula>E17=1</formula>
    </cfRule>
  </conditionalFormatting>
  <conditionalFormatting sqref="D17">
    <cfRule type="expression" dxfId="1418" priority="353">
      <formula>E17=1</formula>
    </cfRule>
  </conditionalFormatting>
  <conditionalFormatting sqref="B15:D15">
    <cfRule type="expression" dxfId="1417" priority="360">
      <formula>F15=1</formula>
    </cfRule>
  </conditionalFormatting>
  <conditionalFormatting sqref="B15:D15">
    <cfRule type="expression" dxfId="1416" priority="359">
      <formula>E15=1</formula>
    </cfRule>
  </conditionalFormatting>
  <conditionalFormatting sqref="C15">
    <cfRule type="expression" dxfId="1415" priority="358">
      <formula>E15=1</formula>
    </cfRule>
  </conditionalFormatting>
  <conditionalFormatting sqref="D15">
    <cfRule type="expression" dxfId="1414" priority="357">
      <formula>E15=1</formula>
    </cfRule>
  </conditionalFormatting>
  <conditionalFormatting sqref="B18">
    <cfRule type="expression" dxfId="1413" priority="349">
      <formula>F18=1</formula>
    </cfRule>
  </conditionalFormatting>
  <conditionalFormatting sqref="B18:C18">
    <cfRule type="expression" dxfId="1412" priority="348">
      <formula>E18=1</formula>
    </cfRule>
  </conditionalFormatting>
  <conditionalFormatting sqref="C18">
    <cfRule type="expression" dxfId="1411" priority="347">
      <formula>E18=1</formula>
    </cfRule>
  </conditionalFormatting>
  <conditionalFormatting sqref="D18">
    <cfRule type="expression" dxfId="1410" priority="346">
      <formula>E18=1</formula>
    </cfRule>
  </conditionalFormatting>
  <conditionalFormatting sqref="D18">
    <cfRule type="expression" dxfId="1409" priority="350">
      <formula>H17=1</formula>
    </cfRule>
  </conditionalFormatting>
  <conditionalFormatting sqref="C18">
    <cfRule type="expression" dxfId="1408" priority="351">
      <formula>G19=1</formula>
    </cfRule>
  </conditionalFormatting>
  <conditionalFormatting sqref="D18">
    <cfRule type="expression" dxfId="1407" priority="352">
      <formula>G19=1</formula>
    </cfRule>
  </conditionalFormatting>
  <conditionalFormatting sqref="B17">
    <cfRule type="expression" dxfId="1406" priority="342">
      <formula>F17=1</formula>
    </cfRule>
  </conditionalFormatting>
  <conditionalFormatting sqref="B17:C17">
    <cfRule type="expression" dxfId="1405" priority="341">
      <formula>E17=1</formula>
    </cfRule>
  </conditionalFormatting>
  <conditionalFormatting sqref="C17">
    <cfRule type="expression" dxfId="1404" priority="340">
      <formula>E17=1</formula>
    </cfRule>
  </conditionalFormatting>
  <conditionalFormatting sqref="D17">
    <cfRule type="expression" dxfId="1403" priority="339">
      <formula>E17=1</formula>
    </cfRule>
  </conditionalFormatting>
  <conditionalFormatting sqref="D17">
    <cfRule type="expression" dxfId="1402" priority="343">
      <formula>H16=1</formula>
    </cfRule>
  </conditionalFormatting>
  <conditionalFormatting sqref="C17">
    <cfRule type="expression" dxfId="1401" priority="344">
      <formula>G18=1</formula>
    </cfRule>
  </conditionalFormatting>
  <conditionalFormatting sqref="D17">
    <cfRule type="expression" dxfId="1400" priority="345">
      <formula>G18=1</formula>
    </cfRule>
  </conditionalFormatting>
  <conditionalFormatting sqref="B18:D18">
    <cfRule type="expression" dxfId="1399" priority="338">
      <formula>F18=1</formula>
    </cfRule>
  </conditionalFormatting>
  <conditionalFormatting sqref="B18:D18">
    <cfRule type="expression" dxfId="1398" priority="337">
      <formula>E18=1</formula>
    </cfRule>
  </conditionalFormatting>
  <conditionalFormatting sqref="C18">
    <cfRule type="expression" dxfId="1397" priority="336">
      <formula>E18=1</formula>
    </cfRule>
  </conditionalFormatting>
  <conditionalFormatting sqref="D18">
    <cfRule type="expression" dxfId="1396" priority="335">
      <formula>E18=1</formula>
    </cfRule>
  </conditionalFormatting>
  <conditionalFormatting sqref="B12:D12">
    <cfRule type="expression" dxfId="1395" priority="334">
      <formula>F12=1</formula>
    </cfRule>
  </conditionalFormatting>
  <conditionalFormatting sqref="B12:D12">
    <cfRule type="expression" dxfId="1394" priority="333">
      <formula>E12=1</formula>
    </cfRule>
  </conditionalFormatting>
  <conditionalFormatting sqref="C12">
    <cfRule type="expression" dxfId="1393" priority="332">
      <formula>E12=1</formula>
    </cfRule>
  </conditionalFormatting>
  <conditionalFormatting sqref="D12">
    <cfRule type="expression" dxfId="1392" priority="331">
      <formula>E12=1</formula>
    </cfRule>
  </conditionalFormatting>
  <conditionalFormatting sqref="B14:D14">
    <cfRule type="expression" dxfId="1391" priority="330">
      <formula>F14=1</formula>
    </cfRule>
  </conditionalFormatting>
  <conditionalFormatting sqref="B14:D14">
    <cfRule type="expression" dxfId="1390" priority="329">
      <formula>E14=1</formula>
    </cfRule>
  </conditionalFormatting>
  <conditionalFormatting sqref="C14">
    <cfRule type="expression" dxfId="1389" priority="328">
      <formula>E14=1</formula>
    </cfRule>
  </conditionalFormatting>
  <conditionalFormatting sqref="D14">
    <cfRule type="expression" dxfId="1388" priority="327">
      <formula>E14=1</formula>
    </cfRule>
  </conditionalFormatting>
  <conditionalFormatting sqref="C13:D13">
    <cfRule type="expression" dxfId="1387" priority="324">
      <formula>G13=1</formula>
    </cfRule>
  </conditionalFormatting>
  <conditionalFormatting sqref="D13 B13">
    <cfRule type="expression" dxfId="1386" priority="323">
      <formula>E13=1</formula>
    </cfRule>
  </conditionalFormatting>
  <conditionalFormatting sqref="C13">
    <cfRule type="expression" dxfId="1385" priority="322">
      <formula>E13=1</formula>
    </cfRule>
  </conditionalFormatting>
  <conditionalFormatting sqref="D13">
    <cfRule type="expression" dxfId="1384" priority="321">
      <formula>E13=1</formula>
    </cfRule>
  </conditionalFormatting>
  <conditionalFormatting sqref="B13">
    <cfRule type="expression" dxfId="1383" priority="325">
      <formula>F15=1</formula>
    </cfRule>
  </conditionalFormatting>
  <conditionalFormatting sqref="C13">
    <cfRule type="expression" dxfId="1382" priority="326">
      <formula>F15=1</formula>
    </cfRule>
  </conditionalFormatting>
  <conditionalFormatting sqref="B16:D16">
    <cfRule type="expression" dxfId="1381" priority="320">
      <formula>F16=1</formula>
    </cfRule>
  </conditionalFormatting>
  <conditionalFormatting sqref="B16:D16">
    <cfRule type="expression" dxfId="1380" priority="319">
      <formula>E16=1</formula>
    </cfRule>
  </conditionalFormatting>
  <conditionalFormatting sqref="C16">
    <cfRule type="expression" dxfId="1379" priority="318">
      <formula>E16=1</formula>
    </cfRule>
  </conditionalFormatting>
  <conditionalFormatting sqref="D16">
    <cfRule type="expression" dxfId="1378" priority="317">
      <formula>E16=1</formula>
    </cfRule>
  </conditionalFormatting>
  <conditionalFormatting sqref="B19:D19">
    <cfRule type="expression" dxfId="1377" priority="316">
      <formula>F19=1</formula>
    </cfRule>
  </conditionalFormatting>
  <conditionalFormatting sqref="B19:D19">
    <cfRule type="expression" dxfId="1376" priority="315">
      <formula>E19=1</formula>
    </cfRule>
  </conditionalFormatting>
  <conditionalFormatting sqref="C19">
    <cfRule type="expression" dxfId="1375" priority="314">
      <formula>E19=1</formula>
    </cfRule>
  </conditionalFormatting>
  <conditionalFormatting sqref="D19">
    <cfRule type="expression" dxfId="1374" priority="313">
      <formula>E19=1</formula>
    </cfRule>
  </conditionalFormatting>
  <conditionalFormatting sqref="B20:D20">
    <cfRule type="expression" dxfId="1373" priority="312">
      <formula>F20=1</formula>
    </cfRule>
  </conditionalFormatting>
  <conditionalFormatting sqref="B20:D20">
    <cfRule type="expression" dxfId="1372" priority="311">
      <formula>E20=1</formula>
    </cfRule>
  </conditionalFormatting>
  <conditionalFormatting sqref="C20">
    <cfRule type="expression" dxfId="1371" priority="310">
      <formula>E20=1</formula>
    </cfRule>
  </conditionalFormatting>
  <conditionalFormatting sqref="D20">
    <cfRule type="expression" dxfId="1370" priority="309">
      <formula>E20=1</formula>
    </cfRule>
  </conditionalFormatting>
  <conditionalFormatting sqref="B11:D11">
    <cfRule type="expression" dxfId="1369" priority="308">
      <formula>F11=1</formula>
    </cfRule>
  </conditionalFormatting>
  <conditionalFormatting sqref="B11:D11">
    <cfRule type="expression" dxfId="1368" priority="307">
      <formula>E11=1</formula>
    </cfRule>
  </conditionalFormatting>
  <conditionalFormatting sqref="C11">
    <cfRule type="expression" dxfId="1367" priority="306">
      <formula>E11=1</formula>
    </cfRule>
  </conditionalFormatting>
  <conditionalFormatting sqref="D11">
    <cfRule type="expression" dxfId="1366" priority="305">
      <formula>E11=1</formula>
    </cfRule>
  </conditionalFormatting>
  <conditionalFormatting sqref="B2:D2">
    <cfRule type="expression" dxfId="1365" priority="304">
      <formula>F2=1</formula>
    </cfRule>
  </conditionalFormatting>
  <conditionalFormatting sqref="B2:D2">
    <cfRule type="expression" dxfId="1364" priority="303">
      <formula>E2=1</formula>
    </cfRule>
  </conditionalFormatting>
  <conditionalFormatting sqref="C2">
    <cfRule type="expression" dxfId="1363" priority="302">
      <formula>E2=1</formula>
    </cfRule>
  </conditionalFormatting>
  <conditionalFormatting sqref="D2">
    <cfRule type="expression" dxfId="1362" priority="301">
      <formula>E2=1</formula>
    </cfRule>
  </conditionalFormatting>
  <conditionalFormatting sqref="B3:D3">
    <cfRule type="expression" dxfId="1361" priority="300">
      <formula>F3=1</formula>
    </cfRule>
  </conditionalFormatting>
  <conditionalFormatting sqref="B3:D3">
    <cfRule type="expression" dxfId="1360" priority="299">
      <formula>E3=1</formula>
    </cfRule>
  </conditionalFormatting>
  <conditionalFormatting sqref="C3">
    <cfRule type="expression" dxfId="1359" priority="298">
      <formula>E3=1</formula>
    </cfRule>
  </conditionalFormatting>
  <conditionalFormatting sqref="D3">
    <cfRule type="expression" dxfId="1358" priority="297">
      <formula>E3=1</formula>
    </cfRule>
  </conditionalFormatting>
  <conditionalFormatting sqref="B10:D10">
    <cfRule type="expression" dxfId="1357" priority="296">
      <formula>F10=1</formula>
    </cfRule>
  </conditionalFormatting>
  <conditionalFormatting sqref="B10:D10">
    <cfRule type="expression" dxfId="1356" priority="295">
      <formula>E10=1</formula>
    </cfRule>
  </conditionalFormatting>
  <conditionalFormatting sqref="C10">
    <cfRule type="expression" dxfId="1355" priority="294">
      <formula>E10=1</formula>
    </cfRule>
  </conditionalFormatting>
  <conditionalFormatting sqref="D10">
    <cfRule type="expression" dxfId="1354" priority="293">
      <formula>E10=1</formula>
    </cfRule>
  </conditionalFormatting>
  <conditionalFormatting sqref="B11:D11">
    <cfRule type="expression" dxfId="1353" priority="292">
      <formula>F11=1</formula>
    </cfRule>
  </conditionalFormatting>
  <conditionalFormatting sqref="B11:D11">
    <cfRule type="expression" dxfId="1352" priority="291">
      <formula>E11=1</formula>
    </cfRule>
  </conditionalFormatting>
  <conditionalFormatting sqref="C11">
    <cfRule type="expression" dxfId="1351" priority="290">
      <formula>E11=1</formula>
    </cfRule>
  </conditionalFormatting>
  <conditionalFormatting sqref="D11">
    <cfRule type="expression" dxfId="1350" priority="289">
      <formula>E11=1</formula>
    </cfRule>
  </conditionalFormatting>
  <conditionalFormatting sqref="D6">
    <cfRule type="expression" dxfId="1349" priority="285">
      <formula>E6=1</formula>
    </cfRule>
  </conditionalFormatting>
  <conditionalFormatting sqref="B6:D6">
    <cfRule type="expression" dxfId="1348" priority="288">
      <formula>F6=1</formula>
    </cfRule>
  </conditionalFormatting>
  <conditionalFormatting sqref="B6:D6">
    <cfRule type="expression" dxfId="1347" priority="287">
      <formula>E6=1</formula>
    </cfRule>
  </conditionalFormatting>
  <conditionalFormatting sqref="C6">
    <cfRule type="expression" dxfId="1346" priority="286">
      <formula>E6=1</formula>
    </cfRule>
  </conditionalFormatting>
  <conditionalFormatting sqref="D5">
    <cfRule type="expression" dxfId="1345" priority="281">
      <formula>E5=1</formula>
    </cfRule>
  </conditionalFormatting>
  <conditionalFormatting sqref="B5:D5">
    <cfRule type="expression" dxfId="1344" priority="284">
      <formula>F5=1</formula>
    </cfRule>
  </conditionalFormatting>
  <conditionalFormatting sqref="B5:D5">
    <cfRule type="expression" dxfId="1343" priority="283">
      <formula>E5=1</formula>
    </cfRule>
  </conditionalFormatting>
  <conditionalFormatting sqref="C5">
    <cfRule type="expression" dxfId="1342" priority="282">
      <formula>E5=1</formula>
    </cfRule>
  </conditionalFormatting>
  <conditionalFormatting sqref="D7">
    <cfRule type="expression" dxfId="1341" priority="277">
      <formula>E7=1</formula>
    </cfRule>
  </conditionalFormatting>
  <conditionalFormatting sqref="B7:D7">
    <cfRule type="expression" dxfId="1340" priority="280">
      <formula>F7=1</formula>
    </cfRule>
  </conditionalFormatting>
  <conditionalFormatting sqref="B7:D7">
    <cfRule type="expression" dxfId="1339" priority="279">
      <formula>E7=1</formula>
    </cfRule>
  </conditionalFormatting>
  <conditionalFormatting sqref="C7">
    <cfRule type="expression" dxfId="1338" priority="278">
      <formula>E7=1</formula>
    </cfRule>
  </conditionalFormatting>
  <conditionalFormatting sqref="B8:D8">
    <cfRule type="expression" dxfId="1337" priority="276">
      <formula>F8=1</formula>
    </cfRule>
  </conditionalFormatting>
  <conditionalFormatting sqref="B8:D8">
    <cfRule type="expression" dxfId="1336" priority="275">
      <formula>E8=1</formula>
    </cfRule>
  </conditionalFormatting>
  <conditionalFormatting sqref="C8">
    <cfRule type="expression" dxfId="1335" priority="274">
      <formula>E8=1</formula>
    </cfRule>
  </conditionalFormatting>
  <conditionalFormatting sqref="D8">
    <cfRule type="expression" dxfId="1334" priority="273">
      <formula>E8=1</formula>
    </cfRule>
  </conditionalFormatting>
  <conditionalFormatting sqref="B11:D11">
    <cfRule type="expression" dxfId="1333" priority="272">
      <formula>F11=1</formula>
    </cfRule>
  </conditionalFormatting>
  <conditionalFormatting sqref="B11:D11">
    <cfRule type="expression" dxfId="1332" priority="271">
      <formula>E11=1</formula>
    </cfRule>
  </conditionalFormatting>
  <conditionalFormatting sqref="C11">
    <cfRule type="expression" dxfId="1331" priority="270">
      <formula>E11=1</formula>
    </cfRule>
  </conditionalFormatting>
  <conditionalFormatting sqref="D11">
    <cfRule type="expression" dxfId="1330" priority="269">
      <formula>E11=1</formula>
    </cfRule>
  </conditionalFormatting>
  <conditionalFormatting sqref="B10:D10">
    <cfRule type="expression" dxfId="1329" priority="268">
      <formula>F10=1</formula>
    </cfRule>
  </conditionalFormatting>
  <conditionalFormatting sqref="B10:D10">
    <cfRule type="expression" dxfId="1328" priority="267">
      <formula>E10=1</formula>
    </cfRule>
  </conditionalFormatting>
  <conditionalFormatting sqref="C10">
    <cfRule type="expression" dxfId="1327" priority="266">
      <formula>E10=1</formula>
    </cfRule>
  </conditionalFormatting>
  <conditionalFormatting sqref="D10">
    <cfRule type="expression" dxfId="1326" priority="265">
      <formula>E10=1</formula>
    </cfRule>
  </conditionalFormatting>
  <conditionalFormatting sqref="B11:D11">
    <cfRule type="expression" dxfId="1325" priority="264">
      <formula>F11=1</formula>
    </cfRule>
  </conditionalFormatting>
  <conditionalFormatting sqref="B11:D11">
    <cfRule type="expression" dxfId="1324" priority="263">
      <formula>E11=1</formula>
    </cfRule>
  </conditionalFormatting>
  <conditionalFormatting sqref="C11">
    <cfRule type="expression" dxfId="1323" priority="262">
      <formula>E11=1</formula>
    </cfRule>
  </conditionalFormatting>
  <conditionalFormatting sqref="D11">
    <cfRule type="expression" dxfId="1322" priority="261">
      <formula>E11=1</formula>
    </cfRule>
  </conditionalFormatting>
  <conditionalFormatting sqref="B10:D10">
    <cfRule type="expression" dxfId="1321" priority="260">
      <formula>F10=1</formula>
    </cfRule>
  </conditionalFormatting>
  <conditionalFormatting sqref="B10:D10">
    <cfRule type="expression" dxfId="1320" priority="259">
      <formula>E10=1</formula>
    </cfRule>
  </conditionalFormatting>
  <conditionalFormatting sqref="C10">
    <cfRule type="expression" dxfId="1319" priority="258">
      <formula>E10=1</formula>
    </cfRule>
  </conditionalFormatting>
  <conditionalFormatting sqref="D10">
    <cfRule type="expression" dxfId="1318" priority="257">
      <formula>E10=1</formula>
    </cfRule>
  </conditionalFormatting>
  <conditionalFormatting sqref="C11:D11">
    <cfRule type="expression" dxfId="1317" priority="254">
      <formula>G11=1</formula>
    </cfRule>
  </conditionalFormatting>
  <conditionalFormatting sqref="D11 B11">
    <cfRule type="expression" dxfId="1316" priority="253">
      <formula>E11=1</formula>
    </cfRule>
  </conditionalFormatting>
  <conditionalFormatting sqref="C11">
    <cfRule type="expression" dxfId="1315" priority="252">
      <formula>E11=1</formula>
    </cfRule>
  </conditionalFormatting>
  <conditionalFormatting sqref="D11">
    <cfRule type="expression" dxfId="1314" priority="251">
      <formula>E11=1</formula>
    </cfRule>
  </conditionalFormatting>
  <conditionalFormatting sqref="B11">
    <cfRule type="expression" dxfId="1313" priority="255">
      <formula>F13=1</formula>
    </cfRule>
  </conditionalFormatting>
  <conditionalFormatting sqref="C11">
    <cfRule type="expression" dxfId="1312" priority="256">
      <formula>F13=1</formula>
    </cfRule>
  </conditionalFormatting>
  <conditionalFormatting sqref="B9:D9">
    <cfRule type="expression" dxfId="1311" priority="250">
      <formula>F9=1</formula>
    </cfRule>
  </conditionalFormatting>
  <conditionalFormatting sqref="B9:D9">
    <cfRule type="expression" dxfId="1310" priority="249">
      <formula>E9=1</formula>
    </cfRule>
  </conditionalFormatting>
  <conditionalFormatting sqref="C9">
    <cfRule type="expression" dxfId="1309" priority="248">
      <formula>E9=1</formula>
    </cfRule>
  </conditionalFormatting>
  <conditionalFormatting sqref="D9">
    <cfRule type="expression" dxfId="1308" priority="247">
      <formula>E9=1</formula>
    </cfRule>
  </conditionalFormatting>
  <conditionalFormatting sqref="B13:D13">
    <cfRule type="expression" dxfId="1307" priority="246">
      <formula>F13=1</formula>
    </cfRule>
  </conditionalFormatting>
  <conditionalFormatting sqref="B13:D13">
    <cfRule type="expression" dxfId="1306" priority="245">
      <formula>E13=1</formula>
    </cfRule>
  </conditionalFormatting>
  <conditionalFormatting sqref="C13">
    <cfRule type="expression" dxfId="1305" priority="244">
      <formula>E13=1</formula>
    </cfRule>
  </conditionalFormatting>
  <conditionalFormatting sqref="D13">
    <cfRule type="expression" dxfId="1304" priority="243">
      <formula>E13=1</formula>
    </cfRule>
  </conditionalFormatting>
  <conditionalFormatting sqref="C14:D14">
    <cfRule type="expression" dxfId="1303" priority="240">
      <formula>G14=1</formula>
    </cfRule>
  </conditionalFormatting>
  <conditionalFormatting sqref="D14 B14">
    <cfRule type="expression" dxfId="1302" priority="239">
      <formula>E14=1</formula>
    </cfRule>
  </conditionalFormatting>
  <conditionalFormatting sqref="C14">
    <cfRule type="expression" dxfId="1301" priority="238">
      <formula>E14=1</formula>
    </cfRule>
  </conditionalFormatting>
  <conditionalFormatting sqref="D14">
    <cfRule type="expression" dxfId="1300" priority="237">
      <formula>E14=1</formula>
    </cfRule>
  </conditionalFormatting>
  <conditionalFormatting sqref="B14">
    <cfRule type="expression" dxfId="1299" priority="241">
      <formula>F16=1</formula>
    </cfRule>
  </conditionalFormatting>
  <conditionalFormatting sqref="C14">
    <cfRule type="expression" dxfId="1298" priority="242">
      <formula>F16=1</formula>
    </cfRule>
  </conditionalFormatting>
  <conditionalFormatting sqref="B14:D14">
    <cfRule type="expression" dxfId="1297" priority="236">
      <formula>F14=1</formula>
    </cfRule>
  </conditionalFormatting>
  <conditionalFormatting sqref="B14:D14">
    <cfRule type="expression" dxfId="1296" priority="235">
      <formula>E14=1</formula>
    </cfRule>
  </conditionalFormatting>
  <conditionalFormatting sqref="C14">
    <cfRule type="expression" dxfId="1295" priority="234">
      <formula>E14=1</formula>
    </cfRule>
  </conditionalFormatting>
  <conditionalFormatting sqref="D14">
    <cfRule type="expression" dxfId="1294" priority="233">
      <formula>E14=1</formula>
    </cfRule>
  </conditionalFormatting>
  <conditionalFormatting sqref="C13:D13">
    <cfRule type="expression" dxfId="1293" priority="230">
      <formula>G13=1</formula>
    </cfRule>
  </conditionalFormatting>
  <conditionalFormatting sqref="D13 B13">
    <cfRule type="expression" dxfId="1292" priority="229">
      <formula>E13=1</formula>
    </cfRule>
  </conditionalFormatting>
  <conditionalFormatting sqref="C13">
    <cfRule type="expression" dxfId="1291" priority="228">
      <formula>E13=1</formula>
    </cfRule>
  </conditionalFormatting>
  <conditionalFormatting sqref="D13">
    <cfRule type="expression" dxfId="1290" priority="227">
      <formula>E13=1</formula>
    </cfRule>
  </conditionalFormatting>
  <conditionalFormatting sqref="B13">
    <cfRule type="expression" dxfId="1289" priority="231">
      <formula>F15=1</formula>
    </cfRule>
  </conditionalFormatting>
  <conditionalFormatting sqref="C13">
    <cfRule type="expression" dxfId="1288" priority="232">
      <formula>F15=1</formula>
    </cfRule>
  </conditionalFormatting>
  <conditionalFormatting sqref="B14:D14">
    <cfRule type="expression" dxfId="1287" priority="226">
      <formula>F14=1</formula>
    </cfRule>
  </conditionalFormatting>
  <conditionalFormatting sqref="B14:D14">
    <cfRule type="expression" dxfId="1286" priority="225">
      <formula>E14=1</formula>
    </cfRule>
  </conditionalFormatting>
  <conditionalFormatting sqref="C14">
    <cfRule type="expression" dxfId="1285" priority="224">
      <formula>E14=1</formula>
    </cfRule>
  </conditionalFormatting>
  <conditionalFormatting sqref="D14">
    <cfRule type="expression" dxfId="1284" priority="223">
      <formula>E14=1</formula>
    </cfRule>
  </conditionalFormatting>
  <conditionalFormatting sqref="C13:D13">
    <cfRule type="expression" dxfId="1283" priority="220">
      <formula>G13=1</formula>
    </cfRule>
  </conditionalFormatting>
  <conditionalFormatting sqref="D13 B13">
    <cfRule type="expression" dxfId="1282" priority="219">
      <formula>E13=1</formula>
    </cfRule>
  </conditionalFormatting>
  <conditionalFormatting sqref="C13">
    <cfRule type="expression" dxfId="1281" priority="218">
      <formula>E13=1</formula>
    </cfRule>
  </conditionalFormatting>
  <conditionalFormatting sqref="D13">
    <cfRule type="expression" dxfId="1280" priority="217">
      <formula>E13=1</formula>
    </cfRule>
  </conditionalFormatting>
  <conditionalFormatting sqref="B13">
    <cfRule type="expression" dxfId="1279" priority="221">
      <formula>F15=1</formula>
    </cfRule>
  </conditionalFormatting>
  <conditionalFormatting sqref="C13">
    <cfRule type="expression" dxfId="1278" priority="222">
      <formula>F15=1</formula>
    </cfRule>
  </conditionalFormatting>
  <conditionalFormatting sqref="B14:D14">
    <cfRule type="expression" dxfId="1277" priority="216">
      <formula>F14=1</formula>
    </cfRule>
  </conditionalFormatting>
  <conditionalFormatting sqref="B14:D14">
    <cfRule type="expression" dxfId="1276" priority="215">
      <formula>E14=1</formula>
    </cfRule>
  </conditionalFormatting>
  <conditionalFormatting sqref="C14">
    <cfRule type="expression" dxfId="1275" priority="214">
      <formula>E14=1</formula>
    </cfRule>
  </conditionalFormatting>
  <conditionalFormatting sqref="D14">
    <cfRule type="expression" dxfId="1274" priority="213">
      <formula>E14=1</formula>
    </cfRule>
  </conditionalFormatting>
  <conditionalFormatting sqref="B13:D13">
    <cfRule type="expression" dxfId="1273" priority="212">
      <formula>F13=1</formula>
    </cfRule>
  </conditionalFormatting>
  <conditionalFormatting sqref="B13:D13">
    <cfRule type="expression" dxfId="1272" priority="211">
      <formula>E13=1</formula>
    </cfRule>
  </conditionalFormatting>
  <conditionalFormatting sqref="C13">
    <cfRule type="expression" dxfId="1271" priority="210">
      <formula>E13=1</formula>
    </cfRule>
  </conditionalFormatting>
  <conditionalFormatting sqref="D13">
    <cfRule type="expression" dxfId="1270" priority="209">
      <formula>E13=1</formula>
    </cfRule>
  </conditionalFormatting>
  <conditionalFormatting sqref="B12:D12">
    <cfRule type="expression" dxfId="1269" priority="208">
      <formula>F12=1</formula>
    </cfRule>
  </conditionalFormatting>
  <conditionalFormatting sqref="B12:D12">
    <cfRule type="expression" dxfId="1268" priority="207">
      <formula>E12=1</formula>
    </cfRule>
  </conditionalFormatting>
  <conditionalFormatting sqref="C12">
    <cfRule type="expression" dxfId="1267" priority="206">
      <formula>E12=1</formula>
    </cfRule>
  </conditionalFormatting>
  <conditionalFormatting sqref="D12">
    <cfRule type="expression" dxfId="1266" priority="205">
      <formula>E12=1</formula>
    </cfRule>
  </conditionalFormatting>
  <conditionalFormatting sqref="B13:D13">
    <cfRule type="expression" dxfId="1265" priority="204">
      <formula>F13=1</formula>
    </cfRule>
  </conditionalFormatting>
  <conditionalFormatting sqref="B13:D13">
    <cfRule type="expression" dxfId="1264" priority="203">
      <formula>E13=1</formula>
    </cfRule>
  </conditionalFormatting>
  <conditionalFormatting sqref="C13">
    <cfRule type="expression" dxfId="1263" priority="202">
      <formula>E13=1</formula>
    </cfRule>
  </conditionalFormatting>
  <conditionalFormatting sqref="D13">
    <cfRule type="expression" dxfId="1262" priority="201">
      <formula>E13=1</formula>
    </cfRule>
  </conditionalFormatting>
  <conditionalFormatting sqref="B12:D12">
    <cfRule type="expression" dxfId="1261" priority="200">
      <formula>F12=1</formula>
    </cfRule>
  </conditionalFormatting>
  <conditionalFormatting sqref="B12:D12">
    <cfRule type="expression" dxfId="1260" priority="199">
      <formula>E12=1</formula>
    </cfRule>
  </conditionalFormatting>
  <conditionalFormatting sqref="C12">
    <cfRule type="expression" dxfId="1259" priority="198">
      <formula>E12=1</formula>
    </cfRule>
  </conditionalFormatting>
  <conditionalFormatting sqref="D12">
    <cfRule type="expression" dxfId="1258" priority="197">
      <formula>E12=1</formula>
    </cfRule>
  </conditionalFormatting>
  <conditionalFormatting sqref="C13:D13">
    <cfRule type="expression" dxfId="1257" priority="194">
      <formula>G13=1</formula>
    </cfRule>
  </conditionalFormatting>
  <conditionalFormatting sqref="D13 B13">
    <cfRule type="expression" dxfId="1256" priority="193">
      <formula>E13=1</formula>
    </cfRule>
  </conditionalFormatting>
  <conditionalFormatting sqref="C13">
    <cfRule type="expression" dxfId="1255" priority="192">
      <formula>E13=1</formula>
    </cfRule>
  </conditionalFormatting>
  <conditionalFormatting sqref="D13">
    <cfRule type="expression" dxfId="1254" priority="191">
      <formula>E13=1</formula>
    </cfRule>
  </conditionalFormatting>
  <conditionalFormatting sqref="B13">
    <cfRule type="expression" dxfId="1253" priority="195">
      <formula>F15=1</formula>
    </cfRule>
  </conditionalFormatting>
  <conditionalFormatting sqref="C13">
    <cfRule type="expression" dxfId="1252" priority="196">
      <formula>F15=1</formula>
    </cfRule>
  </conditionalFormatting>
  <conditionalFormatting sqref="B12:D12">
    <cfRule type="expression" dxfId="1251" priority="190">
      <formula>F12=1</formula>
    </cfRule>
  </conditionalFormatting>
  <conditionalFormatting sqref="B12:D12">
    <cfRule type="expression" dxfId="1250" priority="189">
      <formula>E12=1</formula>
    </cfRule>
  </conditionalFormatting>
  <conditionalFormatting sqref="C12">
    <cfRule type="expression" dxfId="1249" priority="188">
      <formula>E12=1</formula>
    </cfRule>
  </conditionalFormatting>
  <conditionalFormatting sqref="D12">
    <cfRule type="expression" dxfId="1248" priority="187">
      <formula>E12=1</formula>
    </cfRule>
  </conditionalFormatting>
  <conditionalFormatting sqref="C13:D13">
    <cfRule type="expression" dxfId="1247" priority="184">
      <formula>G13=1</formula>
    </cfRule>
  </conditionalFormatting>
  <conditionalFormatting sqref="D13 B13">
    <cfRule type="expression" dxfId="1246" priority="183">
      <formula>E13=1</formula>
    </cfRule>
  </conditionalFormatting>
  <conditionalFormatting sqref="C13">
    <cfRule type="expression" dxfId="1245" priority="182">
      <formula>E13=1</formula>
    </cfRule>
  </conditionalFormatting>
  <conditionalFormatting sqref="D13">
    <cfRule type="expression" dxfId="1244" priority="181">
      <formula>E13=1</formula>
    </cfRule>
  </conditionalFormatting>
  <conditionalFormatting sqref="B13">
    <cfRule type="expression" dxfId="1243" priority="185">
      <formula>F15=1</formula>
    </cfRule>
  </conditionalFormatting>
  <conditionalFormatting sqref="C13">
    <cfRule type="expression" dxfId="1242" priority="186">
      <formula>F15=1</formula>
    </cfRule>
  </conditionalFormatting>
  <conditionalFormatting sqref="B13:D13">
    <cfRule type="expression" dxfId="1241" priority="180">
      <formula>F13=1</formula>
    </cfRule>
  </conditionalFormatting>
  <conditionalFormatting sqref="B13:D13">
    <cfRule type="expression" dxfId="1240" priority="179">
      <formula>E13=1</formula>
    </cfRule>
  </conditionalFormatting>
  <conditionalFormatting sqref="C13">
    <cfRule type="expression" dxfId="1239" priority="178">
      <formula>E13=1</formula>
    </cfRule>
  </conditionalFormatting>
  <conditionalFormatting sqref="D13">
    <cfRule type="expression" dxfId="1238" priority="177">
      <formula>E13=1</formula>
    </cfRule>
  </conditionalFormatting>
  <conditionalFormatting sqref="C12:D12">
    <cfRule type="expression" dxfId="1237" priority="174">
      <formula>G12=1</formula>
    </cfRule>
  </conditionalFormatting>
  <conditionalFormatting sqref="D12 B12">
    <cfRule type="expression" dxfId="1236" priority="173">
      <formula>E12=1</formula>
    </cfRule>
  </conditionalFormatting>
  <conditionalFormatting sqref="C12">
    <cfRule type="expression" dxfId="1235" priority="172">
      <formula>E12=1</formula>
    </cfRule>
  </conditionalFormatting>
  <conditionalFormatting sqref="D12">
    <cfRule type="expression" dxfId="1234" priority="171">
      <formula>E12=1</formula>
    </cfRule>
  </conditionalFormatting>
  <conditionalFormatting sqref="B12">
    <cfRule type="expression" dxfId="1233" priority="175">
      <formula>F14=1</formula>
    </cfRule>
  </conditionalFormatting>
  <conditionalFormatting sqref="C12">
    <cfRule type="expression" dxfId="1232" priority="176">
      <formula>F14=1</formula>
    </cfRule>
  </conditionalFormatting>
  <conditionalFormatting sqref="B12:D12">
    <cfRule type="expression" dxfId="1231" priority="170">
      <formula>F12=1</formula>
    </cfRule>
  </conditionalFormatting>
  <conditionalFormatting sqref="B12:D12">
    <cfRule type="expression" dxfId="1230" priority="169">
      <formula>E12=1</formula>
    </cfRule>
  </conditionalFormatting>
  <conditionalFormatting sqref="C12">
    <cfRule type="expression" dxfId="1229" priority="168">
      <formula>E12=1</formula>
    </cfRule>
  </conditionalFormatting>
  <conditionalFormatting sqref="D12">
    <cfRule type="expression" dxfId="1228" priority="167">
      <formula>E12=1</formula>
    </cfRule>
  </conditionalFormatting>
  <conditionalFormatting sqref="C13:D13">
    <cfRule type="expression" dxfId="1227" priority="164">
      <formula>G13=1</formula>
    </cfRule>
  </conditionalFormatting>
  <conditionalFormatting sqref="D13 B13">
    <cfRule type="expression" dxfId="1226" priority="163">
      <formula>E13=1</formula>
    </cfRule>
  </conditionalFormatting>
  <conditionalFormatting sqref="C13">
    <cfRule type="expression" dxfId="1225" priority="162">
      <formula>E13=1</formula>
    </cfRule>
  </conditionalFormatting>
  <conditionalFormatting sqref="D13">
    <cfRule type="expression" dxfId="1224" priority="161">
      <formula>E13=1</formula>
    </cfRule>
  </conditionalFormatting>
  <conditionalFormatting sqref="B13">
    <cfRule type="expression" dxfId="1223" priority="165">
      <formula>F15=1</formula>
    </cfRule>
  </conditionalFormatting>
  <conditionalFormatting sqref="C13">
    <cfRule type="expression" dxfId="1222" priority="166">
      <formula>F15=1</formula>
    </cfRule>
  </conditionalFormatting>
  <conditionalFormatting sqref="B13:D13">
    <cfRule type="expression" dxfId="1221" priority="160">
      <formula>F13=1</formula>
    </cfRule>
  </conditionalFormatting>
  <conditionalFormatting sqref="B13:D13">
    <cfRule type="expression" dxfId="1220" priority="159">
      <formula>E13=1</formula>
    </cfRule>
  </conditionalFormatting>
  <conditionalFormatting sqref="C13">
    <cfRule type="expression" dxfId="1219" priority="158">
      <formula>E13=1</formula>
    </cfRule>
  </conditionalFormatting>
  <conditionalFormatting sqref="D13">
    <cfRule type="expression" dxfId="1218" priority="157">
      <formula>E13=1</formula>
    </cfRule>
  </conditionalFormatting>
  <conditionalFormatting sqref="C12:D12">
    <cfRule type="expression" dxfId="1217" priority="154">
      <formula>G12=1</formula>
    </cfRule>
  </conditionalFormatting>
  <conditionalFormatting sqref="D12 B12">
    <cfRule type="expression" dxfId="1216" priority="153">
      <formula>E12=1</formula>
    </cfRule>
  </conditionalFormatting>
  <conditionalFormatting sqref="C12">
    <cfRule type="expression" dxfId="1215" priority="152">
      <formula>E12=1</formula>
    </cfRule>
  </conditionalFormatting>
  <conditionalFormatting sqref="D12">
    <cfRule type="expression" dxfId="1214" priority="151">
      <formula>E12=1</formula>
    </cfRule>
  </conditionalFormatting>
  <conditionalFormatting sqref="B12">
    <cfRule type="expression" dxfId="1213" priority="155">
      <formula>F14=1</formula>
    </cfRule>
  </conditionalFormatting>
  <conditionalFormatting sqref="C12">
    <cfRule type="expression" dxfId="1212" priority="156">
      <formula>F14=1</formula>
    </cfRule>
  </conditionalFormatting>
  <conditionalFormatting sqref="B13:D13">
    <cfRule type="expression" dxfId="1211" priority="150">
      <formula>F13=1</formula>
    </cfRule>
  </conditionalFormatting>
  <conditionalFormatting sqref="B13:D13">
    <cfRule type="expression" dxfId="1210" priority="149">
      <formula>E13=1</formula>
    </cfRule>
  </conditionalFormatting>
  <conditionalFormatting sqref="C13">
    <cfRule type="expression" dxfId="1209" priority="148">
      <formula>E13=1</formula>
    </cfRule>
  </conditionalFormatting>
  <conditionalFormatting sqref="D13">
    <cfRule type="expression" dxfId="1208" priority="147">
      <formula>E13=1</formula>
    </cfRule>
  </conditionalFormatting>
  <conditionalFormatting sqref="C12:D12">
    <cfRule type="expression" dxfId="1207" priority="144">
      <formula>G12=1</formula>
    </cfRule>
  </conditionalFormatting>
  <conditionalFormatting sqref="D12 B12">
    <cfRule type="expression" dxfId="1206" priority="143">
      <formula>E12=1</formula>
    </cfRule>
  </conditionalFormatting>
  <conditionalFormatting sqref="C12">
    <cfRule type="expression" dxfId="1205" priority="142">
      <formula>E12=1</formula>
    </cfRule>
  </conditionalFormatting>
  <conditionalFormatting sqref="D12">
    <cfRule type="expression" dxfId="1204" priority="141">
      <formula>E12=1</formula>
    </cfRule>
  </conditionalFormatting>
  <conditionalFormatting sqref="B12">
    <cfRule type="expression" dxfId="1203" priority="145">
      <formula>F14=1</formula>
    </cfRule>
  </conditionalFormatting>
  <conditionalFormatting sqref="C12">
    <cfRule type="expression" dxfId="1202" priority="146">
      <formula>F14=1</formula>
    </cfRule>
  </conditionalFormatting>
  <conditionalFormatting sqref="B13:D13">
    <cfRule type="expression" dxfId="1201" priority="140">
      <formula>F13=1</formula>
    </cfRule>
  </conditionalFormatting>
  <conditionalFormatting sqref="B13:D13">
    <cfRule type="expression" dxfId="1200" priority="139">
      <formula>E13=1</formula>
    </cfRule>
  </conditionalFormatting>
  <conditionalFormatting sqref="C13">
    <cfRule type="expression" dxfId="1199" priority="138">
      <formula>E13=1</formula>
    </cfRule>
  </conditionalFormatting>
  <conditionalFormatting sqref="D13">
    <cfRule type="expression" dxfId="1198" priority="137">
      <formula>E13=1</formula>
    </cfRule>
  </conditionalFormatting>
  <conditionalFormatting sqref="B12:D12">
    <cfRule type="expression" dxfId="1197" priority="136">
      <formula>F12=1</formula>
    </cfRule>
  </conditionalFormatting>
  <conditionalFormatting sqref="B12:D12">
    <cfRule type="expression" dxfId="1196" priority="135">
      <formula>E12=1</formula>
    </cfRule>
  </conditionalFormatting>
  <conditionalFormatting sqref="C12">
    <cfRule type="expression" dxfId="1195" priority="134">
      <formula>E12=1</formula>
    </cfRule>
  </conditionalFormatting>
  <conditionalFormatting sqref="D12">
    <cfRule type="expression" dxfId="1194" priority="133">
      <formula>E12=1</formula>
    </cfRule>
  </conditionalFormatting>
  <conditionalFormatting sqref="B17:D17">
    <cfRule type="expression" dxfId="1193" priority="128">
      <formula>F17=1</formula>
    </cfRule>
  </conditionalFormatting>
  <conditionalFormatting sqref="B17:D17">
    <cfRule type="expression" dxfId="1192" priority="127">
      <formula>E17=1</formula>
    </cfRule>
  </conditionalFormatting>
  <conditionalFormatting sqref="C17">
    <cfRule type="expression" dxfId="1191" priority="126">
      <formula>E17=1</formula>
    </cfRule>
  </conditionalFormatting>
  <conditionalFormatting sqref="D17">
    <cfRule type="expression" dxfId="1190" priority="125">
      <formula>E17=1</formula>
    </cfRule>
  </conditionalFormatting>
  <conditionalFormatting sqref="B15:D15">
    <cfRule type="expression" dxfId="1189" priority="132">
      <formula>F15=1</formula>
    </cfRule>
  </conditionalFormatting>
  <conditionalFormatting sqref="B15:D15">
    <cfRule type="expression" dxfId="1188" priority="131">
      <formula>E15=1</formula>
    </cfRule>
  </conditionalFormatting>
  <conditionalFormatting sqref="C15">
    <cfRule type="expression" dxfId="1187" priority="130">
      <formula>E15=1</formula>
    </cfRule>
  </conditionalFormatting>
  <conditionalFormatting sqref="D15">
    <cfRule type="expression" dxfId="1186" priority="129">
      <formula>E15=1</formula>
    </cfRule>
  </conditionalFormatting>
  <conditionalFormatting sqref="B18">
    <cfRule type="expression" dxfId="1185" priority="121">
      <formula>F18=1</formula>
    </cfRule>
  </conditionalFormatting>
  <conditionalFormatting sqref="B18:C18">
    <cfRule type="expression" dxfId="1184" priority="120">
      <formula>E18=1</formula>
    </cfRule>
  </conditionalFormatting>
  <conditionalFormatting sqref="C18">
    <cfRule type="expression" dxfId="1183" priority="119">
      <formula>E18=1</formula>
    </cfRule>
  </conditionalFormatting>
  <conditionalFormatting sqref="D18">
    <cfRule type="expression" dxfId="1182" priority="118">
      <formula>E18=1</formula>
    </cfRule>
  </conditionalFormatting>
  <conditionalFormatting sqref="D18">
    <cfRule type="expression" dxfId="1181" priority="122">
      <formula>H17=1</formula>
    </cfRule>
  </conditionalFormatting>
  <conditionalFormatting sqref="C18">
    <cfRule type="expression" dxfId="1180" priority="123">
      <formula>G19=1</formula>
    </cfRule>
  </conditionalFormatting>
  <conditionalFormatting sqref="D18">
    <cfRule type="expression" dxfId="1179" priority="124">
      <formula>G19=1</formula>
    </cfRule>
  </conditionalFormatting>
  <conditionalFormatting sqref="B17">
    <cfRule type="expression" dxfId="1178" priority="114">
      <formula>F17=1</formula>
    </cfRule>
  </conditionalFormatting>
  <conditionalFormatting sqref="B17:C17">
    <cfRule type="expression" dxfId="1177" priority="113">
      <formula>E17=1</formula>
    </cfRule>
  </conditionalFormatting>
  <conditionalFormatting sqref="C17">
    <cfRule type="expression" dxfId="1176" priority="112">
      <formula>E17=1</formula>
    </cfRule>
  </conditionalFormatting>
  <conditionalFormatting sqref="D17">
    <cfRule type="expression" dxfId="1175" priority="111">
      <formula>E17=1</formula>
    </cfRule>
  </conditionalFormatting>
  <conditionalFormatting sqref="D17">
    <cfRule type="expression" dxfId="1174" priority="115">
      <formula>H16=1</formula>
    </cfRule>
  </conditionalFormatting>
  <conditionalFormatting sqref="C17">
    <cfRule type="expression" dxfId="1173" priority="116">
      <formula>G18=1</formula>
    </cfRule>
  </conditionalFormatting>
  <conditionalFormatting sqref="D17">
    <cfRule type="expression" dxfId="1172" priority="117">
      <formula>G18=1</formula>
    </cfRule>
  </conditionalFormatting>
  <conditionalFormatting sqref="B18:D18">
    <cfRule type="expression" dxfId="1171" priority="110">
      <formula>F18=1</formula>
    </cfRule>
  </conditionalFormatting>
  <conditionalFormatting sqref="B18:D18">
    <cfRule type="expression" dxfId="1170" priority="109">
      <formula>E18=1</formula>
    </cfRule>
  </conditionalFormatting>
  <conditionalFormatting sqref="C18">
    <cfRule type="expression" dxfId="1169" priority="108">
      <formula>E18=1</formula>
    </cfRule>
  </conditionalFormatting>
  <conditionalFormatting sqref="D18">
    <cfRule type="expression" dxfId="1168" priority="107">
      <formula>E18=1</formula>
    </cfRule>
  </conditionalFormatting>
  <conditionalFormatting sqref="B14:D14">
    <cfRule type="expression" dxfId="1167" priority="106">
      <formula>F14=1</formula>
    </cfRule>
  </conditionalFormatting>
  <conditionalFormatting sqref="B14:D14">
    <cfRule type="expression" dxfId="1166" priority="105">
      <formula>E14=1</formula>
    </cfRule>
  </conditionalFormatting>
  <conditionalFormatting sqref="C14">
    <cfRule type="expression" dxfId="1165" priority="104">
      <formula>E14=1</formula>
    </cfRule>
  </conditionalFormatting>
  <conditionalFormatting sqref="D14">
    <cfRule type="expression" dxfId="1164" priority="103">
      <formula>E14=1</formula>
    </cfRule>
  </conditionalFormatting>
  <conditionalFormatting sqref="B16:D16">
    <cfRule type="expression" dxfId="1163" priority="102">
      <formula>F16=1</formula>
    </cfRule>
  </conditionalFormatting>
  <conditionalFormatting sqref="B16:D16">
    <cfRule type="expression" dxfId="1162" priority="101">
      <formula>E16=1</formula>
    </cfRule>
  </conditionalFormatting>
  <conditionalFormatting sqref="C16">
    <cfRule type="expression" dxfId="1161" priority="100">
      <formula>E16=1</formula>
    </cfRule>
  </conditionalFormatting>
  <conditionalFormatting sqref="D16">
    <cfRule type="expression" dxfId="1160" priority="99">
      <formula>E16=1</formula>
    </cfRule>
  </conditionalFormatting>
  <conditionalFormatting sqref="B16:D16">
    <cfRule type="expression" dxfId="1159" priority="94">
      <formula>F16=1</formula>
    </cfRule>
  </conditionalFormatting>
  <conditionalFormatting sqref="B16:D16">
    <cfRule type="expression" dxfId="1158" priority="93">
      <formula>E16=1</formula>
    </cfRule>
  </conditionalFormatting>
  <conditionalFormatting sqref="C16">
    <cfRule type="expression" dxfId="1157" priority="92">
      <formula>E16=1</formula>
    </cfRule>
  </conditionalFormatting>
  <conditionalFormatting sqref="D16">
    <cfRule type="expression" dxfId="1156" priority="91">
      <formula>E16=1</formula>
    </cfRule>
  </conditionalFormatting>
  <conditionalFormatting sqref="B14:D14">
    <cfRule type="expression" dxfId="1155" priority="98">
      <formula>F14=1</formula>
    </cfRule>
  </conditionalFormatting>
  <conditionalFormatting sqref="B14:D14">
    <cfRule type="expression" dxfId="1154" priority="97">
      <formula>E14=1</formula>
    </cfRule>
  </conditionalFormatting>
  <conditionalFormatting sqref="C14">
    <cfRule type="expression" dxfId="1153" priority="96">
      <formula>E14=1</formula>
    </cfRule>
  </conditionalFormatting>
  <conditionalFormatting sqref="D14">
    <cfRule type="expression" dxfId="1152" priority="95">
      <formula>E14=1</formula>
    </cfRule>
  </conditionalFormatting>
  <conditionalFormatting sqref="B17">
    <cfRule type="expression" dxfId="1151" priority="87">
      <formula>F17=1</formula>
    </cfRule>
  </conditionalFormatting>
  <conditionalFormatting sqref="B17:C17">
    <cfRule type="expression" dxfId="1150" priority="86">
      <formula>E17=1</formula>
    </cfRule>
  </conditionalFormatting>
  <conditionalFormatting sqref="C17">
    <cfRule type="expression" dxfId="1149" priority="85">
      <formula>E17=1</formula>
    </cfRule>
  </conditionalFormatting>
  <conditionalFormatting sqref="D17">
    <cfRule type="expression" dxfId="1148" priority="84">
      <formula>E17=1</formula>
    </cfRule>
  </conditionalFormatting>
  <conditionalFormatting sqref="D17">
    <cfRule type="expression" dxfId="1147" priority="88">
      <formula>H16=1</formula>
    </cfRule>
  </conditionalFormatting>
  <conditionalFormatting sqref="C17">
    <cfRule type="expression" dxfId="1146" priority="89">
      <formula>G18=1</formula>
    </cfRule>
  </conditionalFormatting>
  <conditionalFormatting sqref="D17">
    <cfRule type="expression" dxfId="1145" priority="90">
      <formula>G18=1</formula>
    </cfRule>
  </conditionalFormatting>
  <conditionalFormatting sqref="B16">
    <cfRule type="expression" dxfId="1144" priority="80">
      <formula>F16=1</formula>
    </cfRule>
  </conditionalFormatting>
  <conditionalFormatting sqref="B16:C16">
    <cfRule type="expression" dxfId="1143" priority="79">
      <formula>E16=1</formula>
    </cfRule>
  </conditionalFormatting>
  <conditionalFormatting sqref="C16">
    <cfRule type="expression" dxfId="1142" priority="78">
      <formula>E16=1</formula>
    </cfRule>
  </conditionalFormatting>
  <conditionalFormatting sqref="D16">
    <cfRule type="expression" dxfId="1141" priority="77">
      <formula>E16=1</formula>
    </cfRule>
  </conditionalFormatting>
  <conditionalFormatting sqref="D16">
    <cfRule type="expression" dxfId="1140" priority="81">
      <formula>H15=1</formula>
    </cfRule>
  </conditionalFormatting>
  <conditionalFormatting sqref="C16">
    <cfRule type="expression" dxfId="1139" priority="82">
      <formula>G17=1</formula>
    </cfRule>
  </conditionalFormatting>
  <conditionalFormatting sqref="D16">
    <cfRule type="expression" dxfId="1138" priority="83">
      <formula>G17=1</formula>
    </cfRule>
  </conditionalFormatting>
  <conditionalFormatting sqref="B17:D17">
    <cfRule type="expression" dxfId="1137" priority="76">
      <formula>F17=1</formula>
    </cfRule>
  </conditionalFormatting>
  <conditionalFormatting sqref="B17:D17">
    <cfRule type="expression" dxfId="1136" priority="75">
      <formula>E17=1</formula>
    </cfRule>
  </conditionalFormatting>
  <conditionalFormatting sqref="C17">
    <cfRule type="expression" dxfId="1135" priority="74">
      <formula>E17=1</formula>
    </cfRule>
  </conditionalFormatting>
  <conditionalFormatting sqref="D17">
    <cfRule type="expression" dxfId="1134" priority="73">
      <formula>E17=1</formula>
    </cfRule>
  </conditionalFormatting>
  <conditionalFormatting sqref="B15:D15">
    <cfRule type="expression" dxfId="1133" priority="72">
      <formula>F15=1</formula>
    </cfRule>
  </conditionalFormatting>
  <conditionalFormatting sqref="B15:D15">
    <cfRule type="expression" dxfId="1132" priority="71">
      <formula>E15=1</formula>
    </cfRule>
  </conditionalFormatting>
  <conditionalFormatting sqref="C15">
    <cfRule type="expression" dxfId="1131" priority="70">
      <formula>E15=1</formula>
    </cfRule>
  </conditionalFormatting>
  <conditionalFormatting sqref="D15">
    <cfRule type="expression" dxfId="1130" priority="69">
      <formula>E15=1</formula>
    </cfRule>
  </conditionalFormatting>
  <conditionalFormatting sqref="B18:D18">
    <cfRule type="expression" dxfId="1129" priority="68">
      <formula>F18=1</formula>
    </cfRule>
  </conditionalFormatting>
  <conditionalFormatting sqref="B18:D18">
    <cfRule type="expression" dxfId="1128" priority="67">
      <formula>E18=1</formula>
    </cfRule>
  </conditionalFormatting>
  <conditionalFormatting sqref="C18">
    <cfRule type="expression" dxfId="1127" priority="66">
      <formula>E18=1</formula>
    </cfRule>
  </conditionalFormatting>
  <conditionalFormatting sqref="D18">
    <cfRule type="expression" dxfId="1126" priority="65">
      <formula>E18=1</formula>
    </cfRule>
  </conditionalFormatting>
  <conditionalFormatting sqref="B16:D16">
    <cfRule type="expression" dxfId="1125" priority="60">
      <formula>F16=1</formula>
    </cfRule>
  </conditionalFormatting>
  <conditionalFormatting sqref="B16:D16">
    <cfRule type="expression" dxfId="1124" priority="59">
      <formula>E16=1</formula>
    </cfRule>
  </conditionalFormatting>
  <conditionalFormatting sqref="C16">
    <cfRule type="expression" dxfId="1123" priority="58">
      <formula>E16=1</formula>
    </cfRule>
  </conditionalFormatting>
  <conditionalFormatting sqref="D16">
    <cfRule type="expression" dxfId="1122" priority="57">
      <formula>E16=1</formula>
    </cfRule>
  </conditionalFormatting>
  <conditionalFormatting sqref="B14:D14">
    <cfRule type="expression" dxfId="1121" priority="64">
      <formula>F14=1</formula>
    </cfRule>
  </conditionalFormatting>
  <conditionalFormatting sqref="B14:D14">
    <cfRule type="expression" dxfId="1120" priority="63">
      <formula>E14=1</formula>
    </cfRule>
  </conditionalFormatting>
  <conditionalFormatting sqref="C14">
    <cfRule type="expression" dxfId="1119" priority="62">
      <formula>E14=1</formula>
    </cfRule>
  </conditionalFormatting>
  <conditionalFormatting sqref="D14">
    <cfRule type="expression" dxfId="1118" priority="61">
      <formula>E14=1</formula>
    </cfRule>
  </conditionalFormatting>
  <conditionalFormatting sqref="B17">
    <cfRule type="expression" dxfId="1117" priority="53">
      <formula>F17=1</formula>
    </cfRule>
  </conditionalFormatting>
  <conditionalFormatting sqref="B17:C17">
    <cfRule type="expression" dxfId="1116" priority="52">
      <formula>E17=1</formula>
    </cfRule>
  </conditionalFormatting>
  <conditionalFormatting sqref="C17">
    <cfRule type="expression" dxfId="1115" priority="51">
      <formula>E17=1</formula>
    </cfRule>
  </conditionalFormatting>
  <conditionalFormatting sqref="D17">
    <cfRule type="expression" dxfId="1114" priority="50">
      <formula>E17=1</formula>
    </cfRule>
  </conditionalFormatting>
  <conditionalFormatting sqref="D17">
    <cfRule type="expression" dxfId="1113" priority="54">
      <formula>H16=1</formula>
    </cfRule>
  </conditionalFormatting>
  <conditionalFormatting sqref="C17">
    <cfRule type="expression" dxfId="1112" priority="55">
      <formula>G18=1</formula>
    </cfRule>
  </conditionalFormatting>
  <conditionalFormatting sqref="D17">
    <cfRule type="expression" dxfId="1111" priority="56">
      <formula>G18=1</formula>
    </cfRule>
  </conditionalFormatting>
  <conditionalFormatting sqref="B16">
    <cfRule type="expression" dxfId="1110" priority="46">
      <formula>F16=1</formula>
    </cfRule>
  </conditionalFormatting>
  <conditionalFormatting sqref="B16:C16">
    <cfRule type="expression" dxfId="1109" priority="45">
      <formula>E16=1</formula>
    </cfRule>
  </conditionalFormatting>
  <conditionalFormatting sqref="C16">
    <cfRule type="expression" dxfId="1108" priority="44">
      <formula>E16=1</formula>
    </cfRule>
  </conditionalFormatting>
  <conditionalFormatting sqref="D16">
    <cfRule type="expression" dxfId="1107" priority="43">
      <formula>E16=1</formula>
    </cfRule>
  </conditionalFormatting>
  <conditionalFormatting sqref="D16">
    <cfRule type="expression" dxfId="1106" priority="47">
      <formula>H15=1</formula>
    </cfRule>
  </conditionalFormatting>
  <conditionalFormatting sqref="C16">
    <cfRule type="expression" dxfId="1105" priority="48">
      <formula>G17=1</formula>
    </cfRule>
  </conditionalFormatting>
  <conditionalFormatting sqref="D16">
    <cfRule type="expression" dxfId="1104" priority="49">
      <formula>G17=1</formula>
    </cfRule>
  </conditionalFormatting>
  <conditionalFormatting sqref="B17:D17">
    <cfRule type="expression" dxfId="1103" priority="42">
      <formula>F17=1</formula>
    </cfRule>
  </conditionalFormatting>
  <conditionalFormatting sqref="B17:D17">
    <cfRule type="expression" dxfId="1102" priority="41">
      <formula>E17=1</formula>
    </cfRule>
  </conditionalFormatting>
  <conditionalFormatting sqref="C17">
    <cfRule type="expression" dxfId="1101" priority="40">
      <formula>E17=1</formula>
    </cfRule>
  </conditionalFormatting>
  <conditionalFormatting sqref="D17">
    <cfRule type="expression" dxfId="1100" priority="39">
      <formula>E17=1</formula>
    </cfRule>
  </conditionalFormatting>
  <conditionalFormatting sqref="B15:D15">
    <cfRule type="expression" dxfId="1099" priority="38">
      <formula>F15=1</formula>
    </cfRule>
  </conditionalFormatting>
  <conditionalFormatting sqref="B15:D15">
    <cfRule type="expression" dxfId="1098" priority="37">
      <formula>E15=1</formula>
    </cfRule>
  </conditionalFormatting>
  <conditionalFormatting sqref="C15">
    <cfRule type="expression" dxfId="1097" priority="36">
      <formula>E15=1</formula>
    </cfRule>
  </conditionalFormatting>
  <conditionalFormatting sqref="D15">
    <cfRule type="expression" dxfId="1096" priority="35">
      <formula>E15=1</formula>
    </cfRule>
  </conditionalFormatting>
  <conditionalFormatting sqref="B15:D15">
    <cfRule type="expression" dxfId="1095" priority="34">
      <formula>F15=1</formula>
    </cfRule>
  </conditionalFormatting>
  <conditionalFormatting sqref="B15:D15">
    <cfRule type="expression" dxfId="1094" priority="33">
      <formula>E15=1</formula>
    </cfRule>
  </conditionalFormatting>
  <conditionalFormatting sqref="C15">
    <cfRule type="expression" dxfId="1093" priority="32">
      <formula>E15=1</formula>
    </cfRule>
  </conditionalFormatting>
  <conditionalFormatting sqref="D15">
    <cfRule type="expression" dxfId="1092" priority="31">
      <formula>E15=1</formula>
    </cfRule>
  </conditionalFormatting>
  <conditionalFormatting sqref="B16">
    <cfRule type="expression" dxfId="1091" priority="27">
      <formula>F16=1</formula>
    </cfRule>
  </conditionalFormatting>
  <conditionalFormatting sqref="B16:C16">
    <cfRule type="expression" dxfId="1090" priority="26">
      <formula>E16=1</formula>
    </cfRule>
  </conditionalFormatting>
  <conditionalFormatting sqref="C16">
    <cfRule type="expression" dxfId="1089" priority="25">
      <formula>E16=1</formula>
    </cfRule>
  </conditionalFormatting>
  <conditionalFormatting sqref="D16">
    <cfRule type="expression" dxfId="1088" priority="24">
      <formula>E16=1</formula>
    </cfRule>
  </conditionalFormatting>
  <conditionalFormatting sqref="D16">
    <cfRule type="expression" dxfId="1087" priority="28">
      <formula>H15=1</formula>
    </cfRule>
  </conditionalFormatting>
  <conditionalFormatting sqref="C16">
    <cfRule type="expression" dxfId="1086" priority="29">
      <formula>G17=1</formula>
    </cfRule>
  </conditionalFormatting>
  <conditionalFormatting sqref="D16">
    <cfRule type="expression" dxfId="1085" priority="30">
      <formula>G17=1</formula>
    </cfRule>
  </conditionalFormatting>
  <conditionalFormatting sqref="B15">
    <cfRule type="expression" dxfId="1084" priority="20">
      <formula>F15=1</formula>
    </cfRule>
  </conditionalFormatting>
  <conditionalFormatting sqref="B15:C15">
    <cfRule type="expression" dxfId="1083" priority="19">
      <formula>E15=1</formula>
    </cfRule>
  </conditionalFormatting>
  <conditionalFormatting sqref="C15">
    <cfRule type="expression" dxfId="1082" priority="18">
      <formula>E15=1</formula>
    </cfRule>
  </conditionalFormatting>
  <conditionalFormatting sqref="D15">
    <cfRule type="expression" dxfId="1081" priority="17">
      <formula>E15=1</formula>
    </cfRule>
  </conditionalFormatting>
  <conditionalFormatting sqref="D15">
    <cfRule type="expression" dxfId="1080" priority="21">
      <formula>H14=1</formula>
    </cfRule>
  </conditionalFormatting>
  <conditionalFormatting sqref="C15">
    <cfRule type="expression" dxfId="1079" priority="22">
      <formula>G16=1</formula>
    </cfRule>
  </conditionalFormatting>
  <conditionalFormatting sqref="D15">
    <cfRule type="expression" dxfId="1078" priority="23">
      <formula>G16=1</formula>
    </cfRule>
  </conditionalFormatting>
  <conditionalFormatting sqref="B16:D16">
    <cfRule type="expression" dxfId="1077" priority="16">
      <formula>F16=1</formula>
    </cfRule>
  </conditionalFormatting>
  <conditionalFormatting sqref="B16:D16">
    <cfRule type="expression" dxfId="1076" priority="15">
      <formula>E16=1</formula>
    </cfRule>
  </conditionalFormatting>
  <conditionalFormatting sqref="C16">
    <cfRule type="expression" dxfId="1075" priority="14">
      <formula>E16=1</formula>
    </cfRule>
  </conditionalFormatting>
  <conditionalFormatting sqref="D16">
    <cfRule type="expression" dxfId="1074" priority="13">
      <formula>E16=1</formula>
    </cfRule>
  </conditionalFormatting>
  <conditionalFormatting sqref="B14:D14">
    <cfRule type="expression" dxfId="1073" priority="12">
      <formula>F14=1</formula>
    </cfRule>
  </conditionalFormatting>
  <conditionalFormatting sqref="B14:D14">
    <cfRule type="expression" dxfId="1072" priority="11">
      <formula>E14=1</formula>
    </cfRule>
  </conditionalFormatting>
  <conditionalFormatting sqref="C14">
    <cfRule type="expression" dxfId="1071" priority="10">
      <formula>E14=1</formula>
    </cfRule>
  </conditionalFormatting>
  <conditionalFormatting sqref="D14">
    <cfRule type="expression" dxfId="1070" priority="9">
      <formula>E14=1</formula>
    </cfRule>
  </conditionalFormatting>
  <conditionalFormatting sqref="B17:D17">
    <cfRule type="expression" dxfId="1069" priority="8">
      <formula>F17=1</formula>
    </cfRule>
  </conditionalFormatting>
  <conditionalFormatting sqref="B17:D17">
    <cfRule type="expression" dxfId="1068" priority="7">
      <formula>E17=1</formula>
    </cfRule>
  </conditionalFormatting>
  <conditionalFormatting sqref="C17">
    <cfRule type="expression" dxfId="1067" priority="6">
      <formula>E17=1</formula>
    </cfRule>
  </conditionalFormatting>
  <conditionalFormatting sqref="D17">
    <cfRule type="expression" dxfId="1066" priority="5">
      <formula>E17=1</formula>
    </cfRule>
  </conditionalFormatting>
  <conditionalFormatting sqref="B18:D18">
    <cfRule type="expression" dxfId="1065" priority="4">
      <formula>F18=1</formula>
    </cfRule>
  </conditionalFormatting>
  <conditionalFormatting sqref="B18:D18">
    <cfRule type="expression" dxfId="1064" priority="3">
      <formula>E18=1</formula>
    </cfRule>
  </conditionalFormatting>
  <conditionalFormatting sqref="C18">
    <cfRule type="expression" dxfId="1063" priority="2">
      <formula>E18=1</formula>
    </cfRule>
  </conditionalFormatting>
  <conditionalFormatting sqref="D18">
    <cfRule type="expression" dxfId="1062" priority="1">
      <formula>E18=1</formula>
    </cfRule>
  </conditionalFormatting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F4C-3F33-4C89-8B5E-9F3D40102F69}">
  <dimension ref="A1:M33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7">
        <f ca="1">IFERROR(__xludf.DUMMYFUNCTION("""COMPUTED_VALUE"""),808)</f>
        <v>808</v>
      </c>
      <c r="C2" s="7" t="str">
        <f ca="1">IFERROR(__xludf.DUMMYFUNCTION("""COMPUTED_VALUE"""),"Minnesota Vikings")</f>
        <v>Minnesota Vikings</v>
      </c>
      <c r="D2" s="7" t="str">
        <f ca="1">IFERROR(__xludf.DUMMYFUNCTION("""COMPUTED_VALUE"""),"D/ST")</f>
        <v>D/ST</v>
      </c>
      <c r="E2" t="b">
        <f ca="1">NOT(ISERROR(MATCH(C2,'Will Usage'!$C$38:$C$500,0)))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/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IFERROR(__xludf.DUMMYFUNCTION("""COMPUTED_VALUE"""),815)</f>
        <v>815</v>
      </c>
      <c r="C3" s="3" t="str">
        <f ca="1">IFERROR(__xludf.DUMMYFUNCTION("""COMPUTED_VALUE"""),"Pittsburgh Steelers")</f>
        <v>Pittsburgh Steelers</v>
      </c>
      <c r="D3" s="3" t="str">
        <f ca="1">IFERROR(__xludf.DUMMYFUNCTION("""COMPUTED_VALUE"""),"D/ST")</f>
        <v>D/ST</v>
      </c>
      <c r="E3" t="b">
        <f ca="1">NOT(ISERROR(MATCH(C3,'Will Usage'!$C$38:$C$500,0)))</f>
        <v>1</v>
      </c>
      <c r="G3" t="s">
        <v>8</v>
      </c>
      <c r="H3" s="26">
        <f t="shared" ca="1" si="0"/>
        <v>1</v>
      </c>
      <c r="J3" s="21" t="s">
        <v>881</v>
      </c>
      <c r="K3" s="30"/>
      <c r="M3" s="21"/>
    </row>
    <row r="4" spans="1:13" x14ac:dyDescent="0.15">
      <c r="A4" s="16">
        <f t="shared" ref="A4:A21" si="1">+A3+1</f>
        <v>3</v>
      </c>
      <c r="B4" s="3">
        <v>868</v>
      </c>
      <c r="C4" s="3" t="s">
        <v>919</v>
      </c>
      <c r="D4" s="3" t="s">
        <v>49</v>
      </c>
      <c r="E4" t="b">
        <f>NOT(ISERROR(MATCH(C4,'Will Usage'!$C$38:$C$500,0)))</f>
        <v>1</v>
      </c>
      <c r="G4" t="s">
        <v>6</v>
      </c>
      <c r="H4" s="26">
        <f t="shared" ca="1" si="0"/>
        <v>3</v>
      </c>
      <c r="J4" s="21" t="s">
        <v>882</v>
      </c>
      <c r="K4" s="30"/>
      <c r="L4" s="53"/>
    </row>
    <row r="5" spans="1:13" x14ac:dyDescent="0.15">
      <c r="A5" s="16">
        <f t="shared" si="1"/>
        <v>4</v>
      </c>
      <c r="B5" s="3">
        <f ca="1">IFERROR(__xludf.DUMMYFUNCTION("""COMPUTED_VALUE"""),715)</f>
        <v>715</v>
      </c>
      <c r="C5" s="3" t="str">
        <f ca="1">IFERROR(__xludf.DUMMYFUNCTION("""COMPUTED_VALUE"""),"DK Metcalf")</f>
        <v>DK Metcalf</v>
      </c>
      <c r="D5" s="3" t="str">
        <f ca="1">IFERROR(__xludf.DUMMYFUNCTION("""COMPUTED_VALUE"""),"WR")</f>
        <v>WR</v>
      </c>
      <c r="E5" t="b">
        <f ca="1">NOT(ISERROR(MATCH(C5,'Will Usage'!$C$38:$C$500,0)))</f>
        <v>0</v>
      </c>
      <c r="G5" t="s">
        <v>4</v>
      </c>
      <c r="H5" s="26">
        <f t="shared" ca="1" si="0"/>
        <v>3</v>
      </c>
      <c r="J5" s="21" t="s">
        <v>883</v>
      </c>
      <c r="K5" s="30"/>
    </row>
    <row r="6" spans="1:13" x14ac:dyDescent="0.15">
      <c r="A6" s="16">
        <f t="shared" si="1"/>
        <v>5</v>
      </c>
      <c r="B6" s="3">
        <f ca="1">IFERROR(__xludf.DUMMYFUNCTION("""COMPUTED_VALUE"""),237)</f>
        <v>237</v>
      </c>
      <c r="C6" s="3" t="str">
        <f ca="1">IFERROR(__xludf.DUMMYFUNCTION("""COMPUTED_VALUE"""),"Kenny Stills")</f>
        <v>Kenny Stills</v>
      </c>
      <c r="D6" s="3" t="str">
        <f ca="1">IFERROR(__xludf.DUMMYFUNCTION("""COMPUTED_VALUE"""),"WR")</f>
        <v>WR</v>
      </c>
      <c r="E6" t="b">
        <f ca="1">NOT(ISERROR(MATCH(C6,'Will Usage'!$C$38:$C$500,0)))</f>
        <v>0</v>
      </c>
      <c r="G6" s="21" t="s">
        <v>782</v>
      </c>
      <c r="H6" s="26">
        <f t="shared" ca="1" si="0"/>
        <v>3</v>
      </c>
      <c r="J6" s="21" t="s">
        <v>884</v>
      </c>
      <c r="K6" s="30"/>
    </row>
    <row r="7" spans="1:13" x14ac:dyDescent="0.15">
      <c r="A7" s="16">
        <f t="shared" si="1"/>
        <v>6</v>
      </c>
      <c r="B7" s="3">
        <f ca="1">IFERROR(__xludf.DUMMYFUNCTION("""COMPUTED_VALUE"""),28)</f>
        <v>28</v>
      </c>
      <c r="C7" s="3" t="str">
        <f ca="1">IFERROR(__xludf.DUMMYFUNCTION("""COMPUTED_VALUE"""),"Corey Davis")</f>
        <v>Corey Davis</v>
      </c>
      <c r="D7" s="3" t="str">
        <f ca="1">IFERROR(__xludf.DUMMYFUNCTION("""COMPUTED_VALUE"""),"WR")</f>
        <v>WR</v>
      </c>
      <c r="E7" t="b">
        <f ca="1">NOT(ISERROR(MATCH(C7,'Will Usage'!$C$38:$C$500,0)))</f>
        <v>0</v>
      </c>
      <c r="G7" s="23" t="s">
        <v>815</v>
      </c>
      <c r="H7" s="27">
        <f t="shared" ca="1" si="0"/>
        <v>2</v>
      </c>
      <c r="J7" s="28" t="s">
        <v>885</v>
      </c>
      <c r="K7" s="30"/>
    </row>
    <row r="8" spans="1:13" x14ac:dyDescent="0.15">
      <c r="A8" s="16">
        <f t="shared" si="1"/>
        <v>7</v>
      </c>
      <c r="B8" s="3">
        <f ca="1">IFERROR(__xludf.DUMMYFUNCTION("""COMPUTED_VALUE"""),173)</f>
        <v>173</v>
      </c>
      <c r="C8" s="3" t="str">
        <f ca="1">IFERROR(__xludf.DUMMYFUNCTION("""COMPUTED_VALUE"""),"Jonnu Smith")</f>
        <v>Jonnu Smith</v>
      </c>
      <c r="D8" s="3" t="str">
        <f ca="1">IFERROR(__xludf.DUMMYFUNCTION("""COMPUTED_VALUE"""),"TE")</f>
        <v>TE</v>
      </c>
      <c r="E8" t="b">
        <f ca="1">NOT(ISERROR(MATCH(C8,'Will Usage'!$C$38:$C$500,0)))</f>
        <v>1</v>
      </c>
      <c r="J8" s="28" t="s">
        <v>886</v>
      </c>
      <c r="K8" s="31"/>
      <c r="L8" s="53"/>
    </row>
    <row r="9" spans="1:13" x14ac:dyDescent="0.15">
      <c r="A9" s="16">
        <f t="shared" si="1"/>
        <v>8</v>
      </c>
      <c r="B9" s="3">
        <f ca="1">IFERROR(__xludf.DUMMYFUNCTION("""COMPUTED_VALUE"""),297)</f>
        <v>297</v>
      </c>
      <c r="C9" s="3" t="str">
        <f ca="1">IFERROR(__xludf.DUMMYFUNCTION("""COMPUTED_VALUE"""),"Josh Hill")</f>
        <v>Josh Hill</v>
      </c>
      <c r="D9" s="3" t="str">
        <f ca="1">IFERROR(__xludf.DUMMYFUNCTION("""COMPUTED_VALUE"""),"TE")</f>
        <v>TE</v>
      </c>
      <c r="E9" t="b">
        <f ca="1">NOT(ISERROR(MATCH(C9,'Will Usage'!$C$38:$C$500,0)))</f>
        <v>0</v>
      </c>
      <c r="J9" s="28" t="s">
        <v>887</v>
      </c>
      <c r="K9" s="31"/>
      <c r="L9" s="53"/>
    </row>
    <row r="10" spans="1:13" x14ac:dyDescent="0.15">
      <c r="A10" s="16">
        <f t="shared" si="1"/>
        <v>9</v>
      </c>
      <c r="B10" s="3">
        <f ca="1">IFERROR(__xludf.DUMMYFUNCTION("""COMPUTED_VALUE"""),534)</f>
        <v>534</v>
      </c>
      <c r="C10" s="3" t="str">
        <f ca="1">IFERROR(__xludf.DUMMYFUNCTION("""COMPUTED_VALUE"""),"Ryan Tannehill")</f>
        <v>Ryan Tannehill</v>
      </c>
      <c r="D10" s="3" t="str">
        <f ca="1">IFERROR(__xludf.DUMMYFUNCTION("""COMPUTED_VALUE"""),"QB")</f>
        <v>QB</v>
      </c>
      <c r="E10" t="b">
        <f ca="1">NOT(ISERROR(MATCH(C10,'Will Usage'!$C$38:$C$500,0)))</f>
        <v>0</v>
      </c>
      <c r="J10" s="31" t="s">
        <v>888</v>
      </c>
      <c r="K10" s="31"/>
    </row>
    <row r="11" spans="1:13" x14ac:dyDescent="0.15">
      <c r="A11" s="16">
        <f t="shared" si="1"/>
        <v>10</v>
      </c>
      <c r="B11" s="3">
        <f ca="1">IFERROR(__xludf.DUMMYFUNCTION("""COMPUTED_VALUE"""),404)</f>
        <v>404</v>
      </c>
      <c r="C11" s="3" t="str">
        <f ca="1">IFERROR(__xludf.DUMMYFUNCTION("""COMPUTED_VALUE"""),"Tom Brady")</f>
        <v>Tom Brady</v>
      </c>
      <c r="D11" s="3" t="str">
        <f ca="1">IFERROR(__xludf.DUMMYFUNCTION("""COMPUTED_VALUE"""),"QB")</f>
        <v>QB</v>
      </c>
      <c r="E11" t="b">
        <f ca="1">NOT(ISERROR(MATCH(C11,'Will Usage'!$C$38:$C$500,0)))</f>
        <v>1</v>
      </c>
      <c r="F11" s="3"/>
      <c r="G11" s="3"/>
      <c r="H11" s="3"/>
      <c r="J11" s="31" t="s">
        <v>889</v>
      </c>
      <c r="K11" s="31"/>
    </row>
    <row r="12" spans="1:13" x14ac:dyDescent="0.15">
      <c r="A12" s="16">
        <f t="shared" si="1"/>
        <v>11</v>
      </c>
      <c r="B12" s="3"/>
      <c r="C12" s="3"/>
      <c r="D12" s="3"/>
      <c r="E12" t="b">
        <f>NOT(ISERROR(MATCH(C12,'Will Usage'!$C$38:$C$500,0)))</f>
        <v>1</v>
      </c>
      <c r="J12" s="31" t="s">
        <v>890</v>
      </c>
      <c r="K12" s="31"/>
    </row>
    <row r="13" spans="1:13" x14ac:dyDescent="0.15">
      <c r="A13" s="16">
        <f t="shared" si="1"/>
        <v>12</v>
      </c>
      <c r="B13" s="3"/>
      <c r="C13" s="3"/>
      <c r="D13" s="3"/>
      <c r="E13" t="b">
        <f>NOT(ISERROR(MATCH(C13,'Will Usage'!$C$38:$C$500,0)))</f>
        <v>1</v>
      </c>
      <c r="J13" s="31" t="s">
        <v>891</v>
      </c>
      <c r="K13" s="31"/>
    </row>
    <row r="14" spans="1:13" x14ac:dyDescent="0.15">
      <c r="A14" s="16">
        <f t="shared" si="1"/>
        <v>13</v>
      </c>
      <c r="B14" s="3"/>
      <c r="C14" s="3"/>
      <c r="D14" s="3"/>
      <c r="E14" t="b">
        <f>NOT(ISERROR(MATCH(C14,'Will Usage'!$C$38:$C$500,0)))</f>
        <v>1</v>
      </c>
      <c r="J14" s="31" t="s">
        <v>892</v>
      </c>
      <c r="K14" s="31"/>
    </row>
    <row r="15" spans="1:13" x14ac:dyDescent="0.15">
      <c r="A15" s="16">
        <f t="shared" si="1"/>
        <v>14</v>
      </c>
      <c r="B15" s="3">
        <f ca="1">IFERROR(__xludf.DUMMYFUNCTION("""COMPUTED_VALUE"""),120)</f>
        <v>120</v>
      </c>
      <c r="C15" s="3" t="str">
        <f ca="1">IFERROR(__xludf.DUMMYFUNCTION("""COMPUTED_VALUE"""),"Carlos Hyde")</f>
        <v>Carlos Hyde</v>
      </c>
      <c r="D15" s="3" t="str">
        <f ca="1">IFERROR(__xludf.DUMMYFUNCTION("""COMPUTED_VALUE"""),"RB")</f>
        <v>RB</v>
      </c>
      <c r="E15" t="b">
        <f ca="1">NOT(ISERROR(MATCH(C15,'Will Usage'!$C$38:$C$500,0)))</f>
        <v>1</v>
      </c>
      <c r="J15" s="33" t="s">
        <v>893</v>
      </c>
      <c r="K15" s="33"/>
    </row>
    <row r="16" spans="1:13" x14ac:dyDescent="0.15">
      <c r="A16" s="16">
        <f t="shared" si="1"/>
        <v>15</v>
      </c>
      <c r="B16" s="3">
        <f ca="1">IFERROR(__xludf.DUMMYFUNCTION("""COMPUTED_VALUE"""),600)</f>
        <v>600</v>
      </c>
      <c r="C16" s="3" t="str">
        <f ca="1">IFERROR(__xludf.DUMMYFUNCTION("""COMPUTED_VALUE"""),"Jordan Akins")</f>
        <v>Jordan Akins</v>
      </c>
      <c r="D16" s="3" t="str">
        <f ca="1">IFERROR(__xludf.DUMMYFUNCTION("""COMPUTED_VALUE"""),"TE")</f>
        <v>TE</v>
      </c>
      <c r="E16" t="b">
        <f ca="1">NOT(ISERROR(MATCH(C16,'Will Usage'!$C$38:$C$500,0)))</f>
        <v>1</v>
      </c>
      <c r="F16" s="21"/>
    </row>
    <row r="17" spans="1:12" x14ac:dyDescent="0.15">
      <c r="A17" s="16">
        <f t="shared" si="1"/>
        <v>16</v>
      </c>
      <c r="B17" s="7"/>
      <c r="C17" s="7"/>
      <c r="D17" s="7"/>
      <c r="E17" t="b">
        <f>NOT(ISERROR(MATCH(C17,'Will Usage'!$C$38:$C$500,0)))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IFERROR(__xludf.DUMMYFUNCTION("""COMPUTED_VALUE"""),806)</f>
        <v>806</v>
      </c>
      <c r="C18" s="3" t="str">
        <f ca="1">IFERROR(__xludf.DUMMYFUNCTION("""COMPUTED_VALUE"""),"Los Angeles Rams")</f>
        <v>Los Angeles Rams</v>
      </c>
      <c r="D18" s="3" t="str">
        <f ca="1">IFERROR(__xludf.DUMMYFUNCTION("""COMPUTED_VALUE"""),"D/ST")</f>
        <v>D/ST</v>
      </c>
      <c r="E18" t="b">
        <f ca="1">NOT(ISERROR(MATCH(C18,'Will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IFERROR(__xludf.DUMMYFUNCTION("""COMPUTED_VALUE"""),853)</f>
        <v>853</v>
      </c>
      <c r="C19" s="3" t="str">
        <f ca="1">IFERROR(__xludf.DUMMYFUNCTION("""COMPUTED_VALUE"""),"Jason Myers")</f>
        <v>Jason Myers</v>
      </c>
      <c r="D19" s="3" t="str">
        <f ca="1">IFERROR(__xludf.DUMMYFUNCTION("""COMPUTED_VALUE"""),"K")</f>
        <v>K</v>
      </c>
      <c r="E19" t="b">
        <f ca="1">NOT(ISERROR(MATCH(C19,'Will Usage'!$C$38:$C$500,0)))</f>
        <v>0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IFERROR(__xludf.DUMMYFUNCTION("""COMPUTED_VALUE"""),832)</f>
        <v>832</v>
      </c>
      <c r="C20" s="3" t="str">
        <f ca="1">IFERROR(__xludf.DUMMYFUNCTION("""COMPUTED_VALUE"""),"Mason Crosby")</f>
        <v>Mason Crosby</v>
      </c>
      <c r="D20" s="3" t="str">
        <f ca="1">IFERROR(__xludf.DUMMYFUNCTION("""COMPUTED_VALUE"""),"K")</f>
        <v>K</v>
      </c>
      <c r="E20" t="b">
        <f ca="1">NOT(ISERROR(MATCH(C20,'Will Usage'!$C$38:$C$500,0)))</f>
        <v>0</v>
      </c>
      <c r="F20" s="21"/>
    </row>
    <row r="21" spans="1:12" x14ac:dyDescent="0.15">
      <c r="A21" s="16">
        <f t="shared" si="1"/>
        <v>20</v>
      </c>
      <c r="B21" s="3"/>
      <c r="C21" s="3"/>
      <c r="D21" s="3"/>
      <c r="E21" t="b">
        <f>NOT(ISERROR(MATCH(C21,'Will Usage'!$C$38:$C$500,0)))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908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1061" priority="347">
      <formula>E5=1</formula>
    </cfRule>
  </conditionalFormatting>
  <conditionalFormatting sqref="B24:C25 C23">
    <cfRule type="expression" dxfId="1060" priority="346">
      <formula>E23=1</formula>
    </cfRule>
  </conditionalFormatting>
  <conditionalFormatting sqref="C23:C25">
    <cfRule type="expression" dxfId="1059" priority="345">
      <formula>E23=1</formula>
    </cfRule>
  </conditionalFormatting>
  <conditionalFormatting sqref="H2">
    <cfRule type="expression" dxfId="1058" priority="344">
      <formula>$H$2&gt;=3</formula>
    </cfRule>
  </conditionalFormatting>
  <conditionalFormatting sqref="H3">
    <cfRule type="expression" dxfId="1057" priority="343">
      <formula>$H$3&gt;=4</formula>
    </cfRule>
  </conditionalFormatting>
  <conditionalFormatting sqref="H4">
    <cfRule type="expression" dxfId="1056" priority="342">
      <formula>$H$4&gt;=4</formula>
    </cfRule>
  </conditionalFormatting>
  <conditionalFormatting sqref="H5">
    <cfRule type="expression" dxfId="1055" priority="341">
      <formula>$H$5&gt;=3</formula>
    </cfRule>
  </conditionalFormatting>
  <conditionalFormatting sqref="H6">
    <cfRule type="expression" dxfId="1054" priority="340">
      <formula>$H$6&gt;=3</formula>
    </cfRule>
  </conditionalFormatting>
  <conditionalFormatting sqref="H7">
    <cfRule type="expression" dxfId="1053" priority="339">
      <formula>$H$7&gt;=3</formula>
    </cfRule>
  </conditionalFormatting>
  <conditionalFormatting sqref="D23">
    <cfRule type="expression" dxfId="1052" priority="338">
      <formula>H21=1</formula>
    </cfRule>
  </conditionalFormatting>
  <conditionalFormatting sqref="A2:A3">
    <cfRule type="expression" dxfId="1051" priority="348">
      <formula>E3=1</formula>
    </cfRule>
  </conditionalFormatting>
  <conditionalFormatting sqref="D23">
    <cfRule type="expression" dxfId="1050" priority="337">
      <formula>G21=1</formula>
    </cfRule>
  </conditionalFormatting>
  <conditionalFormatting sqref="A20 A22">
    <cfRule type="expression" dxfId="1049" priority="349">
      <formula>#REF!=1</formula>
    </cfRule>
  </conditionalFormatting>
  <conditionalFormatting sqref="A4">
    <cfRule type="expression" dxfId="1048" priority="350">
      <formula>#REF!=1</formula>
    </cfRule>
  </conditionalFormatting>
  <conditionalFormatting sqref="A16:A17">
    <cfRule type="expression" dxfId="1047" priority="351">
      <formula>F16=1</formula>
    </cfRule>
  </conditionalFormatting>
  <conditionalFormatting sqref="A21 A19">
    <cfRule type="expression" dxfId="1046" priority="352">
      <formula>F18=1</formula>
    </cfRule>
  </conditionalFormatting>
  <conditionalFormatting sqref="A18">
    <cfRule type="expression" dxfId="1045" priority="353">
      <formula>F21=1</formula>
    </cfRule>
  </conditionalFormatting>
  <conditionalFormatting sqref="A23:B23">
    <cfRule type="expression" dxfId="1044" priority="336">
      <formula>E23=1</formula>
    </cfRule>
  </conditionalFormatting>
  <conditionalFormatting sqref="B23">
    <cfRule type="expression" dxfId="1043" priority="335">
      <formula>E23=1</formula>
    </cfRule>
  </conditionalFormatting>
  <conditionalFormatting sqref="B30:D30">
    <cfRule type="expression" dxfId="1042" priority="334">
      <formula>F30=1</formula>
    </cfRule>
  </conditionalFormatting>
  <conditionalFormatting sqref="B30:D30">
    <cfRule type="expression" dxfId="1041" priority="333">
      <formula>E30=1</formula>
    </cfRule>
  </conditionalFormatting>
  <conditionalFormatting sqref="C30">
    <cfRule type="expression" dxfId="1040" priority="332">
      <formula>E30=1</formula>
    </cfRule>
  </conditionalFormatting>
  <conditionalFormatting sqref="D30">
    <cfRule type="expression" dxfId="1039" priority="331">
      <formula>E30=1</formula>
    </cfRule>
  </conditionalFormatting>
  <conditionalFormatting sqref="B31:D31">
    <cfRule type="expression" dxfId="1038" priority="330">
      <formula>F31=1</formula>
    </cfRule>
  </conditionalFormatting>
  <conditionalFormatting sqref="B31:D31">
    <cfRule type="expression" dxfId="1037" priority="329">
      <formula>E31=1</formula>
    </cfRule>
  </conditionalFormatting>
  <conditionalFormatting sqref="C31">
    <cfRule type="expression" dxfId="1036" priority="328">
      <formula>E31=1</formula>
    </cfRule>
  </conditionalFormatting>
  <conditionalFormatting sqref="D31">
    <cfRule type="expression" dxfId="1035" priority="327">
      <formula>E31=1</formula>
    </cfRule>
  </conditionalFormatting>
  <conditionalFormatting sqref="B32:D32">
    <cfRule type="expression" dxfId="1034" priority="326">
      <formula>F32=1</formula>
    </cfRule>
  </conditionalFormatting>
  <conditionalFormatting sqref="B32:D32">
    <cfRule type="expression" dxfId="1033" priority="325">
      <formula>E32=1</formula>
    </cfRule>
  </conditionalFormatting>
  <conditionalFormatting sqref="C32">
    <cfRule type="expression" dxfId="1032" priority="324">
      <formula>E32=1</formula>
    </cfRule>
  </conditionalFormatting>
  <conditionalFormatting sqref="D32">
    <cfRule type="expression" dxfId="1031" priority="323">
      <formula>E32=1</formula>
    </cfRule>
  </conditionalFormatting>
  <conditionalFormatting sqref="B33:D33">
    <cfRule type="expression" dxfId="1030" priority="322">
      <formula>F33=1</formula>
    </cfRule>
  </conditionalFormatting>
  <conditionalFormatting sqref="B33:D33">
    <cfRule type="expression" dxfId="1029" priority="321">
      <formula>E33=1</formula>
    </cfRule>
  </conditionalFormatting>
  <conditionalFormatting sqref="C33">
    <cfRule type="expression" dxfId="1028" priority="320">
      <formula>E33=1</formula>
    </cfRule>
  </conditionalFormatting>
  <conditionalFormatting sqref="D33">
    <cfRule type="expression" dxfId="1027" priority="319">
      <formula>E33=1</formula>
    </cfRule>
  </conditionalFormatting>
  <conditionalFormatting sqref="F11:H11">
    <cfRule type="expression" dxfId="1026" priority="318">
      <formula>J11=1</formula>
    </cfRule>
  </conditionalFormatting>
  <conditionalFormatting sqref="F11:H11">
    <cfRule type="expression" dxfId="1025" priority="317">
      <formula>I11=1</formula>
    </cfRule>
  </conditionalFormatting>
  <conditionalFormatting sqref="G11">
    <cfRule type="expression" dxfId="1024" priority="316">
      <formula>I11=1</formula>
    </cfRule>
  </conditionalFormatting>
  <conditionalFormatting sqref="H11">
    <cfRule type="expression" dxfId="1023" priority="315">
      <formula>I11=1</formula>
    </cfRule>
  </conditionalFormatting>
  <conditionalFormatting sqref="H11">
    <cfRule type="expression" dxfId="1022" priority="311">
      <formula>I11=1</formula>
    </cfRule>
  </conditionalFormatting>
  <conditionalFormatting sqref="F11:H11">
    <cfRule type="expression" dxfId="1021" priority="314">
      <formula>J11=1</formula>
    </cfRule>
  </conditionalFormatting>
  <conditionalFormatting sqref="F11:H11">
    <cfRule type="expression" dxfId="1020" priority="313">
      <formula>I11=1</formula>
    </cfRule>
  </conditionalFormatting>
  <conditionalFormatting sqref="G11">
    <cfRule type="expression" dxfId="1019" priority="312">
      <formula>I11=1</formula>
    </cfRule>
  </conditionalFormatting>
  <conditionalFormatting sqref="B28:D28">
    <cfRule type="expression" dxfId="1018" priority="294">
      <formula>F28=1</formula>
    </cfRule>
  </conditionalFormatting>
  <conditionalFormatting sqref="B28:D28">
    <cfRule type="expression" dxfId="1017" priority="293">
      <formula>E28=1</formula>
    </cfRule>
  </conditionalFormatting>
  <conditionalFormatting sqref="C28">
    <cfRule type="expression" dxfId="1016" priority="292">
      <formula>E28=1</formula>
    </cfRule>
  </conditionalFormatting>
  <conditionalFormatting sqref="D28">
    <cfRule type="expression" dxfId="1015" priority="291">
      <formula>E28=1</formula>
    </cfRule>
  </conditionalFormatting>
  <conditionalFormatting sqref="B29:D29">
    <cfRule type="expression" dxfId="1014" priority="290">
      <formula>F29=1</formula>
    </cfRule>
  </conditionalFormatting>
  <conditionalFormatting sqref="B29:D29">
    <cfRule type="expression" dxfId="1013" priority="289">
      <formula>E29=1</formula>
    </cfRule>
  </conditionalFormatting>
  <conditionalFormatting sqref="C29">
    <cfRule type="expression" dxfId="1012" priority="288">
      <formula>E29=1</formula>
    </cfRule>
  </conditionalFormatting>
  <conditionalFormatting sqref="D29">
    <cfRule type="expression" dxfId="1011" priority="287">
      <formula>E29=1</formula>
    </cfRule>
  </conditionalFormatting>
  <conditionalFormatting sqref="C26:D26">
    <cfRule type="expression" dxfId="1010" priority="282">
      <formula>G26=1</formula>
    </cfRule>
  </conditionalFormatting>
  <conditionalFormatting sqref="D26">
    <cfRule type="expression" dxfId="1009" priority="281">
      <formula>G26=1</formula>
    </cfRule>
  </conditionalFormatting>
  <conditionalFormatting sqref="B26">
    <cfRule type="expression" dxfId="1008" priority="283">
      <formula>F9=1</formula>
    </cfRule>
  </conditionalFormatting>
  <conditionalFormatting sqref="B26:C26">
    <cfRule type="expression" dxfId="1007" priority="284">
      <formula>E9=1</formula>
    </cfRule>
  </conditionalFormatting>
  <conditionalFormatting sqref="C26">
    <cfRule type="expression" dxfId="1006" priority="285">
      <formula>E9=1</formula>
    </cfRule>
  </conditionalFormatting>
  <conditionalFormatting sqref="D26">
    <cfRule type="expression" dxfId="1005" priority="286">
      <formula>E9=1</formula>
    </cfRule>
  </conditionalFormatting>
  <conditionalFormatting sqref="B27:C27">
    <cfRule type="expression" dxfId="1004" priority="279">
      <formula>F27=1</formula>
    </cfRule>
  </conditionalFormatting>
  <conditionalFormatting sqref="B27:D27">
    <cfRule type="expression" dxfId="1003" priority="278">
      <formula>E27=1</formula>
    </cfRule>
  </conditionalFormatting>
  <conditionalFormatting sqref="C27">
    <cfRule type="expression" dxfId="1002" priority="277">
      <formula>E27=1</formula>
    </cfRule>
  </conditionalFormatting>
  <conditionalFormatting sqref="D27">
    <cfRule type="expression" dxfId="1001" priority="276">
      <formula>E27=1</formula>
    </cfRule>
  </conditionalFormatting>
  <conditionalFormatting sqref="D27">
    <cfRule type="expression" dxfId="1000" priority="280">
      <formula>H26=1</formula>
    </cfRule>
  </conditionalFormatting>
  <conditionalFormatting sqref="B21:D21">
    <cfRule type="expression" dxfId="999" priority="244">
      <formula>F21=1</formula>
    </cfRule>
  </conditionalFormatting>
  <conditionalFormatting sqref="B21:D21">
    <cfRule type="expression" dxfId="998" priority="243">
      <formula>E21=1</formula>
    </cfRule>
  </conditionalFormatting>
  <conditionalFormatting sqref="C21">
    <cfRule type="expression" dxfId="997" priority="242">
      <formula>E21=1</formula>
    </cfRule>
  </conditionalFormatting>
  <conditionalFormatting sqref="D21">
    <cfRule type="expression" dxfId="996" priority="241">
      <formula>E21=1</formula>
    </cfRule>
  </conditionalFormatting>
  <conditionalFormatting sqref="B9:D9">
    <cfRule type="expression" dxfId="995" priority="170">
      <formula>F9=1</formula>
    </cfRule>
  </conditionalFormatting>
  <conditionalFormatting sqref="B9:D9">
    <cfRule type="expression" dxfId="994" priority="169">
      <formula>E9=1</formula>
    </cfRule>
  </conditionalFormatting>
  <conditionalFormatting sqref="C9">
    <cfRule type="expression" dxfId="993" priority="168">
      <formula>E9=1</formula>
    </cfRule>
  </conditionalFormatting>
  <conditionalFormatting sqref="D9">
    <cfRule type="expression" dxfId="992" priority="167">
      <formula>E9=1</formula>
    </cfRule>
  </conditionalFormatting>
  <conditionalFormatting sqref="B12:D12">
    <cfRule type="expression" dxfId="991" priority="166">
      <formula>F12=1</formula>
    </cfRule>
  </conditionalFormatting>
  <conditionalFormatting sqref="B12:D12">
    <cfRule type="expression" dxfId="990" priority="165">
      <formula>E12=1</formula>
    </cfRule>
  </conditionalFormatting>
  <conditionalFormatting sqref="C12">
    <cfRule type="expression" dxfId="989" priority="164">
      <formula>E12=1</formula>
    </cfRule>
  </conditionalFormatting>
  <conditionalFormatting sqref="D12">
    <cfRule type="expression" dxfId="988" priority="163">
      <formula>E12=1</formula>
    </cfRule>
  </conditionalFormatting>
  <conditionalFormatting sqref="D9">
    <cfRule type="expression" dxfId="987" priority="155">
      <formula>E9=1</formula>
    </cfRule>
  </conditionalFormatting>
  <conditionalFormatting sqref="B9:D9">
    <cfRule type="expression" dxfId="986" priority="158">
      <formula>F9=1</formula>
    </cfRule>
  </conditionalFormatting>
  <conditionalFormatting sqref="B9:D9">
    <cfRule type="expression" dxfId="985" priority="157">
      <formula>E9=1</formula>
    </cfRule>
  </conditionalFormatting>
  <conditionalFormatting sqref="C9">
    <cfRule type="expression" dxfId="984" priority="156">
      <formula>E9=1</formula>
    </cfRule>
  </conditionalFormatting>
  <conditionalFormatting sqref="B22:D22">
    <cfRule type="expression" dxfId="983" priority="142">
      <formula>F22=1</formula>
    </cfRule>
  </conditionalFormatting>
  <conditionalFormatting sqref="B22:D22">
    <cfRule type="expression" dxfId="982" priority="141">
      <formula>E22=1</formula>
    </cfRule>
  </conditionalFormatting>
  <conditionalFormatting sqref="C22">
    <cfRule type="expression" dxfId="981" priority="140">
      <formula>E22=1</formula>
    </cfRule>
  </conditionalFormatting>
  <conditionalFormatting sqref="D22">
    <cfRule type="expression" dxfId="980" priority="139">
      <formula>E22=1</formula>
    </cfRule>
  </conditionalFormatting>
  <conditionalFormatting sqref="B13:D13">
    <cfRule type="expression" dxfId="979" priority="138">
      <formula>F13=1</formula>
    </cfRule>
  </conditionalFormatting>
  <conditionalFormatting sqref="B13:D13">
    <cfRule type="expression" dxfId="978" priority="137">
      <formula>E13=1</formula>
    </cfRule>
  </conditionalFormatting>
  <conditionalFormatting sqref="C13">
    <cfRule type="expression" dxfId="977" priority="136">
      <formula>E13=1</formula>
    </cfRule>
  </conditionalFormatting>
  <conditionalFormatting sqref="D13">
    <cfRule type="expression" dxfId="976" priority="135">
      <formula>E13=1</formula>
    </cfRule>
  </conditionalFormatting>
  <conditionalFormatting sqref="B3:C3">
    <cfRule type="expression" dxfId="975" priority="121">
      <formula>F3=1</formula>
    </cfRule>
  </conditionalFormatting>
  <conditionalFormatting sqref="B3:D3">
    <cfRule type="expression" dxfId="974" priority="120">
      <formula>E3=1</formula>
    </cfRule>
  </conditionalFormatting>
  <conditionalFormatting sqref="C3">
    <cfRule type="expression" dxfId="973" priority="119">
      <formula>E3=1</formula>
    </cfRule>
  </conditionalFormatting>
  <conditionalFormatting sqref="D3">
    <cfRule type="expression" dxfId="972" priority="118">
      <formula>E3=1</formula>
    </cfRule>
  </conditionalFormatting>
  <conditionalFormatting sqref="D3">
    <cfRule type="expression" dxfId="971" priority="122">
      <formula>H2=1</formula>
    </cfRule>
  </conditionalFormatting>
  <conditionalFormatting sqref="B3:D3">
    <cfRule type="expression" dxfId="970" priority="108">
      <formula>F3=1</formula>
    </cfRule>
  </conditionalFormatting>
  <conditionalFormatting sqref="B3:D3">
    <cfRule type="expression" dxfId="969" priority="107">
      <formula>E3=1</formula>
    </cfRule>
  </conditionalFormatting>
  <conditionalFormatting sqref="C3">
    <cfRule type="expression" dxfId="968" priority="106">
      <formula>E3=1</formula>
    </cfRule>
  </conditionalFormatting>
  <conditionalFormatting sqref="D3">
    <cfRule type="expression" dxfId="967" priority="105">
      <formula>E3=1</formula>
    </cfRule>
  </conditionalFormatting>
  <conditionalFormatting sqref="B19:D19">
    <cfRule type="expression" dxfId="966" priority="104">
      <formula>F19=1</formula>
    </cfRule>
  </conditionalFormatting>
  <conditionalFormatting sqref="B19:D19">
    <cfRule type="expression" dxfId="965" priority="103">
      <formula>E19=1</formula>
    </cfRule>
  </conditionalFormatting>
  <conditionalFormatting sqref="C19">
    <cfRule type="expression" dxfId="964" priority="102">
      <formula>E19=1</formula>
    </cfRule>
  </conditionalFormatting>
  <conditionalFormatting sqref="D19">
    <cfRule type="expression" dxfId="963" priority="101">
      <formula>E19=1</formula>
    </cfRule>
  </conditionalFormatting>
  <conditionalFormatting sqref="B20:D20">
    <cfRule type="expression" dxfId="962" priority="100">
      <formula>F20=1</formula>
    </cfRule>
  </conditionalFormatting>
  <conditionalFormatting sqref="B20:D20">
    <cfRule type="expression" dxfId="961" priority="99">
      <formula>E20=1</formula>
    </cfRule>
  </conditionalFormatting>
  <conditionalFormatting sqref="C20">
    <cfRule type="expression" dxfId="960" priority="98">
      <formula>E20=1</formula>
    </cfRule>
  </conditionalFormatting>
  <conditionalFormatting sqref="D20">
    <cfRule type="expression" dxfId="959" priority="97">
      <formula>E20=1</formula>
    </cfRule>
  </conditionalFormatting>
  <conditionalFormatting sqref="B17:C17">
    <cfRule type="expression" dxfId="958" priority="95">
      <formula>F17=1</formula>
    </cfRule>
  </conditionalFormatting>
  <conditionalFormatting sqref="B17:D17">
    <cfRule type="expression" dxfId="957" priority="94">
      <formula>E17=1</formula>
    </cfRule>
  </conditionalFormatting>
  <conditionalFormatting sqref="C17">
    <cfRule type="expression" dxfId="956" priority="93">
      <formula>E17=1</formula>
    </cfRule>
  </conditionalFormatting>
  <conditionalFormatting sqref="D17">
    <cfRule type="expression" dxfId="955" priority="92">
      <formula>E17=1</formula>
    </cfRule>
  </conditionalFormatting>
  <conditionalFormatting sqref="D17">
    <cfRule type="expression" dxfId="954" priority="96">
      <formula>I17=1</formula>
    </cfRule>
  </conditionalFormatting>
  <conditionalFormatting sqref="B18:D18">
    <cfRule type="expression" dxfId="953" priority="91">
      <formula>F18=1</formula>
    </cfRule>
  </conditionalFormatting>
  <conditionalFormatting sqref="B18:D18">
    <cfRule type="expression" dxfId="952" priority="90">
      <formula>E18=1</formula>
    </cfRule>
  </conditionalFormatting>
  <conditionalFormatting sqref="C18">
    <cfRule type="expression" dxfId="951" priority="89">
      <formula>E18=1</formula>
    </cfRule>
  </conditionalFormatting>
  <conditionalFormatting sqref="D18">
    <cfRule type="expression" dxfId="950" priority="88">
      <formula>E18=1</formula>
    </cfRule>
  </conditionalFormatting>
  <conditionalFormatting sqref="B10:D10">
    <cfRule type="expression" dxfId="949" priority="87">
      <formula>F10=1</formula>
    </cfRule>
  </conditionalFormatting>
  <conditionalFormatting sqref="B10:D10">
    <cfRule type="expression" dxfId="948" priority="86">
      <formula>E10=1</formula>
    </cfRule>
  </conditionalFormatting>
  <conditionalFormatting sqref="C10">
    <cfRule type="expression" dxfId="947" priority="85">
      <formula>E10=1</formula>
    </cfRule>
  </conditionalFormatting>
  <conditionalFormatting sqref="D10">
    <cfRule type="expression" dxfId="946" priority="84">
      <formula>E10=1</formula>
    </cfRule>
  </conditionalFormatting>
  <conditionalFormatting sqref="B11:D11">
    <cfRule type="expression" dxfId="945" priority="83">
      <formula>F11=1</formula>
    </cfRule>
  </conditionalFormatting>
  <conditionalFormatting sqref="B11:D11">
    <cfRule type="expression" dxfId="944" priority="82">
      <formula>E11=1</formula>
    </cfRule>
  </conditionalFormatting>
  <conditionalFormatting sqref="C11">
    <cfRule type="expression" dxfId="943" priority="81">
      <formula>E11=1</formula>
    </cfRule>
  </conditionalFormatting>
  <conditionalFormatting sqref="D11">
    <cfRule type="expression" dxfId="942" priority="80">
      <formula>E11=1</formula>
    </cfRule>
  </conditionalFormatting>
  <conditionalFormatting sqref="B15:D15">
    <cfRule type="expression" dxfId="941" priority="75">
      <formula>F15=1</formula>
    </cfRule>
  </conditionalFormatting>
  <conditionalFormatting sqref="B15:D15">
    <cfRule type="expression" dxfId="940" priority="74">
      <formula>E15=1</formula>
    </cfRule>
  </conditionalFormatting>
  <conditionalFormatting sqref="C15">
    <cfRule type="expression" dxfId="939" priority="73">
      <formula>E15=1</formula>
    </cfRule>
  </conditionalFormatting>
  <conditionalFormatting sqref="D15">
    <cfRule type="expression" dxfId="938" priority="72">
      <formula>E15=1</formula>
    </cfRule>
  </conditionalFormatting>
  <conditionalFormatting sqref="D4">
    <cfRule type="expression" dxfId="937" priority="64">
      <formula>E4=1</formula>
    </cfRule>
  </conditionalFormatting>
  <conditionalFormatting sqref="B4:D4">
    <cfRule type="expression" dxfId="936" priority="67">
      <formula>F4=1</formula>
    </cfRule>
  </conditionalFormatting>
  <conditionalFormatting sqref="B4:D4">
    <cfRule type="expression" dxfId="935" priority="66">
      <formula>E4=1</formula>
    </cfRule>
  </conditionalFormatting>
  <conditionalFormatting sqref="C4">
    <cfRule type="expression" dxfId="934" priority="65">
      <formula>E4=1</formula>
    </cfRule>
  </conditionalFormatting>
  <conditionalFormatting sqref="D5">
    <cfRule type="expression" dxfId="933" priority="60">
      <formula>E5=1</formula>
    </cfRule>
  </conditionalFormatting>
  <conditionalFormatting sqref="B5:D5">
    <cfRule type="expression" dxfId="932" priority="63">
      <formula>F5=1</formula>
    </cfRule>
  </conditionalFormatting>
  <conditionalFormatting sqref="B5:D5">
    <cfRule type="expression" dxfId="931" priority="62">
      <formula>E5=1</formula>
    </cfRule>
  </conditionalFormatting>
  <conditionalFormatting sqref="C5">
    <cfRule type="expression" dxfId="930" priority="61">
      <formula>E5=1</formula>
    </cfRule>
  </conditionalFormatting>
  <conditionalFormatting sqref="D6">
    <cfRule type="expression" dxfId="929" priority="56">
      <formula>E6=1</formula>
    </cfRule>
  </conditionalFormatting>
  <conditionalFormatting sqref="B6:D6">
    <cfRule type="expression" dxfId="928" priority="59">
      <formula>F6=1</formula>
    </cfRule>
  </conditionalFormatting>
  <conditionalFormatting sqref="B6:D6">
    <cfRule type="expression" dxfId="927" priority="58">
      <formula>E6=1</formula>
    </cfRule>
  </conditionalFormatting>
  <conditionalFormatting sqref="C6">
    <cfRule type="expression" dxfId="926" priority="57">
      <formula>E6=1</formula>
    </cfRule>
  </conditionalFormatting>
  <conditionalFormatting sqref="B7:D7">
    <cfRule type="expression" dxfId="925" priority="55">
      <formula>F7=1</formula>
    </cfRule>
  </conditionalFormatting>
  <conditionalFormatting sqref="B7:D7">
    <cfRule type="expression" dxfId="924" priority="54">
      <formula>E7=1</formula>
    </cfRule>
  </conditionalFormatting>
  <conditionalFormatting sqref="C7">
    <cfRule type="expression" dxfId="923" priority="53">
      <formula>E7=1</formula>
    </cfRule>
  </conditionalFormatting>
  <conditionalFormatting sqref="D7">
    <cfRule type="expression" dxfId="922" priority="52">
      <formula>E7=1</formula>
    </cfRule>
  </conditionalFormatting>
  <conditionalFormatting sqref="B8:D8">
    <cfRule type="expression" dxfId="921" priority="51">
      <formula>F8=1</formula>
    </cfRule>
  </conditionalFormatting>
  <conditionalFormatting sqref="B8:D8">
    <cfRule type="expression" dxfId="920" priority="50">
      <formula>E8=1</formula>
    </cfRule>
  </conditionalFormatting>
  <conditionalFormatting sqref="C8">
    <cfRule type="expression" dxfId="919" priority="49">
      <formula>E8=1</formula>
    </cfRule>
  </conditionalFormatting>
  <conditionalFormatting sqref="D8">
    <cfRule type="expression" dxfId="918" priority="48">
      <formula>E8=1</formula>
    </cfRule>
  </conditionalFormatting>
  <conditionalFormatting sqref="B16:D16">
    <cfRule type="expression" dxfId="917" priority="47">
      <formula>F16=1</formula>
    </cfRule>
  </conditionalFormatting>
  <conditionalFormatting sqref="B16:D16">
    <cfRule type="expression" dxfId="916" priority="46">
      <formula>E16=1</formula>
    </cfRule>
  </conditionalFormatting>
  <conditionalFormatting sqref="C16">
    <cfRule type="expression" dxfId="915" priority="45">
      <formula>E16=1</formula>
    </cfRule>
  </conditionalFormatting>
  <conditionalFormatting sqref="D16">
    <cfRule type="expression" dxfId="914" priority="44">
      <formula>E16=1</formula>
    </cfRule>
  </conditionalFormatting>
  <conditionalFormatting sqref="B3:D3">
    <cfRule type="expression" dxfId="913" priority="43">
      <formula>F3=1</formula>
    </cfRule>
  </conditionalFormatting>
  <conditionalFormatting sqref="B3:D3">
    <cfRule type="expression" dxfId="912" priority="42">
      <formula>E3=1</formula>
    </cfRule>
  </conditionalFormatting>
  <conditionalFormatting sqref="C3">
    <cfRule type="expression" dxfId="911" priority="41">
      <formula>E3=1</formula>
    </cfRule>
  </conditionalFormatting>
  <conditionalFormatting sqref="D3">
    <cfRule type="expression" dxfId="910" priority="40">
      <formula>E3=1</formula>
    </cfRule>
  </conditionalFormatting>
  <conditionalFormatting sqref="B4:C4">
    <cfRule type="expression" dxfId="909" priority="38">
      <formula>F4=1</formula>
    </cfRule>
  </conditionalFormatting>
  <conditionalFormatting sqref="B4:D4">
    <cfRule type="expression" dxfId="908" priority="37">
      <formula>E4=1</formula>
    </cfRule>
  </conditionalFormatting>
  <conditionalFormatting sqref="C4">
    <cfRule type="expression" dxfId="907" priority="36">
      <formula>E4=1</formula>
    </cfRule>
  </conditionalFormatting>
  <conditionalFormatting sqref="D4">
    <cfRule type="expression" dxfId="906" priority="35">
      <formula>E4=1</formula>
    </cfRule>
  </conditionalFormatting>
  <conditionalFormatting sqref="D4">
    <cfRule type="expression" dxfId="905" priority="39">
      <formula>H3=1</formula>
    </cfRule>
  </conditionalFormatting>
  <conditionalFormatting sqref="B3:C3">
    <cfRule type="expression" dxfId="904" priority="33">
      <formula>F3=1</formula>
    </cfRule>
  </conditionalFormatting>
  <conditionalFormatting sqref="B3:D3">
    <cfRule type="expression" dxfId="903" priority="32">
      <formula>E3=1</formula>
    </cfRule>
  </conditionalFormatting>
  <conditionalFormatting sqref="C3">
    <cfRule type="expression" dxfId="902" priority="31">
      <formula>E3=1</formula>
    </cfRule>
  </conditionalFormatting>
  <conditionalFormatting sqref="D3">
    <cfRule type="expression" dxfId="901" priority="30">
      <formula>E3=1</formula>
    </cfRule>
  </conditionalFormatting>
  <conditionalFormatting sqref="D3">
    <cfRule type="expression" dxfId="900" priority="34">
      <formula>H2=1</formula>
    </cfRule>
  </conditionalFormatting>
  <conditionalFormatting sqref="B4:D4">
    <cfRule type="expression" dxfId="899" priority="29">
      <formula>F4=1</formula>
    </cfRule>
  </conditionalFormatting>
  <conditionalFormatting sqref="B4:D4">
    <cfRule type="expression" dxfId="898" priority="28">
      <formula>E4=1</formula>
    </cfRule>
  </conditionalFormatting>
  <conditionalFormatting sqref="C4">
    <cfRule type="expression" dxfId="897" priority="27">
      <formula>E4=1</formula>
    </cfRule>
  </conditionalFormatting>
  <conditionalFormatting sqref="D4">
    <cfRule type="expression" dxfId="896" priority="26">
      <formula>E4=1</formula>
    </cfRule>
  </conditionalFormatting>
  <conditionalFormatting sqref="D5">
    <cfRule type="expression" dxfId="895" priority="22">
      <formula>E5=1</formula>
    </cfRule>
  </conditionalFormatting>
  <conditionalFormatting sqref="B5:D5">
    <cfRule type="expression" dxfId="894" priority="25">
      <formula>F5=1</formula>
    </cfRule>
  </conditionalFormatting>
  <conditionalFormatting sqref="B5:D5">
    <cfRule type="expression" dxfId="893" priority="24">
      <formula>E5=1</formula>
    </cfRule>
  </conditionalFormatting>
  <conditionalFormatting sqref="C5">
    <cfRule type="expression" dxfId="892" priority="23">
      <formula>E5=1</formula>
    </cfRule>
  </conditionalFormatting>
  <conditionalFormatting sqref="D6">
    <cfRule type="expression" dxfId="891" priority="18">
      <formula>E6=1</formula>
    </cfRule>
  </conditionalFormatting>
  <conditionalFormatting sqref="B6:D6">
    <cfRule type="expression" dxfId="890" priority="21">
      <formula>F6=1</formula>
    </cfRule>
  </conditionalFormatting>
  <conditionalFormatting sqref="B6:D6">
    <cfRule type="expression" dxfId="889" priority="20">
      <formula>E6=1</formula>
    </cfRule>
  </conditionalFormatting>
  <conditionalFormatting sqref="C6">
    <cfRule type="expression" dxfId="888" priority="19">
      <formula>E6=1</formula>
    </cfRule>
  </conditionalFormatting>
  <conditionalFormatting sqref="D7">
    <cfRule type="expression" dxfId="887" priority="14">
      <formula>E7=1</formula>
    </cfRule>
  </conditionalFormatting>
  <conditionalFormatting sqref="B7:D7">
    <cfRule type="expression" dxfId="886" priority="17">
      <formula>F7=1</formula>
    </cfRule>
  </conditionalFormatting>
  <conditionalFormatting sqref="B7:D7">
    <cfRule type="expression" dxfId="885" priority="16">
      <formula>E7=1</formula>
    </cfRule>
  </conditionalFormatting>
  <conditionalFormatting sqref="C7">
    <cfRule type="expression" dxfId="884" priority="15">
      <formula>E7=1</formula>
    </cfRule>
  </conditionalFormatting>
  <conditionalFormatting sqref="B8:D8">
    <cfRule type="expression" dxfId="883" priority="13">
      <formula>F8=1</formula>
    </cfRule>
  </conditionalFormatting>
  <conditionalFormatting sqref="B8:D8">
    <cfRule type="expression" dxfId="882" priority="12">
      <formula>E8=1</formula>
    </cfRule>
  </conditionalFormatting>
  <conditionalFormatting sqref="C8">
    <cfRule type="expression" dxfId="881" priority="11">
      <formula>E8=1</formula>
    </cfRule>
  </conditionalFormatting>
  <conditionalFormatting sqref="D8">
    <cfRule type="expression" dxfId="880" priority="10">
      <formula>E8=1</formula>
    </cfRule>
  </conditionalFormatting>
  <conditionalFormatting sqref="B9:D9">
    <cfRule type="expression" dxfId="879" priority="9">
      <formula>F9=1</formula>
    </cfRule>
  </conditionalFormatting>
  <conditionalFormatting sqref="B9:D9">
    <cfRule type="expression" dxfId="878" priority="8">
      <formula>E9=1</formula>
    </cfRule>
  </conditionalFormatting>
  <conditionalFormatting sqref="C9">
    <cfRule type="expression" dxfId="877" priority="7">
      <formula>E9=1</formula>
    </cfRule>
  </conditionalFormatting>
  <conditionalFormatting sqref="D9">
    <cfRule type="expression" dxfId="876" priority="6">
      <formula>E9=1</formula>
    </cfRule>
  </conditionalFormatting>
  <conditionalFormatting sqref="B2:C2">
    <cfRule type="expression" dxfId="875" priority="4">
      <formula>F2=1</formula>
    </cfRule>
  </conditionalFormatting>
  <conditionalFormatting sqref="B2:D2">
    <cfRule type="expression" dxfId="874" priority="3">
      <formula>E2=1</formula>
    </cfRule>
  </conditionalFormatting>
  <conditionalFormatting sqref="C2">
    <cfRule type="expression" dxfId="873" priority="2">
      <formula>E2=1</formula>
    </cfRule>
  </conditionalFormatting>
  <conditionalFormatting sqref="D2">
    <cfRule type="expression" dxfId="872" priority="1">
      <formula>E2=1</formula>
    </cfRule>
  </conditionalFormatting>
  <conditionalFormatting sqref="D2">
    <cfRule type="expression" dxfId="871" priority="5">
      <formula>I2=1</formula>
    </cfRule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5D17-CE1F-4B6C-A39A-1A9C3D6C1D87}">
  <dimension ref="A1:M33"/>
  <sheetViews>
    <sheetView showGridLines="0" workbookViewId="0">
      <selection activeCell="B2" sqref="B2"/>
    </sheetView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IFERROR(__xludf.DUMMYFUNCTION("""COMPUTED_VALUE"""),558)</f>
        <v>558</v>
      </c>
      <c r="C2" s="3" t="str">
        <f ca="1">IFERROR(__xludf.DUMMYFUNCTION("""COMPUTED_VALUE"""),"Michael Gallup")</f>
        <v>Michael Gallup</v>
      </c>
      <c r="D2" s="3" t="str">
        <f ca="1">IFERROR(__xludf.DUMMYFUNCTION("""COMPUTED_VALUE"""),"WR")</f>
        <v>WR</v>
      </c>
      <c r="E2" t="b">
        <f ca="1">NOT(ISERROR(MATCH(C2,'Keyur Usage'!$C$38:$C$500,0)))</f>
        <v>0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766</v>
      </c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IFERROR(__xludf.DUMMYFUNCTION("""COMPUTED_VALUE"""),773)</f>
        <v>773</v>
      </c>
      <c r="C3" s="3" t="str">
        <f ca="1">IFERROR(__xludf.DUMMYFUNCTION("""COMPUTED_VALUE"""),"Gardner Minshew")</f>
        <v>Gardner Minshew</v>
      </c>
      <c r="D3" s="3" t="str">
        <f ca="1">IFERROR(__xludf.DUMMYFUNCTION("""COMPUTED_VALUE"""),"QB")</f>
        <v>QB</v>
      </c>
      <c r="E3" t="b">
        <f ca="1">NOT(ISERROR(MATCH(C3,'Keyur Usage'!$C$38:$C$500,0)))</f>
        <v>1</v>
      </c>
      <c r="G3" t="s">
        <v>8</v>
      </c>
      <c r="H3" s="26">
        <f t="shared" ca="1" si="0"/>
        <v>4</v>
      </c>
      <c r="J3" s="21" t="s">
        <v>881</v>
      </c>
      <c r="K3" s="30" t="s">
        <v>733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IFERROR(__xludf.DUMMYFUNCTION("""COMPUTED_VALUE"""),204)</f>
        <v>204</v>
      </c>
      <c r="C4" s="3" t="str">
        <f ca="1">IFERROR(__xludf.DUMMYFUNCTION("""COMPUTED_VALUE"""),"Jimmy Graham")</f>
        <v>Jimmy Graham</v>
      </c>
      <c r="D4" s="3" t="str">
        <f ca="1">IFERROR(__xludf.DUMMYFUNCTION("""COMPUTED_VALUE"""),"TE")</f>
        <v>TE</v>
      </c>
      <c r="E4" t="b">
        <f ca="1">NOT(ISERROR(MATCH(C4,'Keyur Usage'!$C$38:$C$500,0)))</f>
        <v>0</v>
      </c>
      <c r="G4" t="s">
        <v>6</v>
      </c>
      <c r="H4" s="26">
        <f t="shared" ca="1" si="0"/>
        <v>4</v>
      </c>
      <c r="J4" s="21" t="s">
        <v>882</v>
      </c>
      <c r="K4" s="30" t="s">
        <v>405</v>
      </c>
      <c r="L4" s="53"/>
    </row>
    <row r="5" spans="1:13" x14ac:dyDescent="0.15">
      <c r="A5" s="16">
        <f t="shared" si="1"/>
        <v>4</v>
      </c>
      <c r="B5" s="3">
        <f ca="1">IFERROR(__xludf.DUMMYFUNCTION("""COMPUTED_VALUE"""),252)</f>
        <v>252</v>
      </c>
      <c r="C5" s="3" t="str">
        <f ca="1">IFERROR(__xludf.DUMMYFUNCTION("""COMPUTED_VALUE"""),"Latavius Murray")</f>
        <v>Latavius Murray</v>
      </c>
      <c r="D5" s="3" t="str">
        <f ca="1">IFERROR(__xludf.DUMMYFUNCTION("""COMPUTED_VALUE"""),"RB")</f>
        <v>RB</v>
      </c>
      <c r="E5" t="b">
        <f ca="1">NOT(ISERROR(MATCH(C5,'Keyur Usage'!$C$38:$C$500,0)))</f>
        <v>1</v>
      </c>
      <c r="G5" t="s">
        <v>4</v>
      </c>
      <c r="H5" s="26">
        <f t="shared" ca="1" si="0"/>
        <v>3</v>
      </c>
      <c r="J5" s="21" t="s">
        <v>883</v>
      </c>
      <c r="K5" s="30" t="s">
        <v>258</v>
      </c>
    </row>
    <row r="6" spans="1:13" x14ac:dyDescent="0.15">
      <c r="A6" s="16">
        <f t="shared" si="1"/>
        <v>5</v>
      </c>
      <c r="B6" s="3">
        <f ca="1">IFERROR(__xludf.DUMMYFUNCTION("""COMPUTED_VALUE"""),108)</f>
        <v>108</v>
      </c>
      <c r="C6" s="3" t="str">
        <f ca="1">IFERROR(__xludf.DUMMYFUNCTION("""COMPUTED_VALUE"""),"Darren Fells")</f>
        <v>Darren Fells</v>
      </c>
      <c r="D6" s="3" t="str">
        <f ca="1">IFERROR(__xludf.DUMMYFUNCTION("""COMPUTED_VALUE"""),"TE")</f>
        <v>TE</v>
      </c>
      <c r="E6" t="b">
        <f ca="1">NOT(ISERROR(MATCH(C6,'Keyur Usage'!$C$38:$C$500,0)))</f>
        <v>1</v>
      </c>
      <c r="G6" s="21" t="s">
        <v>782</v>
      </c>
      <c r="H6" s="26">
        <f t="shared" ca="1" si="0"/>
        <v>3</v>
      </c>
      <c r="J6" s="21" t="s">
        <v>884</v>
      </c>
      <c r="K6" s="30" t="s">
        <v>265</v>
      </c>
    </row>
    <row r="7" spans="1:13" x14ac:dyDescent="0.15">
      <c r="A7" s="16">
        <f t="shared" si="1"/>
        <v>6</v>
      </c>
      <c r="B7" s="3">
        <f ca="1">IFERROR(__xludf.DUMMYFUNCTION("""COMPUTED_VALUE"""),400)</f>
        <v>400</v>
      </c>
      <c r="C7" s="3" t="str">
        <f ca="1">IFERROR(__xludf.DUMMYFUNCTION("""COMPUTED_VALUE"""),"Tevin Coleman")</f>
        <v>Tevin Coleman</v>
      </c>
      <c r="D7" s="3" t="str">
        <f ca="1">IFERROR(__xludf.DUMMYFUNCTION("""COMPUTED_VALUE"""),"RB")</f>
        <v>RB</v>
      </c>
      <c r="E7" t="b">
        <f ca="1">NOT(ISERROR(MATCH(C7,'Keyur Usage'!$C$38:$C$500,0)))</f>
        <v>1</v>
      </c>
      <c r="G7" s="23" t="s">
        <v>815</v>
      </c>
      <c r="H7" s="27">
        <f t="shared" ca="1" si="0"/>
        <v>3</v>
      </c>
      <c r="J7" s="28" t="s">
        <v>885</v>
      </c>
      <c r="K7" s="30" t="s">
        <v>561</v>
      </c>
    </row>
    <row r="8" spans="1:13" x14ac:dyDescent="0.15">
      <c r="A8" s="16">
        <f t="shared" si="1"/>
        <v>7</v>
      </c>
      <c r="B8" s="3">
        <f ca="1">IFERROR(__xludf.DUMMYFUNCTION("""COMPUTED_VALUE"""),803)</f>
        <v>803</v>
      </c>
      <c r="C8" s="3" t="str">
        <f ca="1">IFERROR(__xludf.DUMMYFUNCTION("""COMPUTED_VALUE"""),"Jacksonville Jaguars")</f>
        <v>Jacksonville Jaguars</v>
      </c>
      <c r="D8" s="3" t="str">
        <f ca="1">IFERROR(__xludf.DUMMYFUNCTION("""COMPUTED_VALUE"""),"D/ST")</f>
        <v>D/ST</v>
      </c>
      <c r="E8" t="b">
        <f ca="1">NOT(ISERROR(MATCH(C8,'Keyur Usage'!$C$38:$C$500,0)))</f>
        <v>0</v>
      </c>
      <c r="J8" s="28" t="s">
        <v>886</v>
      </c>
      <c r="K8" s="31" t="s">
        <v>135</v>
      </c>
      <c r="L8" s="53"/>
    </row>
    <row r="9" spans="1:13" x14ac:dyDescent="0.15">
      <c r="A9" s="16">
        <f t="shared" si="1"/>
        <v>8</v>
      </c>
      <c r="B9" s="3">
        <f ca="1">IFERROR(__xludf.DUMMYFUNCTION("""COMPUTED_VALUE"""),129)</f>
        <v>129</v>
      </c>
      <c r="C9" s="3" t="str">
        <f ca="1">IFERROR(__xludf.DUMMYFUNCTION("""COMPUTED_VALUE"""),"Cooper Kupp")</f>
        <v>Cooper Kupp</v>
      </c>
      <c r="D9" s="3" t="str">
        <f ca="1">IFERROR(__xludf.DUMMYFUNCTION("""COMPUTED_VALUE"""),"WR")</f>
        <v>WR</v>
      </c>
      <c r="E9" t="b">
        <f ca="1">NOT(ISERROR(MATCH(C9,'Keyur Usage'!$C$38:$C$500,0)))</f>
        <v>1</v>
      </c>
      <c r="J9" s="28" t="s">
        <v>887</v>
      </c>
      <c r="K9" s="31" t="s">
        <v>658</v>
      </c>
      <c r="L9" s="53"/>
    </row>
    <row r="10" spans="1:13" x14ac:dyDescent="0.15">
      <c r="A10" s="16">
        <f t="shared" si="1"/>
        <v>9</v>
      </c>
      <c r="B10" s="3">
        <f ca="1">IFERROR(__xludf.DUMMYFUNCTION("""COMPUTED_VALUE"""),665)</f>
        <v>665</v>
      </c>
      <c r="C10" s="3" t="str">
        <f ca="1">IFERROR(__xludf.DUMMYFUNCTION("""COMPUTED_VALUE"""),"Auden Tate")</f>
        <v>Auden Tate</v>
      </c>
      <c r="D10" s="3" t="str">
        <f ca="1">IFERROR(__xludf.DUMMYFUNCTION("""COMPUTED_VALUE"""),"WR")</f>
        <v>WR</v>
      </c>
      <c r="E10" t="b">
        <f ca="1">NOT(ISERROR(MATCH(C10,'Keyur Usage'!$C$38:$C$500,0)))</f>
        <v>0</v>
      </c>
      <c r="J10" s="31" t="s">
        <v>888</v>
      </c>
      <c r="K10" s="31" t="s">
        <v>210</v>
      </c>
    </row>
    <row r="11" spans="1:13" x14ac:dyDescent="0.15">
      <c r="A11" s="16">
        <f t="shared" si="1"/>
        <v>10</v>
      </c>
      <c r="B11" s="3">
        <f ca="1">IFERROR(__xludf.DUMMYFUNCTION("""COMPUTED_VALUE"""),614)</f>
        <v>614</v>
      </c>
      <c r="C11" s="3" t="str">
        <f ca="1">IFERROR(__xludf.DUMMYFUNCTION("""COMPUTED_VALUE"""),"DJ Chark")</f>
        <v>DJ Chark</v>
      </c>
      <c r="D11" s="3" t="str">
        <f ca="1">IFERROR(__xludf.DUMMYFUNCTION("""COMPUTED_VALUE"""),"WR")</f>
        <v>WR</v>
      </c>
      <c r="E11" t="b">
        <f ca="1">NOT(ISERROR(MATCH(C11,'Keyur Usage'!$C$38:$C$500,0)))</f>
        <v>1</v>
      </c>
      <c r="F11" s="3"/>
      <c r="G11" s="3"/>
      <c r="H11" s="3"/>
      <c r="J11" s="31" t="s">
        <v>889</v>
      </c>
      <c r="K11" s="31" t="s">
        <v>114</v>
      </c>
    </row>
    <row r="12" spans="1:13" x14ac:dyDescent="0.15">
      <c r="A12" s="16">
        <f t="shared" si="1"/>
        <v>11</v>
      </c>
      <c r="B12" s="3">
        <f ca="1">IFERROR(__xludf.DUMMYFUNCTION("""COMPUTED_VALUE"""),259)</f>
        <v>259</v>
      </c>
      <c r="C12" s="3" t="str">
        <f ca="1">IFERROR(__xludf.DUMMYFUNCTION("""COMPUTED_VALUE"""),"Leonard Fournette")</f>
        <v>Leonard Fournette</v>
      </c>
      <c r="D12" s="3" t="str">
        <f ca="1">IFERROR(__xludf.DUMMYFUNCTION("""COMPUTED_VALUE"""),"RB")</f>
        <v>RB</v>
      </c>
      <c r="E12" t="b">
        <f ca="1">NOT(ISERROR(MATCH(C12,'Keyur Usage'!$C$38:$C$500,0)))</f>
        <v>1</v>
      </c>
      <c r="J12" s="31" t="s">
        <v>890</v>
      </c>
      <c r="K12" s="31" t="s">
        <v>796</v>
      </c>
    </row>
    <row r="13" spans="1:13" x14ac:dyDescent="0.15">
      <c r="A13" s="16">
        <f t="shared" si="1"/>
        <v>12</v>
      </c>
      <c r="B13" s="3">
        <f ca="1">IFERROR(__xludf.DUMMYFUNCTION("""COMPUTED_VALUE"""),725)</f>
        <v>725</v>
      </c>
      <c r="C13" s="3" t="str">
        <f ca="1">IFERROR(__xludf.DUMMYFUNCTION("""COMPUTED_VALUE"""),"Darrell Henderson")</f>
        <v>Darrell Henderson</v>
      </c>
      <c r="D13" s="3" t="str">
        <f ca="1">IFERROR(__xludf.DUMMYFUNCTION("""COMPUTED_VALUE"""),"RB")</f>
        <v>RB</v>
      </c>
      <c r="E13" t="b">
        <f ca="1">NOT(ISERROR(MATCH(C13,'Keyur Usage'!$C$38:$C$500,0)))</f>
        <v>0</v>
      </c>
      <c r="J13" s="31" t="s">
        <v>891</v>
      </c>
      <c r="K13" s="31" t="s">
        <v>918</v>
      </c>
    </row>
    <row r="14" spans="1:13" x14ac:dyDescent="0.15">
      <c r="A14" s="16">
        <f t="shared" si="1"/>
        <v>13</v>
      </c>
      <c r="B14" s="3">
        <f ca="1">IFERROR(__xludf.DUMMYFUNCTION("""COMPUTED_VALUE"""),741)</f>
        <v>741</v>
      </c>
      <c r="C14" s="3" t="str">
        <f ca="1">IFERROR(__xludf.DUMMYFUNCTION("""COMPUTED_VALUE"""),"Dawson Knox")</f>
        <v>Dawson Knox</v>
      </c>
      <c r="D14" s="3" t="str">
        <f ca="1">IFERROR(__xludf.DUMMYFUNCTION("""COMPUTED_VALUE"""),"TE")</f>
        <v>TE</v>
      </c>
      <c r="E14" t="b">
        <f ca="1">NOT(ISERROR(MATCH(C14,'Keyur Usage'!$C$38:$C$500,0)))</f>
        <v>1</v>
      </c>
      <c r="J14" s="31" t="s">
        <v>892</v>
      </c>
      <c r="K14" s="31" t="s">
        <v>840</v>
      </c>
    </row>
    <row r="15" spans="1:13" x14ac:dyDescent="0.15">
      <c r="A15" s="16">
        <f t="shared" si="1"/>
        <v>14</v>
      </c>
      <c r="B15" s="3">
        <f ca="1">IFERROR(__xludf.DUMMYFUNCTION("""COMPUTED_VALUE"""),795)</f>
        <v>795</v>
      </c>
      <c r="C15" s="3" t="str">
        <f ca="1">IFERROR(__xludf.DUMMYFUNCTION("""COMPUTED_VALUE"""),"Cincinnati Bengals")</f>
        <v>Cincinnati Bengals</v>
      </c>
      <c r="D15" s="3" t="str">
        <f ca="1">IFERROR(__xludf.DUMMYFUNCTION("""COMPUTED_VALUE"""),"D/ST")</f>
        <v>D/ST</v>
      </c>
      <c r="E15" t="b">
        <f ca="1">NOT(ISERROR(MATCH(C15,'Keyur Usage'!$C$38:$C$500,0)))</f>
        <v>1</v>
      </c>
      <c r="J15" s="33" t="s">
        <v>893</v>
      </c>
      <c r="K15" s="33" t="s">
        <v>835</v>
      </c>
    </row>
    <row r="16" spans="1:13" x14ac:dyDescent="0.15">
      <c r="A16" s="16">
        <f t="shared" si="1"/>
        <v>15</v>
      </c>
      <c r="B16" s="3">
        <f ca="1">IFERROR(__xludf.DUMMYFUNCTION("""COMPUTED_VALUE"""),804)</f>
        <v>804</v>
      </c>
      <c r="C16" s="3" t="str">
        <f ca="1">IFERROR(__xludf.DUMMYFUNCTION("""COMPUTED_VALUE"""),"Kansas City Chiefs")</f>
        <v>Kansas City Chiefs</v>
      </c>
      <c r="D16" s="3" t="str">
        <f ca="1">IFERROR(__xludf.DUMMYFUNCTION("""COMPUTED_VALUE"""),"D/ST")</f>
        <v>D/ST</v>
      </c>
      <c r="E16" t="b">
        <f ca="1">NOT(ISERROR(MATCH(C16,'Keyur Usage'!$C$38:$C$500,0)))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IFERROR(__xludf.DUMMYFUNCTION("""COMPUTED_VALUE"""),740)</f>
        <v>740</v>
      </c>
      <c r="C17" s="3" t="str">
        <f ca="1">IFERROR(__xludf.DUMMYFUNCTION("""COMPUTED_VALUE"""),"Daniel Jones")</f>
        <v>Daniel Jones</v>
      </c>
      <c r="D17" s="3" t="str">
        <f ca="1">IFERROR(__xludf.DUMMYFUNCTION("""COMPUTED_VALUE"""),"QB")</f>
        <v>QB</v>
      </c>
      <c r="E17" t="b">
        <f ca="1">NOT(ISERROR(MATCH(C17,'Keyur Usage'!$C$38:$C$500,0)))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IFERROR(__xludf.DUMMYFUNCTION("""COMPUTED_VALUE"""),186)</f>
        <v>186</v>
      </c>
      <c r="C18" s="3" t="str">
        <f ca="1">IFERROR(__xludf.DUMMYFUNCTION("""COMPUTED_VALUE"""),"Jacoby Brissett")</f>
        <v>Jacoby Brissett</v>
      </c>
      <c r="D18" s="3" t="str">
        <f ca="1">IFERROR(__xludf.DUMMYFUNCTION("""COMPUTED_VALUE"""),"QB")</f>
        <v>QB</v>
      </c>
      <c r="E18" t="b">
        <f ca="1">NOT(ISERROR(MATCH(C18,'Keyur Usage'!$C$38:$C$500,0)))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IFERROR(__xludf.DUMMYFUNCTION("""COMPUTED_VALUE"""),846)</f>
        <v>846</v>
      </c>
      <c r="C19" s="3" t="str">
        <f ca="1">IFERROR(__xludf.DUMMYFUNCTION("""COMPUTED_VALUE"""),"Josh Lambo")</f>
        <v>Josh Lambo</v>
      </c>
      <c r="D19" s="3" t="str">
        <f ca="1">IFERROR(__xludf.DUMMYFUNCTION("""COMPUTED_VALUE"""),"K")</f>
        <v>K</v>
      </c>
      <c r="E19" t="b">
        <f ca="1">NOT(ISERROR(MATCH(C19,'Keyur Usage'!$C$38:$C$500,0)))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IFERROR(__xludf.DUMMYFUNCTION("""COMPUTED_VALUE"""),841)</f>
        <v>841</v>
      </c>
      <c r="C20" s="3" t="str">
        <f ca="1">IFERROR(__xludf.DUMMYFUNCTION("""COMPUTED_VALUE"""),"Steven Hauschka")</f>
        <v>Steven Hauschka</v>
      </c>
      <c r="D20" s="3" t="str">
        <f ca="1">IFERROR(__xludf.DUMMYFUNCTION("""COMPUTED_VALUE"""),"K")</f>
        <v>K</v>
      </c>
      <c r="E20" t="b">
        <f ca="1">NOT(ISERROR(MATCH(C20,'Keyur Usage'!$C$38:$C$500,0)))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IFERROR(__xludf.DUMMYFUNCTION("""COMPUTED_VALUE"""),829)</f>
        <v>829</v>
      </c>
      <c r="C21" s="3" t="str">
        <f ca="1">IFERROR(__xludf.DUMMYFUNCTION("""COMPUTED_VALUE"""),"Harrison Butker")</f>
        <v>Harrison Butker</v>
      </c>
      <c r="D21" s="3" t="str">
        <f ca="1">IFERROR(__xludf.DUMMYFUNCTION("""COMPUTED_VALUE"""),"K")</f>
        <v>K</v>
      </c>
      <c r="E21" t="b">
        <f ca="1">NOT(ISERROR(MATCH(C21,'Keyur Usage'!$C$38:$C$500,0)))</f>
        <v>0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910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29" spans="1:12" x14ac:dyDescent="0.15">
      <c r="B29" s="3"/>
      <c r="C29" s="3"/>
      <c r="D29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870" priority="590">
      <formula>E5=1</formula>
    </cfRule>
  </conditionalFormatting>
  <conditionalFormatting sqref="B24:C25 C23">
    <cfRule type="expression" dxfId="869" priority="589">
      <formula>E23=1</formula>
    </cfRule>
  </conditionalFormatting>
  <conditionalFormatting sqref="C23:C25">
    <cfRule type="expression" dxfId="868" priority="588">
      <formula>E23=1</formula>
    </cfRule>
  </conditionalFormatting>
  <conditionalFormatting sqref="H2">
    <cfRule type="expression" dxfId="867" priority="587">
      <formula>$H$2&gt;=3</formula>
    </cfRule>
  </conditionalFormatting>
  <conditionalFormatting sqref="H3">
    <cfRule type="expression" dxfId="866" priority="586">
      <formula>$H$3&gt;=4</formula>
    </cfRule>
  </conditionalFormatting>
  <conditionalFormatting sqref="H4">
    <cfRule type="expression" dxfId="865" priority="585">
      <formula>$H$4&gt;=4</formula>
    </cfRule>
  </conditionalFormatting>
  <conditionalFormatting sqref="H5">
    <cfRule type="expression" dxfId="864" priority="584">
      <formula>$H$5&gt;=3</formula>
    </cfRule>
  </conditionalFormatting>
  <conditionalFormatting sqref="H6">
    <cfRule type="expression" dxfId="863" priority="583">
      <formula>$H$6&gt;=3</formula>
    </cfRule>
  </conditionalFormatting>
  <conditionalFormatting sqref="H7">
    <cfRule type="expression" dxfId="862" priority="582">
      <formula>$H$7&gt;=3</formula>
    </cfRule>
  </conditionalFormatting>
  <conditionalFormatting sqref="D23">
    <cfRule type="expression" dxfId="861" priority="581">
      <formula>H21=1</formula>
    </cfRule>
  </conditionalFormatting>
  <conditionalFormatting sqref="A2:A3">
    <cfRule type="expression" dxfId="860" priority="591">
      <formula>E3=1</formula>
    </cfRule>
  </conditionalFormatting>
  <conditionalFormatting sqref="D23">
    <cfRule type="expression" dxfId="859" priority="580">
      <formula>G21=1</formula>
    </cfRule>
  </conditionalFormatting>
  <conditionalFormatting sqref="A20 A22">
    <cfRule type="expression" dxfId="858" priority="592">
      <formula>#REF!=1</formula>
    </cfRule>
  </conditionalFormatting>
  <conditionalFormatting sqref="A4">
    <cfRule type="expression" dxfId="857" priority="593">
      <formula>#REF!=1</formula>
    </cfRule>
  </conditionalFormatting>
  <conditionalFormatting sqref="A16:A17">
    <cfRule type="expression" dxfId="856" priority="594">
      <formula>F16=1</formula>
    </cfRule>
  </conditionalFormatting>
  <conditionalFormatting sqref="A21 A19">
    <cfRule type="expression" dxfId="855" priority="595">
      <formula>F18=1</formula>
    </cfRule>
  </conditionalFormatting>
  <conditionalFormatting sqref="A18">
    <cfRule type="expression" dxfId="854" priority="596">
      <formula>F21=1</formula>
    </cfRule>
  </conditionalFormatting>
  <conditionalFormatting sqref="A23:B23">
    <cfRule type="expression" dxfId="853" priority="579">
      <formula>E23=1</formula>
    </cfRule>
  </conditionalFormatting>
  <conditionalFormatting sqref="B23">
    <cfRule type="expression" dxfId="852" priority="578">
      <formula>E23=1</formula>
    </cfRule>
  </conditionalFormatting>
  <conditionalFormatting sqref="B30:D30">
    <cfRule type="expression" dxfId="851" priority="559">
      <formula>F30=1</formula>
    </cfRule>
  </conditionalFormatting>
  <conditionalFormatting sqref="B30:D30">
    <cfRule type="expression" dxfId="850" priority="558">
      <formula>E30=1</formula>
    </cfRule>
  </conditionalFormatting>
  <conditionalFormatting sqref="C30">
    <cfRule type="expression" dxfId="849" priority="557">
      <formula>E30=1</formula>
    </cfRule>
  </conditionalFormatting>
  <conditionalFormatting sqref="D30">
    <cfRule type="expression" dxfId="848" priority="556">
      <formula>E30=1</formula>
    </cfRule>
  </conditionalFormatting>
  <conditionalFormatting sqref="B31:D31">
    <cfRule type="expression" dxfId="847" priority="555">
      <formula>F31=1</formula>
    </cfRule>
  </conditionalFormatting>
  <conditionalFormatting sqref="B31:D31">
    <cfRule type="expression" dxfId="846" priority="554">
      <formula>E31=1</formula>
    </cfRule>
  </conditionalFormatting>
  <conditionalFormatting sqref="C31">
    <cfRule type="expression" dxfId="845" priority="553">
      <formula>E31=1</formula>
    </cfRule>
  </conditionalFormatting>
  <conditionalFormatting sqref="D31">
    <cfRule type="expression" dxfId="844" priority="552">
      <formula>E31=1</formula>
    </cfRule>
  </conditionalFormatting>
  <conditionalFormatting sqref="B32:D32">
    <cfRule type="expression" dxfId="843" priority="551">
      <formula>F32=1</formula>
    </cfRule>
  </conditionalFormatting>
  <conditionalFormatting sqref="B32:D32">
    <cfRule type="expression" dxfId="842" priority="550">
      <formula>E32=1</formula>
    </cfRule>
  </conditionalFormatting>
  <conditionalFormatting sqref="C32">
    <cfRule type="expression" dxfId="841" priority="549">
      <formula>E32=1</formula>
    </cfRule>
  </conditionalFormatting>
  <conditionalFormatting sqref="D32">
    <cfRule type="expression" dxfId="840" priority="548">
      <formula>E32=1</formula>
    </cfRule>
  </conditionalFormatting>
  <conditionalFormatting sqref="B33:D33">
    <cfRule type="expression" dxfId="839" priority="547">
      <formula>F33=1</formula>
    </cfRule>
  </conditionalFormatting>
  <conditionalFormatting sqref="B33:D33">
    <cfRule type="expression" dxfId="838" priority="546">
      <formula>E33=1</formula>
    </cfRule>
  </conditionalFormatting>
  <conditionalFormatting sqref="C33">
    <cfRule type="expression" dxfId="837" priority="545">
      <formula>E33=1</formula>
    </cfRule>
  </conditionalFormatting>
  <conditionalFormatting sqref="D33">
    <cfRule type="expression" dxfId="836" priority="544">
      <formula>E33=1</formula>
    </cfRule>
  </conditionalFormatting>
  <conditionalFormatting sqref="B17:C17">
    <cfRule type="expression" dxfId="835" priority="248">
      <formula>F17=1</formula>
    </cfRule>
  </conditionalFormatting>
  <conditionalFormatting sqref="B17:D17">
    <cfRule type="expression" dxfId="834" priority="247">
      <formula>E17=1</formula>
    </cfRule>
  </conditionalFormatting>
  <conditionalFormatting sqref="C17">
    <cfRule type="expression" dxfId="833" priority="246">
      <formula>E17=1</formula>
    </cfRule>
  </conditionalFormatting>
  <conditionalFormatting sqref="D17">
    <cfRule type="expression" dxfId="832" priority="245">
      <formula>E17=1</formula>
    </cfRule>
  </conditionalFormatting>
  <conditionalFormatting sqref="F11:H11">
    <cfRule type="expression" dxfId="831" priority="367">
      <formula>J11=1</formula>
    </cfRule>
  </conditionalFormatting>
  <conditionalFormatting sqref="F11:H11">
    <cfRule type="expression" dxfId="830" priority="366">
      <formula>I11=1</formula>
    </cfRule>
  </conditionalFormatting>
  <conditionalFormatting sqref="G11">
    <cfRule type="expression" dxfId="829" priority="365">
      <formula>I11=1</formula>
    </cfRule>
  </conditionalFormatting>
  <conditionalFormatting sqref="H11">
    <cfRule type="expression" dxfId="828" priority="364">
      <formula>I11=1</formula>
    </cfRule>
  </conditionalFormatting>
  <conditionalFormatting sqref="H11">
    <cfRule type="expression" dxfId="827" priority="360">
      <formula>I11=1</formula>
    </cfRule>
  </conditionalFormatting>
  <conditionalFormatting sqref="F11:H11">
    <cfRule type="expression" dxfId="826" priority="363">
      <formula>J11=1</formula>
    </cfRule>
  </conditionalFormatting>
  <conditionalFormatting sqref="F11:H11">
    <cfRule type="expression" dxfId="825" priority="362">
      <formula>I11=1</formula>
    </cfRule>
  </conditionalFormatting>
  <conditionalFormatting sqref="G11">
    <cfRule type="expression" dxfId="824" priority="361">
      <formula>I11=1</formula>
    </cfRule>
  </conditionalFormatting>
  <conditionalFormatting sqref="C15:D15">
    <cfRule type="expression" dxfId="823" priority="201">
      <formula>G15=1</formula>
    </cfRule>
  </conditionalFormatting>
  <conditionalFormatting sqref="D15">
    <cfRule type="expression" dxfId="822" priority="200">
      <formula>G15=1</formula>
    </cfRule>
  </conditionalFormatting>
  <conditionalFormatting sqref="D2">
    <cfRule type="expression" dxfId="821" priority="299">
      <formula>E2=1</formula>
    </cfRule>
  </conditionalFormatting>
  <conditionalFormatting sqref="C8">
    <cfRule type="expression" dxfId="820" priority="317">
      <formula>G8=1</formula>
    </cfRule>
  </conditionalFormatting>
  <conditionalFormatting sqref="B8">
    <cfRule type="expression" dxfId="819" priority="316">
      <formula>E8=1</formula>
    </cfRule>
  </conditionalFormatting>
  <conditionalFormatting sqref="C8">
    <cfRule type="expression" dxfId="818" priority="315">
      <formula>E8=1</formula>
    </cfRule>
  </conditionalFormatting>
  <conditionalFormatting sqref="D8">
    <cfRule type="expression" dxfId="817" priority="314">
      <formula>E8=1</formula>
    </cfRule>
  </conditionalFormatting>
  <conditionalFormatting sqref="B8">
    <cfRule type="expression" dxfId="816" priority="318">
      <formula>G8=1</formula>
    </cfRule>
  </conditionalFormatting>
  <conditionalFormatting sqref="C8">
    <cfRule type="expression" dxfId="815" priority="319">
      <formula>#REF!=1</formula>
    </cfRule>
  </conditionalFormatting>
  <conditionalFormatting sqref="D8">
    <cfRule type="expression" dxfId="814" priority="320">
      <formula>#REF!=1</formula>
    </cfRule>
  </conditionalFormatting>
  <conditionalFormatting sqref="D8">
    <cfRule type="expression" dxfId="813" priority="321">
      <formula>#REF!=1</formula>
    </cfRule>
  </conditionalFormatting>
  <conditionalFormatting sqref="B2:D2">
    <cfRule type="expression" dxfId="812" priority="302">
      <formula>F2=1</formula>
    </cfRule>
  </conditionalFormatting>
  <conditionalFormatting sqref="B2:D2">
    <cfRule type="expression" dxfId="811" priority="301">
      <formula>E2=1</formula>
    </cfRule>
  </conditionalFormatting>
  <conditionalFormatting sqref="C2">
    <cfRule type="expression" dxfId="810" priority="300">
      <formula>E2=1</formula>
    </cfRule>
  </conditionalFormatting>
  <conditionalFormatting sqref="B15:D15">
    <cfRule type="expression" dxfId="809" priority="298">
      <formula>F15=1</formula>
    </cfRule>
  </conditionalFormatting>
  <conditionalFormatting sqref="B15:D15">
    <cfRule type="expression" dxfId="808" priority="297">
      <formula>E15=1</formula>
    </cfRule>
  </conditionalFormatting>
  <conditionalFormatting sqref="C15">
    <cfRule type="expression" dxfId="807" priority="296">
      <formula>E15=1</formula>
    </cfRule>
  </conditionalFormatting>
  <conditionalFormatting sqref="D15">
    <cfRule type="expression" dxfId="806" priority="295">
      <formula>E15=1</formula>
    </cfRule>
  </conditionalFormatting>
  <conditionalFormatting sqref="B28:D28">
    <cfRule type="expression" dxfId="805" priority="290">
      <formula>F28=1</formula>
    </cfRule>
  </conditionalFormatting>
  <conditionalFormatting sqref="B28:D28">
    <cfRule type="expression" dxfId="804" priority="289">
      <formula>E28=1</formula>
    </cfRule>
  </conditionalFormatting>
  <conditionalFormatting sqref="C28">
    <cfRule type="expression" dxfId="803" priority="288">
      <formula>E28=1</formula>
    </cfRule>
  </conditionalFormatting>
  <conditionalFormatting sqref="D28">
    <cfRule type="expression" dxfId="802" priority="287">
      <formula>E28=1</formula>
    </cfRule>
  </conditionalFormatting>
  <conditionalFormatting sqref="B29:D29">
    <cfRule type="expression" dxfId="801" priority="286">
      <formula>F29=1</formula>
    </cfRule>
  </conditionalFormatting>
  <conditionalFormatting sqref="B29:D29">
    <cfRule type="expression" dxfId="800" priority="285">
      <formula>E29=1</formula>
    </cfRule>
  </conditionalFormatting>
  <conditionalFormatting sqref="C29">
    <cfRule type="expression" dxfId="799" priority="284">
      <formula>E29=1</formula>
    </cfRule>
  </conditionalFormatting>
  <conditionalFormatting sqref="D29">
    <cfRule type="expression" dxfId="798" priority="283">
      <formula>E29=1</formula>
    </cfRule>
  </conditionalFormatting>
  <conditionalFormatting sqref="C26:D26">
    <cfRule type="expression" dxfId="797" priority="278">
      <formula>G26=1</formula>
    </cfRule>
  </conditionalFormatting>
  <conditionalFormatting sqref="D26">
    <cfRule type="expression" dxfId="796" priority="277">
      <formula>G26=1</formula>
    </cfRule>
  </conditionalFormatting>
  <conditionalFormatting sqref="B26">
    <cfRule type="expression" dxfId="795" priority="279">
      <formula>F9=1</formula>
    </cfRule>
  </conditionalFormatting>
  <conditionalFormatting sqref="B26:C26">
    <cfRule type="expression" dxfId="794" priority="280">
      <formula>E9=1</formula>
    </cfRule>
  </conditionalFormatting>
  <conditionalFormatting sqref="C26">
    <cfRule type="expression" dxfId="793" priority="281">
      <formula>E9=1</formula>
    </cfRule>
  </conditionalFormatting>
  <conditionalFormatting sqref="D26">
    <cfRule type="expression" dxfId="792" priority="282">
      <formula>E9=1</formula>
    </cfRule>
  </conditionalFormatting>
  <conditionalFormatting sqref="B27:C27">
    <cfRule type="expression" dxfId="791" priority="275">
      <formula>F27=1</formula>
    </cfRule>
  </conditionalFormatting>
  <conditionalFormatting sqref="B27:D27">
    <cfRule type="expression" dxfId="790" priority="274">
      <formula>E27=1</formula>
    </cfRule>
  </conditionalFormatting>
  <conditionalFormatting sqref="C27">
    <cfRule type="expression" dxfId="789" priority="273">
      <formula>E27=1</formula>
    </cfRule>
  </conditionalFormatting>
  <conditionalFormatting sqref="D27">
    <cfRule type="expression" dxfId="788" priority="272">
      <formula>E27=1</formula>
    </cfRule>
  </conditionalFormatting>
  <conditionalFormatting sqref="D27">
    <cfRule type="expression" dxfId="787" priority="276">
      <formula>H26=1</formula>
    </cfRule>
  </conditionalFormatting>
  <conditionalFormatting sqref="B20:D20">
    <cfRule type="expression" dxfId="786" priority="271">
      <formula>F20=1</formula>
    </cfRule>
  </conditionalFormatting>
  <conditionalFormatting sqref="B20:D20">
    <cfRule type="expression" dxfId="785" priority="270">
      <formula>E20=1</formula>
    </cfRule>
  </conditionalFormatting>
  <conditionalFormatting sqref="C20">
    <cfRule type="expression" dxfId="784" priority="269">
      <formula>E20=1</formula>
    </cfRule>
  </conditionalFormatting>
  <conditionalFormatting sqref="D20">
    <cfRule type="expression" dxfId="783" priority="268">
      <formula>E20=1</formula>
    </cfRule>
  </conditionalFormatting>
  <conditionalFormatting sqref="B19:D19">
    <cfRule type="expression" dxfId="782" priority="259">
      <formula>F19=1</formula>
    </cfRule>
  </conditionalFormatting>
  <conditionalFormatting sqref="B19:D19">
    <cfRule type="expression" dxfId="781" priority="258">
      <formula>E19=1</formula>
    </cfRule>
  </conditionalFormatting>
  <conditionalFormatting sqref="C19">
    <cfRule type="expression" dxfId="780" priority="257">
      <formula>E19=1</formula>
    </cfRule>
  </conditionalFormatting>
  <conditionalFormatting sqref="D19">
    <cfRule type="expression" dxfId="779" priority="256">
      <formula>E19=1</formula>
    </cfRule>
  </conditionalFormatting>
  <conditionalFormatting sqref="B15:C15">
    <cfRule type="expression" dxfId="778" priority="192">
      <formula>F15=1</formula>
    </cfRule>
  </conditionalFormatting>
  <conditionalFormatting sqref="B15:D15">
    <cfRule type="expression" dxfId="777" priority="191">
      <formula>E15=1</formula>
    </cfRule>
  </conditionalFormatting>
  <conditionalFormatting sqref="D17">
    <cfRule type="expression" dxfId="776" priority="249">
      <formula>H16=1</formula>
    </cfRule>
  </conditionalFormatting>
  <conditionalFormatting sqref="B19:D19">
    <cfRule type="expression" dxfId="775" priority="244">
      <formula>F19=1</formula>
    </cfRule>
  </conditionalFormatting>
  <conditionalFormatting sqref="B19:D19">
    <cfRule type="expression" dxfId="774" priority="243">
      <formula>E19=1</formula>
    </cfRule>
  </conditionalFormatting>
  <conditionalFormatting sqref="C19">
    <cfRule type="expression" dxfId="773" priority="242">
      <formula>E19=1</formula>
    </cfRule>
  </conditionalFormatting>
  <conditionalFormatting sqref="D19">
    <cfRule type="expression" dxfId="772" priority="241">
      <formula>E19=1</formula>
    </cfRule>
  </conditionalFormatting>
  <conditionalFormatting sqref="B20:D20">
    <cfRule type="expression" dxfId="771" priority="240">
      <formula>F20=1</formula>
    </cfRule>
  </conditionalFormatting>
  <conditionalFormatting sqref="B20:D20">
    <cfRule type="expression" dxfId="770" priority="239">
      <formula>E20=1</formula>
    </cfRule>
  </conditionalFormatting>
  <conditionalFormatting sqref="C20">
    <cfRule type="expression" dxfId="769" priority="238">
      <formula>E20=1</formula>
    </cfRule>
  </conditionalFormatting>
  <conditionalFormatting sqref="D20">
    <cfRule type="expression" dxfId="768" priority="237">
      <formula>E20=1</formula>
    </cfRule>
  </conditionalFormatting>
  <conditionalFormatting sqref="B17:D17">
    <cfRule type="expression" dxfId="767" priority="236">
      <formula>F17=1</formula>
    </cfRule>
  </conditionalFormatting>
  <conditionalFormatting sqref="B17:D17">
    <cfRule type="expression" dxfId="766" priority="235">
      <formula>E17=1</formula>
    </cfRule>
  </conditionalFormatting>
  <conditionalFormatting sqref="C17">
    <cfRule type="expression" dxfId="765" priority="234">
      <formula>E17=1</formula>
    </cfRule>
  </conditionalFormatting>
  <conditionalFormatting sqref="D17">
    <cfRule type="expression" dxfId="764" priority="233">
      <formula>E17=1</formula>
    </cfRule>
  </conditionalFormatting>
  <conditionalFormatting sqref="C15:D15">
    <cfRule type="expression" dxfId="763" priority="224">
      <formula>G15=1</formula>
    </cfRule>
  </conditionalFormatting>
  <conditionalFormatting sqref="D15">
    <cfRule type="expression" dxfId="762" priority="223">
      <formula>G15=1</formula>
    </cfRule>
  </conditionalFormatting>
  <conditionalFormatting sqref="B15">
    <cfRule type="expression" dxfId="761" priority="225">
      <formula>F1048574=1</formula>
    </cfRule>
  </conditionalFormatting>
  <conditionalFormatting sqref="B15:C15">
    <cfRule type="expression" dxfId="760" priority="226">
      <formula>E1048574=1</formula>
    </cfRule>
  </conditionalFormatting>
  <conditionalFormatting sqref="C15">
    <cfRule type="expression" dxfId="759" priority="227">
      <formula>E1048574=1</formula>
    </cfRule>
  </conditionalFormatting>
  <conditionalFormatting sqref="D15">
    <cfRule type="expression" dxfId="758" priority="228">
      <formula>E1048574=1</formula>
    </cfRule>
  </conditionalFormatting>
  <conditionalFormatting sqref="B21:D21">
    <cfRule type="expression" dxfId="757" priority="217">
      <formula>F21=1</formula>
    </cfRule>
  </conditionalFormatting>
  <conditionalFormatting sqref="B21:D21">
    <cfRule type="expression" dxfId="756" priority="216">
      <formula>E21=1</formula>
    </cfRule>
  </conditionalFormatting>
  <conditionalFormatting sqref="C21">
    <cfRule type="expression" dxfId="755" priority="215">
      <formula>E21=1</formula>
    </cfRule>
  </conditionalFormatting>
  <conditionalFormatting sqref="D21">
    <cfRule type="expression" dxfId="754" priority="214">
      <formula>E21=1</formula>
    </cfRule>
  </conditionalFormatting>
  <conditionalFormatting sqref="C15:D15">
    <cfRule type="expression" dxfId="753" priority="140">
      <formula>G15=1</formula>
    </cfRule>
  </conditionalFormatting>
  <conditionalFormatting sqref="D15">
    <cfRule type="expression" dxfId="752" priority="139">
      <formula>G15=1</formula>
    </cfRule>
  </conditionalFormatting>
  <conditionalFormatting sqref="B15">
    <cfRule type="expression" dxfId="751" priority="202">
      <formula>F1048574=1</formula>
    </cfRule>
  </conditionalFormatting>
  <conditionalFormatting sqref="B15:C15">
    <cfRule type="expression" dxfId="750" priority="203">
      <formula>E1048574=1</formula>
    </cfRule>
  </conditionalFormatting>
  <conditionalFormatting sqref="C15">
    <cfRule type="expression" dxfId="749" priority="204">
      <formula>E1048574=1</formula>
    </cfRule>
  </conditionalFormatting>
  <conditionalFormatting sqref="D15">
    <cfRule type="expression" dxfId="748" priority="205">
      <formula>E1048574=1</formula>
    </cfRule>
  </conditionalFormatting>
  <conditionalFormatting sqref="C15">
    <cfRule type="expression" dxfId="747" priority="190">
      <formula>E15=1</formula>
    </cfRule>
  </conditionalFormatting>
  <conditionalFormatting sqref="D15">
    <cfRule type="expression" dxfId="746" priority="189">
      <formula>E15=1</formula>
    </cfRule>
  </conditionalFormatting>
  <conditionalFormatting sqref="D15">
    <cfRule type="expression" dxfId="745" priority="193">
      <formula>H14=1</formula>
    </cfRule>
  </conditionalFormatting>
  <conditionalFormatting sqref="B16:D16">
    <cfRule type="expression" dxfId="744" priority="188">
      <formula>F16=1</formula>
    </cfRule>
  </conditionalFormatting>
  <conditionalFormatting sqref="B16:D16">
    <cfRule type="expression" dxfId="743" priority="187">
      <formula>E16=1</formula>
    </cfRule>
  </conditionalFormatting>
  <conditionalFormatting sqref="C16">
    <cfRule type="expression" dxfId="742" priority="186">
      <formula>E16=1</formula>
    </cfRule>
  </conditionalFormatting>
  <conditionalFormatting sqref="D16">
    <cfRule type="expression" dxfId="741" priority="185">
      <formula>E16=1</formula>
    </cfRule>
  </conditionalFormatting>
  <conditionalFormatting sqref="B3:D3">
    <cfRule type="expression" dxfId="740" priority="184">
      <formula>F3=1</formula>
    </cfRule>
  </conditionalFormatting>
  <conditionalFormatting sqref="B3:D3">
    <cfRule type="expression" dxfId="739" priority="183">
      <formula>E3=1</formula>
    </cfRule>
  </conditionalFormatting>
  <conditionalFormatting sqref="C3">
    <cfRule type="expression" dxfId="738" priority="182">
      <formula>E3=1</formula>
    </cfRule>
  </conditionalFormatting>
  <conditionalFormatting sqref="D3">
    <cfRule type="expression" dxfId="737" priority="181">
      <formula>E3=1</formula>
    </cfRule>
  </conditionalFormatting>
  <conditionalFormatting sqref="B3:D3">
    <cfRule type="expression" dxfId="736" priority="180">
      <formula>F3=1</formula>
    </cfRule>
  </conditionalFormatting>
  <conditionalFormatting sqref="B3:D3">
    <cfRule type="expression" dxfId="735" priority="179">
      <formula>E3=1</formula>
    </cfRule>
  </conditionalFormatting>
  <conditionalFormatting sqref="C3">
    <cfRule type="expression" dxfId="734" priority="178">
      <formula>E3=1</formula>
    </cfRule>
  </conditionalFormatting>
  <conditionalFormatting sqref="D3">
    <cfRule type="expression" dxfId="733" priority="177">
      <formula>E3=1</formula>
    </cfRule>
  </conditionalFormatting>
  <conditionalFormatting sqref="B18:D18">
    <cfRule type="expression" dxfId="732" priority="176">
      <formula>F18=1</formula>
    </cfRule>
  </conditionalFormatting>
  <conditionalFormatting sqref="B18:D18">
    <cfRule type="expression" dxfId="731" priority="175">
      <formula>E18=1</formula>
    </cfRule>
  </conditionalFormatting>
  <conditionalFormatting sqref="C18">
    <cfRule type="expression" dxfId="730" priority="174">
      <formula>E18=1</formula>
    </cfRule>
  </conditionalFormatting>
  <conditionalFormatting sqref="D18">
    <cfRule type="expression" dxfId="729" priority="173">
      <formula>E18=1</formula>
    </cfRule>
  </conditionalFormatting>
  <conditionalFormatting sqref="C15">
    <cfRule type="expression" dxfId="728" priority="168">
      <formula>G15=1</formula>
    </cfRule>
  </conditionalFormatting>
  <conditionalFormatting sqref="B15">
    <cfRule type="expression" dxfId="727" priority="167">
      <formula>E15=1</formula>
    </cfRule>
  </conditionalFormatting>
  <conditionalFormatting sqref="C15">
    <cfRule type="expression" dxfId="726" priority="166">
      <formula>E15=1</formula>
    </cfRule>
  </conditionalFormatting>
  <conditionalFormatting sqref="D15">
    <cfRule type="expression" dxfId="725" priority="165">
      <formula>E15=1</formula>
    </cfRule>
  </conditionalFormatting>
  <conditionalFormatting sqref="B15">
    <cfRule type="expression" dxfId="724" priority="169">
      <formula>G15=1</formula>
    </cfRule>
  </conditionalFormatting>
  <conditionalFormatting sqref="C15">
    <cfRule type="expression" dxfId="723" priority="170">
      <formula>#REF!=1</formula>
    </cfRule>
  </conditionalFormatting>
  <conditionalFormatting sqref="D15">
    <cfRule type="expression" dxfId="722" priority="171">
      <formula>#REF!=1</formula>
    </cfRule>
  </conditionalFormatting>
  <conditionalFormatting sqref="D15">
    <cfRule type="expression" dxfId="721" priority="172">
      <formula>#REF!=1</formula>
    </cfRule>
  </conditionalFormatting>
  <conditionalFormatting sqref="B16:D16">
    <cfRule type="expression" dxfId="720" priority="164">
      <formula>F16=1</formula>
    </cfRule>
  </conditionalFormatting>
  <conditionalFormatting sqref="B16:D16">
    <cfRule type="expression" dxfId="719" priority="163">
      <formula>E16=1</formula>
    </cfRule>
  </conditionalFormatting>
  <conditionalFormatting sqref="C16">
    <cfRule type="expression" dxfId="718" priority="162">
      <formula>E16=1</formula>
    </cfRule>
  </conditionalFormatting>
  <conditionalFormatting sqref="D16">
    <cfRule type="expression" dxfId="717" priority="161">
      <formula>E16=1</formula>
    </cfRule>
  </conditionalFormatting>
  <conditionalFormatting sqref="C16:D16">
    <cfRule type="expression" dxfId="716" priority="156">
      <formula>G16=1</formula>
    </cfRule>
  </conditionalFormatting>
  <conditionalFormatting sqref="D16">
    <cfRule type="expression" dxfId="715" priority="155">
      <formula>G16=1</formula>
    </cfRule>
  </conditionalFormatting>
  <conditionalFormatting sqref="B16">
    <cfRule type="expression" dxfId="714" priority="157">
      <formula>F1048575=1</formula>
    </cfRule>
  </conditionalFormatting>
  <conditionalFormatting sqref="B16:C16">
    <cfRule type="expression" dxfId="713" priority="158">
      <formula>E1048575=1</formula>
    </cfRule>
  </conditionalFormatting>
  <conditionalFormatting sqref="C16">
    <cfRule type="expression" dxfId="712" priority="159">
      <formula>E1048575=1</formula>
    </cfRule>
  </conditionalFormatting>
  <conditionalFormatting sqref="D16">
    <cfRule type="expression" dxfId="711" priority="160">
      <formula>E1048575=1</formula>
    </cfRule>
  </conditionalFormatting>
  <conditionalFormatting sqref="B15:D15">
    <cfRule type="expression" dxfId="710" priority="154">
      <formula>F15=1</formula>
    </cfRule>
  </conditionalFormatting>
  <conditionalFormatting sqref="B15:D15">
    <cfRule type="expression" dxfId="709" priority="153">
      <formula>E15=1</formula>
    </cfRule>
  </conditionalFormatting>
  <conditionalFormatting sqref="C15">
    <cfRule type="expression" dxfId="708" priority="152">
      <formula>E15=1</formula>
    </cfRule>
  </conditionalFormatting>
  <conditionalFormatting sqref="D15">
    <cfRule type="expression" dxfId="707" priority="151">
      <formula>E15=1</formula>
    </cfRule>
  </conditionalFormatting>
  <conditionalFormatting sqref="C16:D16">
    <cfRule type="expression" dxfId="706" priority="146">
      <formula>G16=1</formula>
    </cfRule>
  </conditionalFormatting>
  <conditionalFormatting sqref="D16">
    <cfRule type="expression" dxfId="705" priority="145">
      <formula>G16=1</formula>
    </cfRule>
  </conditionalFormatting>
  <conditionalFormatting sqref="B16">
    <cfRule type="expression" dxfId="704" priority="147">
      <formula>F1048575=1</formula>
    </cfRule>
  </conditionalFormatting>
  <conditionalFormatting sqref="B16:C16">
    <cfRule type="expression" dxfId="703" priority="148">
      <formula>E1048575=1</formula>
    </cfRule>
  </conditionalFormatting>
  <conditionalFormatting sqref="C16">
    <cfRule type="expression" dxfId="702" priority="149">
      <formula>E1048575=1</formula>
    </cfRule>
  </conditionalFormatting>
  <conditionalFormatting sqref="D16">
    <cfRule type="expression" dxfId="701" priority="150">
      <formula>E1048575=1</formula>
    </cfRule>
  </conditionalFormatting>
  <conditionalFormatting sqref="B15">
    <cfRule type="expression" dxfId="700" priority="141">
      <formula>F1048574=1</formula>
    </cfRule>
  </conditionalFormatting>
  <conditionalFormatting sqref="B15:C15">
    <cfRule type="expression" dxfId="699" priority="142">
      <formula>E1048574=1</formula>
    </cfRule>
  </conditionalFormatting>
  <conditionalFormatting sqref="C15">
    <cfRule type="expression" dxfId="698" priority="143">
      <formula>E1048574=1</formula>
    </cfRule>
  </conditionalFormatting>
  <conditionalFormatting sqref="D15">
    <cfRule type="expression" dxfId="697" priority="144">
      <formula>E1048574=1</formula>
    </cfRule>
  </conditionalFormatting>
  <conditionalFormatting sqref="B16:C16">
    <cfRule type="expression" dxfId="696" priority="137">
      <formula>F16=1</formula>
    </cfRule>
  </conditionalFormatting>
  <conditionalFormatting sqref="B16:D16">
    <cfRule type="expression" dxfId="695" priority="136">
      <formula>E16=1</formula>
    </cfRule>
  </conditionalFormatting>
  <conditionalFormatting sqref="C16">
    <cfRule type="expression" dxfId="694" priority="135">
      <formula>E16=1</formula>
    </cfRule>
  </conditionalFormatting>
  <conditionalFormatting sqref="D16">
    <cfRule type="expression" dxfId="693" priority="134">
      <formula>E16=1</formula>
    </cfRule>
  </conditionalFormatting>
  <conditionalFormatting sqref="D16">
    <cfRule type="expression" dxfId="692" priority="138">
      <formula>H15=1</formula>
    </cfRule>
  </conditionalFormatting>
  <conditionalFormatting sqref="D10">
    <cfRule type="expression" dxfId="691" priority="102">
      <formula>E10=1</formula>
    </cfRule>
  </conditionalFormatting>
  <conditionalFormatting sqref="B10:D10">
    <cfRule type="expression" dxfId="690" priority="105">
      <formula>F10=1</formula>
    </cfRule>
  </conditionalFormatting>
  <conditionalFormatting sqref="B10:D10">
    <cfRule type="expression" dxfId="689" priority="104">
      <formula>E10=1</formula>
    </cfRule>
  </conditionalFormatting>
  <conditionalFormatting sqref="C10">
    <cfRule type="expression" dxfId="688" priority="103">
      <formula>E10=1</formula>
    </cfRule>
  </conditionalFormatting>
  <conditionalFormatting sqref="D11">
    <cfRule type="expression" dxfId="687" priority="33">
      <formula>E11=1</formula>
    </cfRule>
  </conditionalFormatting>
  <conditionalFormatting sqref="B11:D11">
    <cfRule type="expression" dxfId="686" priority="36">
      <formula>F11=1</formula>
    </cfRule>
  </conditionalFormatting>
  <conditionalFormatting sqref="B11:D11">
    <cfRule type="expression" dxfId="685" priority="35">
      <formula>E11=1</formula>
    </cfRule>
  </conditionalFormatting>
  <conditionalFormatting sqref="C11">
    <cfRule type="expression" dxfId="684" priority="34">
      <formula>E11=1</formula>
    </cfRule>
  </conditionalFormatting>
  <conditionalFormatting sqref="B9:D9">
    <cfRule type="expression" dxfId="683" priority="81">
      <formula>F9=1</formula>
    </cfRule>
  </conditionalFormatting>
  <conditionalFormatting sqref="B9:D9">
    <cfRule type="expression" dxfId="682" priority="80">
      <formula>E9=1</formula>
    </cfRule>
  </conditionalFormatting>
  <conditionalFormatting sqref="C9">
    <cfRule type="expression" dxfId="681" priority="79">
      <formula>E9=1</formula>
    </cfRule>
  </conditionalFormatting>
  <conditionalFormatting sqref="D9">
    <cfRule type="expression" dxfId="680" priority="78">
      <formula>E9=1</formula>
    </cfRule>
  </conditionalFormatting>
  <conditionalFormatting sqref="B12:D12">
    <cfRule type="expression" dxfId="679" priority="77">
      <formula>F12=1</formula>
    </cfRule>
  </conditionalFormatting>
  <conditionalFormatting sqref="B12:D12">
    <cfRule type="expression" dxfId="678" priority="76">
      <formula>E12=1</formula>
    </cfRule>
  </conditionalFormatting>
  <conditionalFormatting sqref="C12">
    <cfRule type="expression" dxfId="677" priority="75">
      <formula>E12=1</formula>
    </cfRule>
  </conditionalFormatting>
  <conditionalFormatting sqref="D12">
    <cfRule type="expression" dxfId="676" priority="74">
      <formula>E12=1</formula>
    </cfRule>
  </conditionalFormatting>
  <conditionalFormatting sqref="D10">
    <cfRule type="expression" dxfId="675" priority="70">
      <formula>E10=1</formula>
    </cfRule>
  </conditionalFormatting>
  <conditionalFormatting sqref="B10:D10">
    <cfRule type="expression" dxfId="674" priority="73">
      <formula>F10=1</formula>
    </cfRule>
  </conditionalFormatting>
  <conditionalFormatting sqref="B10:D10">
    <cfRule type="expression" dxfId="673" priority="72">
      <formula>E10=1</formula>
    </cfRule>
  </conditionalFormatting>
  <conditionalFormatting sqref="C10">
    <cfRule type="expression" dxfId="672" priority="71">
      <formula>E10=1</formula>
    </cfRule>
  </conditionalFormatting>
  <conditionalFormatting sqref="D9">
    <cfRule type="expression" dxfId="671" priority="66">
      <formula>E9=1</formula>
    </cfRule>
  </conditionalFormatting>
  <conditionalFormatting sqref="B9:D9">
    <cfRule type="expression" dxfId="670" priority="69">
      <formula>F9=1</formula>
    </cfRule>
  </conditionalFormatting>
  <conditionalFormatting sqref="B9:D9">
    <cfRule type="expression" dxfId="669" priority="68">
      <formula>E9=1</formula>
    </cfRule>
  </conditionalFormatting>
  <conditionalFormatting sqref="C9">
    <cfRule type="expression" dxfId="668" priority="67">
      <formula>E9=1</formula>
    </cfRule>
  </conditionalFormatting>
  <conditionalFormatting sqref="D6">
    <cfRule type="expression" dxfId="667" priority="25">
      <formula>E6=1</formula>
    </cfRule>
  </conditionalFormatting>
  <conditionalFormatting sqref="B6:D6">
    <cfRule type="expression" dxfId="666" priority="28">
      <formula>F6=1</formula>
    </cfRule>
  </conditionalFormatting>
  <conditionalFormatting sqref="B6:D6">
    <cfRule type="expression" dxfId="665" priority="27">
      <formula>E6=1</formula>
    </cfRule>
  </conditionalFormatting>
  <conditionalFormatting sqref="C6">
    <cfRule type="expression" dxfId="664" priority="26">
      <formula>E6=1</formula>
    </cfRule>
  </conditionalFormatting>
  <conditionalFormatting sqref="B4:D4">
    <cfRule type="expression" dxfId="663" priority="24">
      <formula>F4=1</formula>
    </cfRule>
  </conditionalFormatting>
  <conditionalFormatting sqref="B4:D4">
    <cfRule type="expression" dxfId="662" priority="23">
      <formula>E4=1</formula>
    </cfRule>
  </conditionalFormatting>
  <conditionalFormatting sqref="C4">
    <cfRule type="expression" dxfId="661" priority="22">
      <formula>E4=1</formula>
    </cfRule>
  </conditionalFormatting>
  <conditionalFormatting sqref="D4">
    <cfRule type="expression" dxfId="660" priority="21">
      <formula>E4=1</formula>
    </cfRule>
  </conditionalFormatting>
  <conditionalFormatting sqref="B22:D22">
    <cfRule type="expression" dxfId="659" priority="20">
      <formula>F22=1</formula>
    </cfRule>
  </conditionalFormatting>
  <conditionalFormatting sqref="B22:D22">
    <cfRule type="expression" dxfId="658" priority="19">
      <formula>E22=1</formula>
    </cfRule>
  </conditionalFormatting>
  <conditionalFormatting sqref="C22">
    <cfRule type="expression" dxfId="657" priority="18">
      <formula>E22=1</formula>
    </cfRule>
  </conditionalFormatting>
  <conditionalFormatting sqref="D22">
    <cfRule type="expression" dxfId="656" priority="17">
      <formula>E22=1</formula>
    </cfRule>
  </conditionalFormatting>
  <conditionalFormatting sqref="B13:D13">
    <cfRule type="expression" dxfId="655" priority="16">
      <formula>F13=1</formula>
    </cfRule>
  </conditionalFormatting>
  <conditionalFormatting sqref="B13:D13">
    <cfRule type="expression" dxfId="654" priority="15">
      <formula>E13=1</formula>
    </cfRule>
  </conditionalFormatting>
  <conditionalFormatting sqref="C13">
    <cfRule type="expression" dxfId="653" priority="14">
      <formula>E13=1</formula>
    </cfRule>
  </conditionalFormatting>
  <conditionalFormatting sqref="D13">
    <cfRule type="expression" dxfId="652" priority="13">
      <formula>E13=1</formula>
    </cfRule>
  </conditionalFormatting>
  <conditionalFormatting sqref="B7:D7">
    <cfRule type="expression" dxfId="651" priority="8">
      <formula>F7=1</formula>
    </cfRule>
  </conditionalFormatting>
  <conditionalFormatting sqref="B7:D7">
    <cfRule type="expression" dxfId="650" priority="7">
      <formula>E7=1</formula>
    </cfRule>
  </conditionalFormatting>
  <conditionalFormatting sqref="C7">
    <cfRule type="expression" dxfId="649" priority="6">
      <formula>E7=1</formula>
    </cfRule>
  </conditionalFormatting>
  <conditionalFormatting sqref="D7">
    <cfRule type="expression" dxfId="648" priority="5">
      <formula>E7=1</formula>
    </cfRule>
  </conditionalFormatting>
  <conditionalFormatting sqref="B5:D5">
    <cfRule type="expression" dxfId="647" priority="4">
      <formula>F5=1</formula>
    </cfRule>
  </conditionalFormatting>
  <conditionalFormatting sqref="B5:D5">
    <cfRule type="expression" dxfId="646" priority="3">
      <formula>E5=1</formula>
    </cfRule>
  </conditionalFormatting>
  <conditionalFormatting sqref="C5">
    <cfRule type="expression" dxfId="645" priority="2">
      <formula>E5=1</formula>
    </cfRule>
  </conditionalFormatting>
  <conditionalFormatting sqref="D5">
    <cfRule type="expression" dxfId="644" priority="1">
      <formula>E5=1</formula>
    </cfRule>
  </conditionalFormatting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A753-9B24-43EE-A18A-1C9D9306F1A8}">
  <dimension ref="A1:M33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IFERROR(__xludf.DUMMYFUNCTION("""COMPUTED_VALUE"""),820)</f>
        <v>820</v>
      </c>
      <c r="C2" s="3" t="str">
        <f ca="1">IFERROR(__xludf.DUMMYFUNCTION("""COMPUTED_VALUE"""),"Washington Redskins")</f>
        <v>Washington Redskins</v>
      </c>
      <c r="D2" s="3" t="str">
        <f ca="1">IFERROR(__xludf.DUMMYFUNCTION("""COMPUTED_VALUE"""),"D/ST")</f>
        <v>D/ST</v>
      </c>
      <c r="E2" t="b">
        <f ca="1">NOT(ISERROR(MATCH(C2,'Geoff Usage (2)'!$C$38:$C$500,0)))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709</v>
      </c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IFERROR(__xludf.DUMMYFUNCTION("""COMPUTED_VALUE"""),716)</f>
        <v>716</v>
      </c>
      <c r="C3" s="3" t="str">
        <f ca="1">IFERROR(__xludf.DUMMYFUNCTION("""COMPUTED_VALUE"""),"Kyler Murray")</f>
        <v>Kyler Murray</v>
      </c>
      <c r="D3" s="3" t="str">
        <f ca="1">IFERROR(__xludf.DUMMYFUNCTION("""COMPUTED_VALUE"""),"QB")</f>
        <v>QB</v>
      </c>
      <c r="E3" t="b">
        <f ca="1">NOT(ISERROR(MATCH(C3,'Geoff Usage (2)'!$C$38:$C$500,0)))</f>
        <v>1</v>
      </c>
      <c r="G3" t="s">
        <v>8</v>
      </c>
      <c r="H3" s="26">
        <f t="shared" ca="1" si="0"/>
        <v>4</v>
      </c>
      <c r="J3" s="21" t="s">
        <v>881</v>
      </c>
      <c r="K3" s="30" t="s">
        <v>294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IFERROR(__xludf.DUMMYFUNCTION("""COMPUTED_VALUE"""),288)</f>
        <v>288</v>
      </c>
      <c r="C4" s="3" t="str">
        <f ca="1">IFERROR(__xludf.DUMMYFUNCTION("""COMPUTED_VALUE"""),"Matt Ryan")</f>
        <v>Matt Ryan</v>
      </c>
      <c r="D4" s="3" t="str">
        <f ca="1">IFERROR(__xludf.DUMMYFUNCTION("""COMPUTED_VALUE"""),"QB")</f>
        <v>QB</v>
      </c>
      <c r="E4" t="b">
        <f ca="1">NOT(ISERROR(MATCH(C4,'Geoff Usage (2)'!$C$38:$C$500,0)))</f>
        <v>1</v>
      </c>
      <c r="G4" t="s">
        <v>6</v>
      </c>
      <c r="H4" s="26">
        <f t="shared" ca="1" si="0"/>
        <v>4</v>
      </c>
      <c r="J4" s="21" t="s">
        <v>882</v>
      </c>
      <c r="K4" s="30" t="s">
        <v>576</v>
      </c>
      <c r="L4" s="53"/>
    </row>
    <row r="5" spans="1:13" x14ac:dyDescent="0.15">
      <c r="A5" s="16">
        <f t="shared" si="1"/>
        <v>4</v>
      </c>
      <c r="B5" s="3">
        <f ca="1">IFERROR(__xludf.DUMMYFUNCTION("""COMPUTED_VALUE"""),574)</f>
        <v>574</v>
      </c>
      <c r="C5" s="3" t="str">
        <f ca="1">IFERROR(__xludf.DUMMYFUNCTION("""COMPUTED_VALUE"""),"Chase Edmonds")</f>
        <v>Chase Edmonds</v>
      </c>
      <c r="D5" s="3" t="str">
        <f ca="1">IFERROR(__xludf.DUMMYFUNCTION("""COMPUTED_VALUE"""),"RB")</f>
        <v>RB</v>
      </c>
      <c r="E5" t="b">
        <f ca="1">NOT(ISERROR(MATCH(C5,'Geoff Usage (2)'!$C$38:$C$500,0)))</f>
        <v>1</v>
      </c>
      <c r="G5" t="s">
        <v>4</v>
      </c>
      <c r="H5" s="26">
        <f t="shared" ca="1" si="0"/>
        <v>3</v>
      </c>
      <c r="J5" s="21" t="s">
        <v>883</v>
      </c>
      <c r="K5" s="30" t="s">
        <v>274</v>
      </c>
    </row>
    <row r="6" spans="1:13" x14ac:dyDescent="0.15">
      <c r="A6" s="16">
        <f t="shared" si="1"/>
        <v>5</v>
      </c>
      <c r="B6" s="3">
        <f ca="1">IFERROR(__xludf.DUMMYFUNCTION("""COMPUTED_VALUE"""),223)</f>
        <v>223</v>
      </c>
      <c r="C6" s="3" t="str">
        <f ca="1">IFERROR(__xludf.DUMMYFUNCTION("""COMPUTED_VALUE"""),"Josh Gordon")</f>
        <v>Josh Gordon</v>
      </c>
      <c r="D6" s="3" t="str">
        <f ca="1">IFERROR(__xludf.DUMMYFUNCTION("""COMPUTED_VALUE"""),"WR")</f>
        <v>WR</v>
      </c>
      <c r="E6" t="b">
        <f ca="1">NOT(ISERROR(MATCH(C6,'Geoff Usage (2)'!$C$38:$C$500,0)))</f>
        <v>0</v>
      </c>
      <c r="G6" s="21" t="s">
        <v>782</v>
      </c>
      <c r="H6" s="26">
        <f t="shared" ca="1" si="0"/>
        <v>3</v>
      </c>
      <c r="J6" s="21" t="s">
        <v>884</v>
      </c>
      <c r="K6" s="30" t="s">
        <v>92</v>
      </c>
    </row>
    <row r="7" spans="1:13" x14ac:dyDescent="0.15">
      <c r="A7" s="16">
        <f t="shared" si="1"/>
        <v>6</v>
      </c>
      <c r="B7" s="3">
        <f ca="1">IFERROR(__xludf.DUMMYFUNCTION("""COMPUTED_VALUE"""),268)</f>
        <v>268</v>
      </c>
      <c r="C7" s="3" t="str">
        <f ca="1">IFERROR(__xludf.DUMMYFUNCTION("""COMPUTED_VALUE"""),"Mark Ingram")</f>
        <v>Mark Ingram</v>
      </c>
      <c r="D7" s="3" t="str">
        <f ca="1">IFERROR(__xludf.DUMMYFUNCTION("""COMPUTED_VALUE"""),"RB")</f>
        <v>RB</v>
      </c>
      <c r="E7" t="b">
        <f ca="1">NOT(ISERROR(MATCH(C7,'Geoff Usage (2)'!$C$38:$C$500,0)))</f>
        <v>1</v>
      </c>
      <c r="G7" s="23" t="s">
        <v>815</v>
      </c>
      <c r="H7" s="27">
        <f t="shared" ca="1" si="0"/>
        <v>3</v>
      </c>
      <c r="J7" s="28" t="s">
        <v>885</v>
      </c>
      <c r="K7" s="30" t="s">
        <v>229</v>
      </c>
    </row>
    <row r="8" spans="1:13" x14ac:dyDescent="0.15">
      <c r="A8" s="16">
        <f t="shared" si="1"/>
        <v>7</v>
      </c>
      <c r="B8" s="3">
        <f ca="1">IFERROR(__xludf.DUMMYFUNCTION("""COMPUTED_VALUE"""),477)</f>
        <v>477</v>
      </c>
      <c r="C8" s="3" t="str">
        <f ca="1">IFERROR(__xludf.DUMMYFUNCTION("""COMPUTED_VALUE"""),"Geoff Swaim")</f>
        <v>Geoff Swaim</v>
      </c>
      <c r="D8" s="3" t="str">
        <f ca="1">IFERROR(__xludf.DUMMYFUNCTION("""COMPUTED_VALUE"""),"TE")</f>
        <v>TE</v>
      </c>
      <c r="E8" t="b">
        <f ca="1">NOT(ISERROR(MATCH(C8,'Geoff Usage (2)'!$C$38:$C$500,0)))</f>
        <v>0</v>
      </c>
      <c r="J8" s="28" t="s">
        <v>886</v>
      </c>
      <c r="K8" s="31" t="s">
        <v>374</v>
      </c>
      <c r="L8" s="53"/>
    </row>
    <row r="9" spans="1:13" x14ac:dyDescent="0.15">
      <c r="A9" s="16">
        <f t="shared" si="1"/>
        <v>8</v>
      </c>
      <c r="B9" s="3">
        <f ca="1">IFERROR(__xludf.DUMMYFUNCTION("""COMPUTED_VALUE"""),368)</f>
        <v>368</v>
      </c>
      <c r="C9" s="3" t="str">
        <f ca="1">IFERROR(__xludf.DUMMYFUNCTION("""COMPUTED_VALUE"""),"Stefon Diggs")</f>
        <v>Stefon Diggs</v>
      </c>
      <c r="D9" s="3" t="str">
        <f ca="1">IFERROR(__xludf.DUMMYFUNCTION("""COMPUTED_VALUE"""),"WR")</f>
        <v>WR</v>
      </c>
      <c r="E9" t="b">
        <f ca="1">NOT(ISERROR(MATCH(C9,'Geoff Usage (2)'!$C$38:$C$500,0)))</f>
        <v>0</v>
      </c>
      <c r="J9" s="28" t="s">
        <v>887</v>
      </c>
      <c r="K9" s="31" t="s">
        <v>543</v>
      </c>
      <c r="L9" s="53"/>
    </row>
    <row r="10" spans="1:13" x14ac:dyDescent="0.15">
      <c r="A10" s="16">
        <f t="shared" si="1"/>
        <v>9</v>
      </c>
      <c r="B10" s="3">
        <f ca="1">IFERROR(__xludf.DUMMYFUNCTION("""COMPUTED_VALUE"""),540)</f>
        <v>540</v>
      </c>
      <c r="C10" s="3" t="str">
        <f ca="1">IFERROR(__xludf.DUMMYFUNCTION("""COMPUTED_VALUE"""),"D.J. Moore")</f>
        <v>D.J. Moore</v>
      </c>
      <c r="D10" s="3" t="str">
        <f ca="1">IFERROR(__xludf.DUMMYFUNCTION("""COMPUTED_VALUE"""),"WR")</f>
        <v>WR</v>
      </c>
      <c r="E10" t="b">
        <f ca="1">NOT(ISERROR(MATCH(C10,'Geoff Usage (2)'!$C$38:$C$500,0)))</f>
        <v>1</v>
      </c>
      <c r="J10" s="31" t="s">
        <v>888</v>
      </c>
      <c r="K10" s="31" t="s">
        <v>13</v>
      </c>
    </row>
    <row r="11" spans="1:13" x14ac:dyDescent="0.15">
      <c r="A11" s="16">
        <f t="shared" si="1"/>
        <v>10</v>
      </c>
      <c r="B11" s="3">
        <f ca="1">IFERROR(__xludf.DUMMYFUNCTION("""COMPUTED_VALUE"""),752)</f>
        <v>752</v>
      </c>
      <c r="C11" s="3" t="str">
        <f ca="1">IFERROR(__xludf.DUMMYFUNCTION("""COMPUTED_VALUE"""),"Preston Williams")</f>
        <v>Preston Williams</v>
      </c>
      <c r="D11" s="3" t="str">
        <f ca="1">IFERROR(__xludf.DUMMYFUNCTION("""COMPUTED_VALUE"""),"WR")</f>
        <v>WR</v>
      </c>
      <c r="E11" t="b">
        <f ca="1">NOT(ISERROR(MATCH(C11,'Geoff Usage (2)'!$C$38:$C$500,0)))</f>
        <v>1</v>
      </c>
      <c r="F11" s="3"/>
      <c r="G11" s="3"/>
      <c r="H11" s="3"/>
      <c r="J11" s="31" t="s">
        <v>889</v>
      </c>
      <c r="K11" s="31" t="s">
        <v>482</v>
      </c>
    </row>
    <row r="12" spans="1:13" x14ac:dyDescent="0.15">
      <c r="A12" s="16">
        <f t="shared" si="1"/>
        <v>11</v>
      </c>
      <c r="B12" s="3">
        <f ca="1">IFERROR(__xludf.DUMMYFUNCTION("""COMPUTED_VALUE"""),86)</f>
        <v>86</v>
      </c>
      <c r="C12" s="3" t="str">
        <f ca="1">IFERROR(__xludf.DUMMYFUNCTION("""COMPUTED_VALUE"""),"Adrian Peterson")</f>
        <v>Adrian Peterson</v>
      </c>
      <c r="D12" s="3" t="str">
        <f ca="1">IFERROR(__xludf.DUMMYFUNCTION("""COMPUTED_VALUE"""),"RB")</f>
        <v>RB</v>
      </c>
      <c r="E12" t="b">
        <f ca="1">NOT(ISERROR(MATCH(C12,'Geoff Usage (2)'!$C$38:$C$500,0)))</f>
        <v>1</v>
      </c>
      <c r="J12" s="31" t="s">
        <v>890</v>
      </c>
      <c r="K12" s="31" t="s">
        <v>813</v>
      </c>
    </row>
    <row r="13" spans="1:13" x14ac:dyDescent="0.15">
      <c r="A13" s="16">
        <f t="shared" si="1"/>
        <v>12</v>
      </c>
      <c r="B13" s="3">
        <f ca="1">IFERROR(__xludf.DUMMYFUNCTION("""COMPUTED_VALUE"""),120)</f>
        <v>120</v>
      </c>
      <c r="C13" s="3" t="str">
        <f ca="1">IFERROR(__xludf.DUMMYFUNCTION("""COMPUTED_VALUE"""),"Carlos Hyde")</f>
        <v>Carlos Hyde</v>
      </c>
      <c r="D13" s="3" t="str">
        <f ca="1">IFERROR(__xludf.DUMMYFUNCTION("""COMPUTED_VALUE"""),"RB")</f>
        <v>RB</v>
      </c>
      <c r="E13" t="b">
        <f ca="1">NOT(ISERROR(MATCH(C13,'Geoff Usage (2)'!$C$38:$C$500,0)))</f>
        <v>0</v>
      </c>
      <c r="J13" s="31" t="s">
        <v>891</v>
      </c>
      <c r="K13" s="31" t="s">
        <v>784</v>
      </c>
    </row>
    <row r="14" spans="1:13" x14ac:dyDescent="0.15">
      <c r="A14" s="16">
        <f t="shared" si="1"/>
        <v>13</v>
      </c>
      <c r="B14" s="3">
        <f ca="1">IFERROR(__xludf.DUMMYFUNCTION("""COMPUTED_VALUE"""),773)</f>
        <v>773</v>
      </c>
      <c r="C14" s="3" t="str">
        <f ca="1">IFERROR(__xludf.DUMMYFUNCTION("""COMPUTED_VALUE"""),"Gardner Minshew")</f>
        <v>Gardner Minshew</v>
      </c>
      <c r="D14" s="3" t="str">
        <f ca="1">IFERROR(__xludf.DUMMYFUNCTION("""COMPUTED_VALUE"""),"QB")</f>
        <v>QB</v>
      </c>
      <c r="E14" t="b">
        <f ca="1">NOT(ISERROR(MATCH(C14,'Geoff Usage (2)'!$C$38:$C$500,0)))</f>
        <v>1</v>
      </c>
      <c r="J14" s="31" t="s">
        <v>892</v>
      </c>
      <c r="K14" s="31" t="s">
        <v>816</v>
      </c>
    </row>
    <row r="15" spans="1:13" x14ac:dyDescent="0.15">
      <c r="A15" s="16">
        <f t="shared" si="1"/>
        <v>14</v>
      </c>
      <c r="B15" s="3">
        <f ca="1">IFERROR(__xludf.DUMMYFUNCTION("""COMPUTED_VALUE"""),822)</f>
        <v>822</v>
      </c>
      <c r="C15" s="3" t="str">
        <f ca="1">IFERROR(__xludf.DUMMYFUNCTION("""COMPUTED_VALUE"""),"Dan Bailey")</f>
        <v>Dan Bailey</v>
      </c>
      <c r="D15" s="3" t="str">
        <f ca="1">IFERROR(__xludf.DUMMYFUNCTION("""COMPUTED_VALUE"""),"K")</f>
        <v>K</v>
      </c>
      <c r="E15" t="b">
        <f ca="1">NOT(ISERROR(MATCH(C15,'Geoff Usage (2)'!$C$38:$C$500,0)))</f>
        <v>1</v>
      </c>
      <c r="J15" s="33" t="s">
        <v>893</v>
      </c>
      <c r="K15" s="33" t="s">
        <v>854</v>
      </c>
    </row>
    <row r="16" spans="1:13" x14ac:dyDescent="0.15">
      <c r="A16" s="16">
        <f t="shared" si="1"/>
        <v>15</v>
      </c>
      <c r="B16" s="3">
        <f ca="1">IFERROR(__xludf.DUMMYFUNCTION("""COMPUTED_VALUE"""),860)</f>
        <v>860</v>
      </c>
      <c r="C16" s="3" t="str">
        <f ca="1">IFERROR(__xludf.DUMMYFUNCTION("""COMPUTED_VALUE"""),"Joey Slye")</f>
        <v>Joey Slye</v>
      </c>
      <c r="D16" s="3" t="str">
        <f ca="1">IFERROR(__xludf.DUMMYFUNCTION("""COMPUTED_VALUE"""),"K")</f>
        <v>K</v>
      </c>
      <c r="E16" t="b">
        <f ca="1">NOT(ISERROR(MATCH(C16,'Geoff Usage (2)'!$C$38:$C$500,0)))</f>
        <v>1</v>
      </c>
      <c r="F16" s="21"/>
    </row>
    <row r="17" spans="1:12" x14ac:dyDescent="0.15">
      <c r="A17" s="16">
        <f t="shared" si="1"/>
        <v>16</v>
      </c>
      <c r="B17" s="2">
        <v>870</v>
      </c>
      <c r="C17" s="50" t="s">
        <v>914</v>
      </c>
      <c r="D17" s="2" t="s">
        <v>815</v>
      </c>
      <c r="E17" t="b">
        <f>NOT(ISERROR(MATCH(C17,'Geoff Usage (2)'!$C$38:$C$500,0)))</f>
        <v>1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IFERROR(__xludf.DUMMYFUNCTION("""COMPUTED_VALUE"""),8)</f>
        <v>8</v>
      </c>
      <c r="C18" s="3" t="str">
        <f ca="1">IFERROR(__xludf.DUMMYFUNCTION("""COMPUTED_VALUE"""),"Austin Hooper")</f>
        <v>Austin Hooper</v>
      </c>
      <c r="D18" s="3" t="str">
        <f ca="1">IFERROR(__xludf.DUMMYFUNCTION("""COMPUTED_VALUE"""),"TE")</f>
        <v>TE</v>
      </c>
      <c r="E18" t="b">
        <f ca="1">NOT(ISERROR(MATCH(C18,'Geoff Usage (2)'!$C$38:$C$500,0)))</f>
        <v>1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IFERROR(__xludf.DUMMYFUNCTION("""COMPUTED_VALUE"""),635)</f>
        <v>635</v>
      </c>
      <c r="C19" s="3" t="str">
        <f ca="1">IFERROR(__xludf.DUMMYFUNCTION("""COMPUTED_VALUE"""),"Jeremy Sprinkle")</f>
        <v>Jeremy Sprinkle</v>
      </c>
      <c r="D19" s="3" t="str">
        <f ca="1">IFERROR(__xludf.DUMMYFUNCTION("""COMPUTED_VALUE"""),"TE")</f>
        <v>TE</v>
      </c>
      <c r="E19" t="b">
        <f ca="1">NOT(ISERROR(MATCH(C19,'Geoff Usage (2)'!$C$38:$C$500,0)))</f>
        <v>0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IFERROR(__xludf.DUMMYFUNCTION("""COMPUTED_VALUE"""),791)</f>
        <v>791</v>
      </c>
      <c r="C20" s="3" t="str">
        <f ca="1">IFERROR(__xludf.DUMMYFUNCTION("""COMPUTED_VALUE"""),"Baltimore Ravens")</f>
        <v>Baltimore Ravens</v>
      </c>
      <c r="D20" s="3" t="str">
        <f ca="1">IFERROR(__xludf.DUMMYFUNCTION("""COMPUTED_VALUE"""),"D/ST")</f>
        <v>D/ST</v>
      </c>
      <c r="E20" t="b">
        <f ca="1">NOT(ISERROR(MATCH(C20,'Geoff Usage (2)'!$C$38:$C$500,0)))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IFERROR(__xludf.DUMMYFUNCTION("""COMPUTED_VALUE"""),807)</f>
        <v>807</v>
      </c>
      <c r="C21" s="3" t="str">
        <f ca="1">IFERROR(__xludf.DUMMYFUNCTION("""COMPUTED_VALUE"""),"Miami Dolphins")</f>
        <v>Miami Dolphins</v>
      </c>
      <c r="D21" s="3" t="str">
        <f ca="1">IFERROR(__xludf.DUMMYFUNCTION("""COMPUTED_VALUE"""),"D/ST")</f>
        <v>D/ST</v>
      </c>
      <c r="E21" t="b">
        <f ca="1">NOT(ISERROR(MATCH(C21,'Geoff Usage (2)'!$C$38:$C$500,0)))</f>
        <v>1</v>
      </c>
      <c r="F21" s="21"/>
    </row>
    <row r="22" spans="1:12" x14ac:dyDescent="0.15">
      <c r="A22" s="32"/>
      <c r="B22" s="3"/>
      <c r="C22" s="3"/>
      <c r="D22" s="3"/>
    </row>
    <row r="23" spans="1:12" x14ac:dyDescent="0.15">
      <c r="A23" s="32" t="s">
        <v>907</v>
      </c>
      <c r="B23" s="52" t="s">
        <v>909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643" priority="503">
      <formula>E5=1</formula>
    </cfRule>
  </conditionalFormatting>
  <conditionalFormatting sqref="B24:C25 C23">
    <cfRule type="expression" dxfId="642" priority="502">
      <formula>E23=1</formula>
    </cfRule>
  </conditionalFormatting>
  <conditionalFormatting sqref="C23:C25">
    <cfRule type="expression" dxfId="641" priority="501">
      <formula>E23=1</formula>
    </cfRule>
  </conditionalFormatting>
  <conditionalFormatting sqref="H2">
    <cfRule type="expression" dxfId="640" priority="500">
      <formula>$H$2&gt;=3</formula>
    </cfRule>
  </conditionalFormatting>
  <conditionalFormatting sqref="H3">
    <cfRule type="expression" dxfId="639" priority="499">
      <formula>$H$3&gt;=4</formula>
    </cfRule>
  </conditionalFormatting>
  <conditionalFormatting sqref="H4">
    <cfRule type="expression" dxfId="638" priority="498">
      <formula>$H$4&gt;=4</formula>
    </cfRule>
  </conditionalFormatting>
  <conditionalFormatting sqref="H5">
    <cfRule type="expression" dxfId="637" priority="497">
      <formula>$H$5&gt;=3</formula>
    </cfRule>
  </conditionalFormatting>
  <conditionalFormatting sqref="H6">
    <cfRule type="expression" dxfId="636" priority="496">
      <formula>$H$6&gt;=3</formula>
    </cfRule>
  </conditionalFormatting>
  <conditionalFormatting sqref="H7">
    <cfRule type="expression" dxfId="635" priority="495">
      <formula>$H$7&gt;=3</formula>
    </cfRule>
  </conditionalFormatting>
  <conditionalFormatting sqref="D23">
    <cfRule type="expression" dxfId="634" priority="494">
      <formula>H21=1</formula>
    </cfRule>
  </conditionalFormatting>
  <conditionalFormatting sqref="A2:A3">
    <cfRule type="expression" dxfId="633" priority="504">
      <formula>E3=1</formula>
    </cfRule>
  </conditionalFormatting>
  <conditionalFormatting sqref="D23">
    <cfRule type="expression" dxfId="632" priority="493">
      <formula>G21=1</formula>
    </cfRule>
  </conditionalFormatting>
  <conditionalFormatting sqref="A20 A22">
    <cfRule type="expression" dxfId="631" priority="505">
      <formula>#REF!=1</formula>
    </cfRule>
  </conditionalFormatting>
  <conditionalFormatting sqref="A4">
    <cfRule type="expression" dxfId="630" priority="506">
      <formula>#REF!=1</formula>
    </cfRule>
  </conditionalFormatting>
  <conditionalFormatting sqref="A16:A17">
    <cfRule type="expression" dxfId="629" priority="507">
      <formula>F16=1</formula>
    </cfRule>
  </conditionalFormatting>
  <conditionalFormatting sqref="A21 A19">
    <cfRule type="expression" dxfId="628" priority="508">
      <formula>F18=1</formula>
    </cfRule>
  </conditionalFormatting>
  <conditionalFormatting sqref="A18">
    <cfRule type="expression" dxfId="627" priority="509">
      <formula>F21=1</formula>
    </cfRule>
  </conditionalFormatting>
  <conditionalFormatting sqref="A23:B23">
    <cfRule type="expression" dxfId="626" priority="492">
      <formula>E23=1</formula>
    </cfRule>
  </conditionalFormatting>
  <conditionalFormatting sqref="B23">
    <cfRule type="expression" dxfId="625" priority="491">
      <formula>E23=1</formula>
    </cfRule>
  </conditionalFormatting>
  <conditionalFormatting sqref="B26:D26">
    <cfRule type="expression" dxfId="624" priority="339">
      <formula>F26=1</formula>
    </cfRule>
  </conditionalFormatting>
  <conditionalFormatting sqref="B26:D26">
    <cfRule type="expression" dxfId="623" priority="338">
      <formula>E26=1</formula>
    </cfRule>
  </conditionalFormatting>
  <conditionalFormatting sqref="C26">
    <cfRule type="expression" dxfId="622" priority="337">
      <formula>E26=1</formula>
    </cfRule>
  </conditionalFormatting>
  <conditionalFormatting sqref="D26">
    <cfRule type="expression" dxfId="621" priority="336">
      <formula>E26=1</formula>
    </cfRule>
  </conditionalFormatting>
  <conditionalFormatting sqref="C28:D28">
    <cfRule type="expression" dxfId="620" priority="331">
      <formula>G22=1</formula>
    </cfRule>
  </conditionalFormatting>
  <conditionalFormatting sqref="D28">
    <cfRule type="expression" dxfId="619" priority="330">
      <formula>G22=1</formula>
    </cfRule>
  </conditionalFormatting>
  <conditionalFormatting sqref="B28">
    <cfRule type="expression" dxfId="618" priority="332">
      <formula>F5=1</formula>
    </cfRule>
  </conditionalFormatting>
  <conditionalFormatting sqref="B28:C28">
    <cfRule type="expression" dxfId="617" priority="333">
      <formula>E5=1</formula>
    </cfRule>
  </conditionalFormatting>
  <conditionalFormatting sqref="C28">
    <cfRule type="expression" dxfId="616" priority="334">
      <formula>E5=1</formula>
    </cfRule>
  </conditionalFormatting>
  <conditionalFormatting sqref="D28">
    <cfRule type="expression" dxfId="615" priority="335">
      <formula>E5=1</formula>
    </cfRule>
  </conditionalFormatting>
  <conditionalFormatting sqref="B28:D28">
    <cfRule type="expression" dxfId="614" priority="329">
      <formula>F28=1</formula>
    </cfRule>
  </conditionalFormatting>
  <conditionalFormatting sqref="B28:D28">
    <cfRule type="expression" dxfId="613" priority="328">
      <formula>E28=1</formula>
    </cfRule>
  </conditionalFormatting>
  <conditionalFormatting sqref="C28">
    <cfRule type="expression" dxfId="612" priority="327">
      <formula>E28=1</formula>
    </cfRule>
  </conditionalFormatting>
  <conditionalFormatting sqref="D28">
    <cfRule type="expression" dxfId="611" priority="326">
      <formula>E28=1</formula>
    </cfRule>
  </conditionalFormatting>
  <conditionalFormatting sqref="B27:D27">
    <cfRule type="expression" dxfId="610" priority="325">
      <formula>F27=1</formula>
    </cfRule>
  </conditionalFormatting>
  <conditionalFormatting sqref="B27:D27">
    <cfRule type="expression" dxfId="609" priority="324">
      <formula>E27=1</formula>
    </cfRule>
  </conditionalFormatting>
  <conditionalFormatting sqref="C27">
    <cfRule type="expression" dxfId="608" priority="323">
      <formula>E27=1</formula>
    </cfRule>
  </conditionalFormatting>
  <conditionalFormatting sqref="D27">
    <cfRule type="expression" dxfId="607" priority="322">
      <formula>E27=1</formula>
    </cfRule>
  </conditionalFormatting>
  <conditionalFormatting sqref="B30:D30">
    <cfRule type="expression" dxfId="606" priority="297">
      <formula>F30=1</formula>
    </cfRule>
  </conditionalFormatting>
  <conditionalFormatting sqref="B30:D30">
    <cfRule type="expression" dxfId="605" priority="296">
      <formula>E30=1</formula>
    </cfRule>
  </conditionalFormatting>
  <conditionalFormatting sqref="C30">
    <cfRule type="expression" dxfId="604" priority="295">
      <formula>E30=1</formula>
    </cfRule>
  </conditionalFormatting>
  <conditionalFormatting sqref="D30">
    <cfRule type="expression" dxfId="603" priority="294">
      <formula>E30=1</formula>
    </cfRule>
  </conditionalFormatting>
  <conditionalFormatting sqref="B31:D31">
    <cfRule type="expression" dxfId="602" priority="293">
      <formula>F31=1</formula>
    </cfRule>
  </conditionalFormatting>
  <conditionalFormatting sqref="B31:D31">
    <cfRule type="expression" dxfId="601" priority="292">
      <formula>E31=1</formula>
    </cfRule>
  </conditionalFormatting>
  <conditionalFormatting sqref="C31">
    <cfRule type="expression" dxfId="600" priority="291">
      <formula>E31=1</formula>
    </cfRule>
  </conditionalFormatting>
  <conditionalFormatting sqref="D31">
    <cfRule type="expression" dxfId="599" priority="290">
      <formula>E31=1</formula>
    </cfRule>
  </conditionalFormatting>
  <conditionalFormatting sqref="B32:D32">
    <cfRule type="expression" dxfId="598" priority="289">
      <formula>F32=1</formula>
    </cfRule>
  </conditionalFormatting>
  <conditionalFormatting sqref="B32:D32">
    <cfRule type="expression" dxfId="597" priority="288">
      <formula>E32=1</formula>
    </cfRule>
  </conditionalFormatting>
  <conditionalFormatting sqref="C32">
    <cfRule type="expression" dxfId="596" priority="287">
      <formula>E32=1</formula>
    </cfRule>
  </conditionalFormatting>
  <conditionalFormatting sqref="D32">
    <cfRule type="expression" dxfId="595" priority="286">
      <formula>E32=1</formula>
    </cfRule>
  </conditionalFormatting>
  <conditionalFormatting sqref="B33:D33">
    <cfRule type="expression" dxfId="594" priority="285">
      <formula>F33=1</formula>
    </cfRule>
  </conditionalFormatting>
  <conditionalFormatting sqref="B33:D33">
    <cfRule type="expression" dxfId="593" priority="284">
      <formula>E33=1</formula>
    </cfRule>
  </conditionalFormatting>
  <conditionalFormatting sqref="C33">
    <cfRule type="expression" dxfId="592" priority="283">
      <formula>E33=1</formula>
    </cfRule>
  </conditionalFormatting>
  <conditionalFormatting sqref="D33">
    <cfRule type="expression" dxfId="591" priority="282">
      <formula>E33=1</formula>
    </cfRule>
  </conditionalFormatting>
  <conditionalFormatting sqref="D8">
    <cfRule type="expression" dxfId="590" priority="254">
      <formula>E8=1</formula>
    </cfRule>
  </conditionalFormatting>
  <conditionalFormatting sqref="B8:D8">
    <cfRule type="expression" dxfId="589" priority="257">
      <formula>F8=1</formula>
    </cfRule>
  </conditionalFormatting>
  <conditionalFormatting sqref="B8:D8">
    <cfRule type="expression" dxfId="588" priority="256">
      <formula>E8=1</formula>
    </cfRule>
  </conditionalFormatting>
  <conditionalFormatting sqref="C8">
    <cfRule type="expression" dxfId="587" priority="255">
      <formula>E8=1</formula>
    </cfRule>
  </conditionalFormatting>
  <conditionalFormatting sqref="B12:D12">
    <cfRule type="expression" dxfId="586" priority="135">
      <formula>F12=1</formula>
    </cfRule>
  </conditionalFormatting>
  <conditionalFormatting sqref="B12:D12">
    <cfRule type="expression" dxfId="585" priority="134">
      <formula>E12=1</formula>
    </cfRule>
  </conditionalFormatting>
  <conditionalFormatting sqref="C12">
    <cfRule type="expression" dxfId="584" priority="133">
      <formula>E12=1</formula>
    </cfRule>
  </conditionalFormatting>
  <conditionalFormatting sqref="D12">
    <cfRule type="expression" dxfId="583" priority="132">
      <formula>E12=1</formula>
    </cfRule>
  </conditionalFormatting>
  <conditionalFormatting sqref="B20:C20">
    <cfRule type="expression" dxfId="582" priority="239">
      <formula>F20=1</formula>
    </cfRule>
  </conditionalFormatting>
  <conditionalFormatting sqref="B20:D20">
    <cfRule type="expression" dxfId="581" priority="238">
      <formula>E20=1</formula>
    </cfRule>
  </conditionalFormatting>
  <conditionalFormatting sqref="C20">
    <cfRule type="expression" dxfId="580" priority="237">
      <formula>E20=1</formula>
    </cfRule>
  </conditionalFormatting>
  <conditionalFormatting sqref="D20">
    <cfRule type="expression" dxfId="579" priority="236">
      <formula>E20=1</formula>
    </cfRule>
  </conditionalFormatting>
  <conditionalFormatting sqref="D20">
    <cfRule type="expression" dxfId="578" priority="240">
      <formula>H19=1</formula>
    </cfRule>
  </conditionalFormatting>
  <conditionalFormatting sqref="B2:D2">
    <cfRule type="expression" dxfId="577" priority="235">
      <formula>F2=1</formula>
    </cfRule>
  </conditionalFormatting>
  <conditionalFormatting sqref="B2:D2">
    <cfRule type="expression" dxfId="576" priority="234">
      <formula>E2=1</formula>
    </cfRule>
  </conditionalFormatting>
  <conditionalFormatting sqref="C2">
    <cfRule type="expression" dxfId="575" priority="233">
      <formula>E2=1</formula>
    </cfRule>
  </conditionalFormatting>
  <conditionalFormatting sqref="D2">
    <cfRule type="expression" dxfId="574" priority="232">
      <formula>E2=1</formula>
    </cfRule>
  </conditionalFormatting>
  <conditionalFormatting sqref="B16:D16">
    <cfRule type="expression" dxfId="573" priority="227">
      <formula>F16=1</formula>
    </cfRule>
  </conditionalFormatting>
  <conditionalFormatting sqref="B16:D16">
    <cfRule type="expression" dxfId="572" priority="226">
      <formula>E16=1</formula>
    </cfRule>
  </conditionalFormatting>
  <conditionalFormatting sqref="C16">
    <cfRule type="expression" dxfId="571" priority="225">
      <formula>E16=1</formula>
    </cfRule>
  </conditionalFormatting>
  <conditionalFormatting sqref="D16">
    <cfRule type="expression" dxfId="570" priority="224">
      <formula>E16=1</formula>
    </cfRule>
  </conditionalFormatting>
  <conditionalFormatting sqref="B15:D15">
    <cfRule type="expression" dxfId="569" priority="223">
      <formula>F15=1</formula>
    </cfRule>
  </conditionalFormatting>
  <conditionalFormatting sqref="B15:D15">
    <cfRule type="expression" dxfId="568" priority="222">
      <formula>E15=1</formula>
    </cfRule>
  </conditionalFormatting>
  <conditionalFormatting sqref="C15">
    <cfRule type="expression" dxfId="567" priority="221">
      <formula>E15=1</formula>
    </cfRule>
  </conditionalFormatting>
  <conditionalFormatting sqref="D15">
    <cfRule type="expression" dxfId="566" priority="220">
      <formula>E15=1</formula>
    </cfRule>
  </conditionalFormatting>
  <conditionalFormatting sqref="B21:D21">
    <cfRule type="expression" dxfId="565" priority="219">
      <formula>F21=1</formula>
    </cfRule>
  </conditionalFormatting>
  <conditionalFormatting sqref="B21:D21">
    <cfRule type="expression" dxfId="564" priority="218">
      <formula>E21=1</formula>
    </cfRule>
  </conditionalFormatting>
  <conditionalFormatting sqref="C21">
    <cfRule type="expression" dxfId="563" priority="217">
      <formula>E21=1</formula>
    </cfRule>
  </conditionalFormatting>
  <conditionalFormatting sqref="D21">
    <cfRule type="expression" dxfId="562" priority="216">
      <formula>E21=1</formula>
    </cfRule>
  </conditionalFormatting>
  <conditionalFormatting sqref="B3:D3">
    <cfRule type="expression" dxfId="561" priority="215">
      <formula>F3=1</formula>
    </cfRule>
  </conditionalFormatting>
  <conditionalFormatting sqref="B3:D3">
    <cfRule type="expression" dxfId="560" priority="214">
      <formula>E3=1</formula>
    </cfRule>
  </conditionalFormatting>
  <conditionalFormatting sqref="C3">
    <cfRule type="expression" dxfId="559" priority="213">
      <formula>E3=1</formula>
    </cfRule>
  </conditionalFormatting>
  <conditionalFormatting sqref="D3">
    <cfRule type="expression" dxfId="558" priority="212">
      <formula>E3=1</formula>
    </cfRule>
  </conditionalFormatting>
  <conditionalFormatting sqref="B4:D4">
    <cfRule type="expression" dxfId="557" priority="211">
      <formula>F4=1</formula>
    </cfRule>
  </conditionalFormatting>
  <conditionalFormatting sqref="B4:D4">
    <cfRule type="expression" dxfId="556" priority="210">
      <formula>E4=1</formula>
    </cfRule>
  </conditionalFormatting>
  <conditionalFormatting sqref="C4">
    <cfRule type="expression" dxfId="555" priority="209">
      <formula>E4=1</formula>
    </cfRule>
  </conditionalFormatting>
  <conditionalFormatting sqref="D4">
    <cfRule type="expression" dxfId="554" priority="208">
      <formula>E4=1</formula>
    </cfRule>
  </conditionalFormatting>
  <conditionalFormatting sqref="B15:D15">
    <cfRule type="expression" dxfId="553" priority="115">
      <formula>F15=1</formula>
    </cfRule>
  </conditionalFormatting>
  <conditionalFormatting sqref="B15:D15">
    <cfRule type="expression" dxfId="552" priority="114">
      <formula>E15=1</formula>
    </cfRule>
  </conditionalFormatting>
  <conditionalFormatting sqref="C15">
    <cfRule type="expression" dxfId="551" priority="113">
      <formula>E15=1</formula>
    </cfRule>
  </conditionalFormatting>
  <conditionalFormatting sqref="D15">
    <cfRule type="expression" dxfId="550" priority="112">
      <formula>E15=1</formula>
    </cfRule>
  </conditionalFormatting>
  <conditionalFormatting sqref="B17:D17">
    <cfRule type="expression" dxfId="549" priority="203">
      <formula>F17=1</formula>
    </cfRule>
  </conditionalFormatting>
  <conditionalFormatting sqref="B17:D17">
    <cfRule type="expression" dxfId="548" priority="202">
      <formula>E17=1</formula>
    </cfRule>
  </conditionalFormatting>
  <conditionalFormatting sqref="C17">
    <cfRule type="expression" dxfId="547" priority="201">
      <formula>E17=1</formula>
    </cfRule>
  </conditionalFormatting>
  <conditionalFormatting sqref="D17">
    <cfRule type="expression" dxfId="546" priority="200">
      <formula>E17=1</formula>
    </cfRule>
  </conditionalFormatting>
  <conditionalFormatting sqref="B5:D5">
    <cfRule type="expression" dxfId="545" priority="199">
      <formula>F5=1</formula>
    </cfRule>
  </conditionalFormatting>
  <conditionalFormatting sqref="B5:D5">
    <cfRule type="expression" dxfId="544" priority="198">
      <formula>E5=1</formula>
    </cfRule>
  </conditionalFormatting>
  <conditionalFormatting sqref="C5">
    <cfRule type="expression" dxfId="543" priority="197">
      <formula>E5=1</formula>
    </cfRule>
  </conditionalFormatting>
  <conditionalFormatting sqref="D5">
    <cfRule type="expression" dxfId="542" priority="196">
      <formula>E5=1</formula>
    </cfRule>
  </conditionalFormatting>
  <conditionalFormatting sqref="B18:D18">
    <cfRule type="expression" dxfId="541" priority="191">
      <formula>F18=1</formula>
    </cfRule>
  </conditionalFormatting>
  <conditionalFormatting sqref="B18:D18">
    <cfRule type="expression" dxfId="540" priority="190">
      <formula>E18=1</formula>
    </cfRule>
  </conditionalFormatting>
  <conditionalFormatting sqref="C18">
    <cfRule type="expression" dxfId="539" priority="189">
      <formula>E18=1</formula>
    </cfRule>
  </conditionalFormatting>
  <conditionalFormatting sqref="D18">
    <cfRule type="expression" dxfId="538" priority="188">
      <formula>E18=1</formula>
    </cfRule>
  </conditionalFormatting>
  <conditionalFormatting sqref="B9:D9">
    <cfRule type="expression" dxfId="537" priority="187">
      <formula>F9=1</formula>
    </cfRule>
  </conditionalFormatting>
  <conditionalFormatting sqref="B9:D9">
    <cfRule type="expression" dxfId="536" priority="186">
      <formula>E9=1</formula>
    </cfRule>
  </conditionalFormatting>
  <conditionalFormatting sqref="C9">
    <cfRule type="expression" dxfId="535" priority="185">
      <formula>E9=1</formula>
    </cfRule>
  </conditionalFormatting>
  <conditionalFormatting sqref="D9">
    <cfRule type="expression" dxfId="534" priority="184">
      <formula>E9=1</formula>
    </cfRule>
  </conditionalFormatting>
  <conditionalFormatting sqref="B19:D19">
    <cfRule type="expression" dxfId="533" priority="183">
      <formula>F19=1</formula>
    </cfRule>
  </conditionalFormatting>
  <conditionalFormatting sqref="B19:D19">
    <cfRule type="expression" dxfId="532" priority="182">
      <formula>E19=1</formula>
    </cfRule>
  </conditionalFormatting>
  <conditionalFormatting sqref="C19">
    <cfRule type="expression" dxfId="531" priority="181">
      <formula>E19=1</formula>
    </cfRule>
  </conditionalFormatting>
  <conditionalFormatting sqref="D19">
    <cfRule type="expression" dxfId="530" priority="180">
      <formula>E19=1</formula>
    </cfRule>
  </conditionalFormatting>
  <conditionalFormatting sqref="D11">
    <cfRule type="expression" dxfId="529" priority="116">
      <formula>E11=1</formula>
    </cfRule>
  </conditionalFormatting>
  <conditionalFormatting sqref="B11:D11">
    <cfRule type="expression" dxfId="528" priority="119">
      <formula>F11=1</formula>
    </cfRule>
  </conditionalFormatting>
  <conditionalFormatting sqref="B11:D11">
    <cfRule type="expression" dxfId="527" priority="118">
      <formula>E11=1</formula>
    </cfRule>
  </conditionalFormatting>
  <conditionalFormatting sqref="C11">
    <cfRule type="expression" dxfId="526" priority="117">
      <formula>E11=1</formula>
    </cfRule>
  </conditionalFormatting>
  <conditionalFormatting sqref="D11">
    <cfRule type="expression" dxfId="525" priority="156">
      <formula>E11=1</formula>
    </cfRule>
  </conditionalFormatting>
  <conditionalFormatting sqref="B11:D11">
    <cfRule type="expression" dxfId="524" priority="159">
      <formula>F11=1</formula>
    </cfRule>
  </conditionalFormatting>
  <conditionalFormatting sqref="B11:D11">
    <cfRule type="expression" dxfId="523" priority="158">
      <formula>E11=1</formula>
    </cfRule>
  </conditionalFormatting>
  <conditionalFormatting sqref="C11">
    <cfRule type="expression" dxfId="522" priority="157">
      <formula>E11=1</formula>
    </cfRule>
  </conditionalFormatting>
  <conditionalFormatting sqref="D10">
    <cfRule type="expression" dxfId="521" priority="152">
      <formula>E10=1</formula>
    </cfRule>
  </conditionalFormatting>
  <conditionalFormatting sqref="B10:D10">
    <cfRule type="expression" dxfId="520" priority="155">
      <formula>F10=1</formula>
    </cfRule>
  </conditionalFormatting>
  <conditionalFormatting sqref="B10:D10">
    <cfRule type="expression" dxfId="519" priority="154">
      <formula>E10=1</formula>
    </cfRule>
  </conditionalFormatting>
  <conditionalFormatting sqref="C10">
    <cfRule type="expression" dxfId="518" priority="153">
      <formula>E10=1</formula>
    </cfRule>
  </conditionalFormatting>
  <conditionalFormatting sqref="D12">
    <cfRule type="expression" dxfId="517" priority="148">
      <formula>E12=1</formula>
    </cfRule>
  </conditionalFormatting>
  <conditionalFormatting sqref="B12:D12">
    <cfRule type="expression" dxfId="516" priority="151">
      <formula>F12=1</formula>
    </cfRule>
  </conditionalFormatting>
  <conditionalFormatting sqref="B12:D12">
    <cfRule type="expression" dxfId="515" priority="150">
      <formula>E12=1</formula>
    </cfRule>
  </conditionalFormatting>
  <conditionalFormatting sqref="C12">
    <cfRule type="expression" dxfId="514" priority="149">
      <formula>E12=1</formula>
    </cfRule>
  </conditionalFormatting>
  <conditionalFormatting sqref="B5:D5">
    <cfRule type="expression" dxfId="513" priority="143">
      <formula>F5=1</formula>
    </cfRule>
  </conditionalFormatting>
  <conditionalFormatting sqref="B5:D5">
    <cfRule type="expression" dxfId="512" priority="142">
      <formula>E5=1</formula>
    </cfRule>
  </conditionalFormatting>
  <conditionalFormatting sqref="C5">
    <cfRule type="expression" dxfId="511" priority="141">
      <formula>E5=1</formula>
    </cfRule>
  </conditionalFormatting>
  <conditionalFormatting sqref="D5">
    <cfRule type="expression" dxfId="510" priority="140">
      <formula>E5=1</formula>
    </cfRule>
  </conditionalFormatting>
  <conditionalFormatting sqref="B8:D8">
    <cfRule type="expression" dxfId="509" priority="139">
      <formula>F8=1</formula>
    </cfRule>
  </conditionalFormatting>
  <conditionalFormatting sqref="B8:D8">
    <cfRule type="expression" dxfId="508" priority="138">
      <formula>E8=1</formula>
    </cfRule>
  </conditionalFormatting>
  <conditionalFormatting sqref="C8">
    <cfRule type="expression" dxfId="507" priority="137">
      <formula>E8=1</formula>
    </cfRule>
  </conditionalFormatting>
  <conditionalFormatting sqref="D8">
    <cfRule type="expression" dxfId="506" priority="136">
      <formula>E8=1</formula>
    </cfRule>
  </conditionalFormatting>
  <conditionalFormatting sqref="D10">
    <cfRule type="expression" dxfId="505" priority="124">
      <formula>E10=1</formula>
    </cfRule>
  </conditionalFormatting>
  <conditionalFormatting sqref="B10:D10">
    <cfRule type="expression" dxfId="504" priority="127">
      <formula>F10=1</formula>
    </cfRule>
  </conditionalFormatting>
  <conditionalFormatting sqref="B10:D10">
    <cfRule type="expression" dxfId="503" priority="126">
      <formula>E10=1</formula>
    </cfRule>
  </conditionalFormatting>
  <conditionalFormatting sqref="C10">
    <cfRule type="expression" dxfId="502" priority="125">
      <formula>E10=1</formula>
    </cfRule>
  </conditionalFormatting>
  <conditionalFormatting sqref="D9">
    <cfRule type="expression" dxfId="501" priority="120">
      <formula>E9=1</formula>
    </cfRule>
  </conditionalFormatting>
  <conditionalFormatting sqref="B9:D9">
    <cfRule type="expression" dxfId="500" priority="123">
      <formula>F9=1</formula>
    </cfRule>
  </conditionalFormatting>
  <conditionalFormatting sqref="B9:D9">
    <cfRule type="expression" dxfId="499" priority="122">
      <formula>E9=1</formula>
    </cfRule>
  </conditionalFormatting>
  <conditionalFormatting sqref="C9">
    <cfRule type="expression" dxfId="498" priority="121">
      <formula>E9=1</formula>
    </cfRule>
  </conditionalFormatting>
  <conditionalFormatting sqref="B13:D13">
    <cfRule type="expression" dxfId="497" priority="107">
      <formula>F13=1</formula>
    </cfRule>
  </conditionalFormatting>
  <conditionalFormatting sqref="B13:D13">
    <cfRule type="expression" dxfId="496" priority="106">
      <formula>E13=1</formula>
    </cfRule>
  </conditionalFormatting>
  <conditionalFormatting sqref="C13">
    <cfRule type="expression" dxfId="495" priority="105">
      <formula>E13=1</formula>
    </cfRule>
  </conditionalFormatting>
  <conditionalFormatting sqref="D13">
    <cfRule type="expression" dxfId="494" priority="104">
      <formula>E13=1</formula>
    </cfRule>
  </conditionalFormatting>
  <conditionalFormatting sqref="B21:C21">
    <cfRule type="expression" dxfId="493" priority="102">
      <formula>F21=1</formula>
    </cfRule>
  </conditionalFormatting>
  <conditionalFormatting sqref="B21:D21">
    <cfRule type="expression" dxfId="492" priority="101">
      <formula>E21=1</formula>
    </cfRule>
  </conditionalFormatting>
  <conditionalFormatting sqref="C21">
    <cfRule type="expression" dxfId="491" priority="100">
      <formula>E21=1</formula>
    </cfRule>
  </conditionalFormatting>
  <conditionalFormatting sqref="D21">
    <cfRule type="expression" dxfId="490" priority="99">
      <formula>E21=1</formula>
    </cfRule>
  </conditionalFormatting>
  <conditionalFormatting sqref="D21">
    <cfRule type="expression" dxfId="489" priority="103">
      <formula>H20=1</formula>
    </cfRule>
  </conditionalFormatting>
  <conditionalFormatting sqref="B17:D17">
    <cfRule type="expression" dxfId="488" priority="98">
      <formula>F17=1</formula>
    </cfRule>
  </conditionalFormatting>
  <conditionalFormatting sqref="B17:D17">
    <cfRule type="expression" dxfId="487" priority="97">
      <formula>E17=1</formula>
    </cfRule>
  </conditionalFormatting>
  <conditionalFormatting sqref="C17">
    <cfRule type="expression" dxfId="486" priority="96">
      <formula>E17=1</formula>
    </cfRule>
  </conditionalFormatting>
  <conditionalFormatting sqref="D17">
    <cfRule type="expression" dxfId="485" priority="95">
      <formula>E17=1</formula>
    </cfRule>
  </conditionalFormatting>
  <conditionalFormatting sqref="B16:D16">
    <cfRule type="expression" dxfId="484" priority="94">
      <formula>F16=1</formula>
    </cfRule>
  </conditionalFormatting>
  <conditionalFormatting sqref="B16:D16">
    <cfRule type="expression" dxfId="483" priority="93">
      <formula>E16=1</formula>
    </cfRule>
  </conditionalFormatting>
  <conditionalFormatting sqref="C16">
    <cfRule type="expression" dxfId="482" priority="92">
      <formula>E16=1</formula>
    </cfRule>
  </conditionalFormatting>
  <conditionalFormatting sqref="D16">
    <cfRule type="expression" dxfId="481" priority="91">
      <formula>E16=1</formula>
    </cfRule>
  </conditionalFormatting>
  <conditionalFormatting sqref="B22:D22">
    <cfRule type="expression" dxfId="480" priority="90">
      <formula>F22=1</formula>
    </cfRule>
  </conditionalFormatting>
  <conditionalFormatting sqref="B22:D22">
    <cfRule type="expression" dxfId="479" priority="89">
      <formula>E22=1</formula>
    </cfRule>
  </conditionalFormatting>
  <conditionalFormatting sqref="C22">
    <cfRule type="expression" dxfId="478" priority="88">
      <formula>E22=1</formula>
    </cfRule>
  </conditionalFormatting>
  <conditionalFormatting sqref="D22">
    <cfRule type="expression" dxfId="477" priority="87">
      <formula>E22=1</formula>
    </cfRule>
  </conditionalFormatting>
  <conditionalFormatting sqref="B16:D16">
    <cfRule type="expression" dxfId="476" priority="70">
      <formula>F16=1</formula>
    </cfRule>
  </conditionalFormatting>
  <conditionalFormatting sqref="B16:D16">
    <cfRule type="expression" dxfId="475" priority="69">
      <formula>E16=1</formula>
    </cfRule>
  </conditionalFormatting>
  <conditionalFormatting sqref="C16">
    <cfRule type="expression" dxfId="474" priority="68">
      <formula>E16=1</formula>
    </cfRule>
  </conditionalFormatting>
  <conditionalFormatting sqref="D16">
    <cfRule type="expression" dxfId="473" priority="67">
      <formula>E16=1</formula>
    </cfRule>
  </conditionalFormatting>
  <conditionalFormatting sqref="B18:D18">
    <cfRule type="expression" dxfId="472" priority="86">
      <formula>F18=1</formula>
    </cfRule>
  </conditionalFormatting>
  <conditionalFormatting sqref="B18:D18">
    <cfRule type="expression" dxfId="471" priority="85">
      <formula>E18=1</formula>
    </cfRule>
  </conditionalFormatting>
  <conditionalFormatting sqref="C18">
    <cfRule type="expression" dxfId="470" priority="84">
      <formula>E18=1</formula>
    </cfRule>
  </conditionalFormatting>
  <conditionalFormatting sqref="D18">
    <cfRule type="expression" dxfId="469" priority="83">
      <formula>E18=1</formula>
    </cfRule>
  </conditionalFormatting>
  <conditionalFormatting sqref="B19:D19">
    <cfRule type="expression" dxfId="468" priority="82">
      <formula>F19=1</formula>
    </cfRule>
  </conditionalFormatting>
  <conditionalFormatting sqref="B19:D19">
    <cfRule type="expression" dxfId="467" priority="81">
      <formula>E19=1</formula>
    </cfRule>
  </conditionalFormatting>
  <conditionalFormatting sqref="C19">
    <cfRule type="expression" dxfId="466" priority="80">
      <formula>E19=1</formula>
    </cfRule>
  </conditionalFormatting>
  <conditionalFormatting sqref="D19">
    <cfRule type="expression" dxfId="465" priority="79">
      <formula>E19=1</formula>
    </cfRule>
  </conditionalFormatting>
  <conditionalFormatting sqref="B20:D20">
    <cfRule type="expression" dxfId="464" priority="78">
      <formula>F20=1</formula>
    </cfRule>
  </conditionalFormatting>
  <conditionalFormatting sqref="B20:D20">
    <cfRule type="expression" dxfId="463" priority="77">
      <formula>E20=1</formula>
    </cfRule>
  </conditionalFormatting>
  <conditionalFormatting sqref="C20">
    <cfRule type="expression" dxfId="462" priority="76">
      <formula>E20=1</formula>
    </cfRule>
  </conditionalFormatting>
  <conditionalFormatting sqref="D20">
    <cfRule type="expression" dxfId="461" priority="75">
      <formula>E20=1</formula>
    </cfRule>
  </conditionalFormatting>
  <conditionalFormatting sqref="B15:D15">
    <cfRule type="expression" dxfId="460" priority="74">
      <formula>F15=1</formula>
    </cfRule>
  </conditionalFormatting>
  <conditionalFormatting sqref="B15:D15">
    <cfRule type="expression" dxfId="459" priority="73">
      <formula>E15=1</formula>
    </cfRule>
  </conditionalFormatting>
  <conditionalFormatting sqref="C15">
    <cfRule type="expression" dxfId="458" priority="72">
      <formula>E15=1</formula>
    </cfRule>
  </conditionalFormatting>
  <conditionalFormatting sqref="D15">
    <cfRule type="expression" dxfId="457" priority="71">
      <formula>E15=1</formula>
    </cfRule>
  </conditionalFormatting>
  <conditionalFormatting sqref="B15:D15">
    <cfRule type="expression" dxfId="456" priority="66">
      <formula>F15=1</formula>
    </cfRule>
  </conditionalFormatting>
  <conditionalFormatting sqref="B15:D15">
    <cfRule type="expression" dxfId="455" priority="65">
      <formula>E15=1</formula>
    </cfRule>
  </conditionalFormatting>
  <conditionalFormatting sqref="C15">
    <cfRule type="expression" dxfId="454" priority="64">
      <formula>E15=1</formula>
    </cfRule>
  </conditionalFormatting>
  <conditionalFormatting sqref="D15">
    <cfRule type="expression" dxfId="453" priority="63">
      <formula>E15=1</formula>
    </cfRule>
  </conditionalFormatting>
  <conditionalFormatting sqref="B14:D14">
    <cfRule type="expression" dxfId="452" priority="62">
      <formula>F14=1</formula>
    </cfRule>
  </conditionalFormatting>
  <conditionalFormatting sqref="B14:D14">
    <cfRule type="expression" dxfId="451" priority="61">
      <formula>E14=1</formula>
    </cfRule>
  </conditionalFormatting>
  <conditionalFormatting sqref="C14">
    <cfRule type="expression" dxfId="450" priority="60">
      <formula>E14=1</formula>
    </cfRule>
  </conditionalFormatting>
  <conditionalFormatting sqref="D14">
    <cfRule type="expression" dxfId="449" priority="59">
      <formula>E14=1</formula>
    </cfRule>
  </conditionalFormatting>
  <conditionalFormatting sqref="B14:D14">
    <cfRule type="expression" dxfId="448" priority="58">
      <formula>F14=1</formula>
    </cfRule>
  </conditionalFormatting>
  <conditionalFormatting sqref="B14:D14">
    <cfRule type="expression" dxfId="447" priority="57">
      <formula>E14=1</formula>
    </cfRule>
  </conditionalFormatting>
  <conditionalFormatting sqref="C14">
    <cfRule type="expression" dxfId="446" priority="56">
      <formula>E14=1</formula>
    </cfRule>
  </conditionalFormatting>
  <conditionalFormatting sqref="D14">
    <cfRule type="expression" dxfId="445" priority="55">
      <formula>E14=1</formula>
    </cfRule>
  </conditionalFormatting>
  <conditionalFormatting sqref="B19:C19">
    <cfRule type="expression" dxfId="444" priority="53">
      <formula>F19=1</formula>
    </cfRule>
  </conditionalFormatting>
  <conditionalFormatting sqref="B19:D19">
    <cfRule type="expression" dxfId="443" priority="52">
      <formula>E19=1</formula>
    </cfRule>
  </conditionalFormatting>
  <conditionalFormatting sqref="C19">
    <cfRule type="expression" dxfId="442" priority="51">
      <formula>E19=1</formula>
    </cfRule>
  </conditionalFormatting>
  <conditionalFormatting sqref="D19">
    <cfRule type="expression" dxfId="441" priority="50">
      <formula>E19=1</formula>
    </cfRule>
  </conditionalFormatting>
  <conditionalFormatting sqref="D19">
    <cfRule type="expression" dxfId="440" priority="54">
      <formula>H18=1</formula>
    </cfRule>
  </conditionalFormatting>
  <conditionalFormatting sqref="B20:D20">
    <cfRule type="expression" dxfId="439" priority="49">
      <formula>F20=1</formula>
    </cfRule>
  </conditionalFormatting>
  <conditionalFormatting sqref="B20:D20">
    <cfRule type="expression" dxfId="438" priority="48">
      <formula>E20=1</formula>
    </cfRule>
  </conditionalFormatting>
  <conditionalFormatting sqref="C20">
    <cfRule type="expression" dxfId="437" priority="47">
      <formula>E20=1</formula>
    </cfRule>
  </conditionalFormatting>
  <conditionalFormatting sqref="D20">
    <cfRule type="expression" dxfId="436" priority="46">
      <formula>E20=1</formula>
    </cfRule>
  </conditionalFormatting>
  <conditionalFormatting sqref="B18:D18">
    <cfRule type="expression" dxfId="435" priority="45">
      <formula>F18=1</formula>
    </cfRule>
  </conditionalFormatting>
  <conditionalFormatting sqref="B18:D18">
    <cfRule type="expression" dxfId="434" priority="44">
      <formula>E18=1</formula>
    </cfRule>
  </conditionalFormatting>
  <conditionalFormatting sqref="C18">
    <cfRule type="expression" dxfId="433" priority="43">
      <formula>E18=1</formula>
    </cfRule>
  </conditionalFormatting>
  <conditionalFormatting sqref="D18">
    <cfRule type="expression" dxfId="432" priority="42">
      <formula>E18=1</formula>
    </cfRule>
  </conditionalFormatting>
  <conditionalFormatting sqref="B20:C20">
    <cfRule type="expression" dxfId="431" priority="40">
      <formula>F20=1</formula>
    </cfRule>
  </conditionalFormatting>
  <conditionalFormatting sqref="B20:D20">
    <cfRule type="expression" dxfId="430" priority="39">
      <formula>E20=1</formula>
    </cfRule>
  </conditionalFormatting>
  <conditionalFormatting sqref="C20">
    <cfRule type="expression" dxfId="429" priority="38">
      <formula>E20=1</formula>
    </cfRule>
  </conditionalFormatting>
  <conditionalFormatting sqref="D20">
    <cfRule type="expression" dxfId="428" priority="37">
      <formula>E20=1</formula>
    </cfRule>
  </conditionalFormatting>
  <conditionalFormatting sqref="D20">
    <cfRule type="expression" dxfId="427" priority="41">
      <formula>H19=1</formula>
    </cfRule>
  </conditionalFormatting>
  <conditionalFormatting sqref="B21:D21">
    <cfRule type="expression" dxfId="426" priority="36">
      <formula>F21=1</formula>
    </cfRule>
  </conditionalFormatting>
  <conditionalFormatting sqref="B21:D21">
    <cfRule type="expression" dxfId="425" priority="35">
      <formula>E21=1</formula>
    </cfRule>
  </conditionalFormatting>
  <conditionalFormatting sqref="C21">
    <cfRule type="expression" dxfId="424" priority="34">
      <formula>E21=1</formula>
    </cfRule>
  </conditionalFormatting>
  <conditionalFormatting sqref="D21">
    <cfRule type="expression" dxfId="423" priority="33">
      <formula>E21=1</formula>
    </cfRule>
  </conditionalFormatting>
  <conditionalFormatting sqref="B18:D18">
    <cfRule type="expression" dxfId="422" priority="32">
      <formula>F18=1</formula>
    </cfRule>
  </conditionalFormatting>
  <conditionalFormatting sqref="B18:D18">
    <cfRule type="expression" dxfId="421" priority="31">
      <formula>E18=1</formula>
    </cfRule>
  </conditionalFormatting>
  <conditionalFormatting sqref="C18">
    <cfRule type="expression" dxfId="420" priority="30">
      <formula>E18=1</formula>
    </cfRule>
  </conditionalFormatting>
  <conditionalFormatting sqref="D18">
    <cfRule type="expression" dxfId="419" priority="29">
      <formula>E18=1</formula>
    </cfRule>
  </conditionalFormatting>
  <conditionalFormatting sqref="B19:D19">
    <cfRule type="expression" dxfId="418" priority="28">
      <formula>F19=1</formula>
    </cfRule>
  </conditionalFormatting>
  <conditionalFormatting sqref="B19:D19">
    <cfRule type="expression" dxfId="417" priority="27">
      <formula>E19=1</formula>
    </cfRule>
  </conditionalFormatting>
  <conditionalFormatting sqref="C19">
    <cfRule type="expression" dxfId="416" priority="26">
      <formula>E19=1</formula>
    </cfRule>
  </conditionalFormatting>
  <conditionalFormatting sqref="D19">
    <cfRule type="expression" dxfId="415" priority="25">
      <formula>E19=1</formula>
    </cfRule>
  </conditionalFormatting>
  <conditionalFormatting sqref="F11:H11">
    <cfRule type="expression" dxfId="414" priority="24">
      <formula>J11=1</formula>
    </cfRule>
  </conditionalFormatting>
  <conditionalFormatting sqref="F11:H11">
    <cfRule type="expression" dxfId="413" priority="23">
      <formula>I11=1</formula>
    </cfRule>
  </conditionalFormatting>
  <conditionalFormatting sqref="G11">
    <cfRule type="expression" dxfId="412" priority="22">
      <formula>I11=1</formula>
    </cfRule>
  </conditionalFormatting>
  <conditionalFormatting sqref="H11">
    <cfRule type="expression" dxfId="411" priority="21">
      <formula>I11=1</formula>
    </cfRule>
  </conditionalFormatting>
  <conditionalFormatting sqref="H11">
    <cfRule type="expression" dxfId="410" priority="17">
      <formula>I11=1</formula>
    </cfRule>
  </conditionalFormatting>
  <conditionalFormatting sqref="F11:H11">
    <cfRule type="expression" dxfId="409" priority="20">
      <formula>J11=1</formula>
    </cfRule>
  </conditionalFormatting>
  <conditionalFormatting sqref="F11:H11">
    <cfRule type="expression" dxfId="408" priority="19">
      <formula>I11=1</formula>
    </cfRule>
  </conditionalFormatting>
  <conditionalFormatting sqref="G11">
    <cfRule type="expression" dxfId="407" priority="18">
      <formula>I11=1</formula>
    </cfRule>
  </conditionalFormatting>
  <conditionalFormatting sqref="B7:D7">
    <cfRule type="expression" dxfId="406" priority="16">
      <formula>F7=1</formula>
    </cfRule>
  </conditionalFormatting>
  <conditionalFormatting sqref="B7:D7">
    <cfRule type="expression" dxfId="405" priority="15">
      <formula>E7=1</formula>
    </cfRule>
  </conditionalFormatting>
  <conditionalFormatting sqref="C7">
    <cfRule type="expression" dxfId="404" priority="14">
      <formula>E7=1</formula>
    </cfRule>
  </conditionalFormatting>
  <conditionalFormatting sqref="D7">
    <cfRule type="expression" dxfId="403" priority="13">
      <formula>E7=1</formula>
    </cfRule>
  </conditionalFormatting>
  <conditionalFormatting sqref="B7:D7">
    <cfRule type="expression" dxfId="402" priority="12">
      <formula>F7=1</formula>
    </cfRule>
  </conditionalFormatting>
  <conditionalFormatting sqref="B7:D7">
    <cfRule type="expression" dxfId="401" priority="11">
      <formula>E7=1</formula>
    </cfRule>
  </conditionalFormatting>
  <conditionalFormatting sqref="C7">
    <cfRule type="expression" dxfId="400" priority="10">
      <formula>E7=1</formula>
    </cfRule>
  </conditionalFormatting>
  <conditionalFormatting sqref="D7">
    <cfRule type="expression" dxfId="399" priority="9">
      <formula>E7=1</formula>
    </cfRule>
  </conditionalFormatting>
  <conditionalFormatting sqref="B6:D6">
    <cfRule type="expression" dxfId="398" priority="8">
      <formula>F6=1</formula>
    </cfRule>
  </conditionalFormatting>
  <conditionalFormatting sqref="B6:D6">
    <cfRule type="expression" dxfId="397" priority="7">
      <formula>E6=1</formula>
    </cfRule>
  </conditionalFormatting>
  <conditionalFormatting sqref="C6">
    <cfRule type="expression" dxfId="396" priority="6">
      <formula>E6=1</formula>
    </cfRule>
  </conditionalFormatting>
  <conditionalFormatting sqref="D6">
    <cfRule type="expression" dxfId="395" priority="5">
      <formula>E6=1</formula>
    </cfRule>
  </conditionalFormatting>
  <conditionalFormatting sqref="D6">
    <cfRule type="expression" dxfId="394" priority="1">
      <formula>E6=1</formula>
    </cfRule>
  </conditionalFormatting>
  <conditionalFormatting sqref="B6:D6">
    <cfRule type="expression" dxfId="393" priority="4">
      <formula>F6=1</formula>
    </cfRule>
  </conditionalFormatting>
  <conditionalFormatting sqref="B6:D6">
    <cfRule type="expression" dxfId="392" priority="3">
      <formula>E6=1</formula>
    </cfRule>
  </conditionalFormatting>
  <conditionalFormatting sqref="C6">
    <cfRule type="expression" dxfId="391" priority="2">
      <formula>E6=1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6137-B128-43B0-AD71-4D88E615C789}">
  <dimension ref="A1:M33"/>
  <sheetViews>
    <sheetView showGridLines="0" workbookViewId="0"/>
  </sheetViews>
  <sheetFormatPr baseColWidth="10" defaultColWidth="8.83203125" defaultRowHeight="13" x14ac:dyDescent="0.15"/>
  <cols>
    <col min="3" max="3" width="20.83203125" customWidth="1"/>
    <col min="5" max="5" width="11.33203125" bestFit="1" customWidth="1"/>
    <col min="11" max="11" width="20.83203125" style="6" customWidth="1"/>
  </cols>
  <sheetData>
    <row r="1" spans="1:13" x14ac:dyDescent="0.15">
      <c r="A1" s="22" t="s">
        <v>860</v>
      </c>
      <c r="B1" s="8" t="s">
        <v>0</v>
      </c>
      <c r="C1" s="8" t="s">
        <v>1</v>
      </c>
      <c r="D1" s="8" t="s">
        <v>2</v>
      </c>
      <c r="E1" s="25" t="s">
        <v>906</v>
      </c>
      <c r="G1" s="25" t="s">
        <v>894</v>
      </c>
      <c r="H1" s="23"/>
      <c r="J1" s="25" t="s">
        <v>895</v>
      </c>
      <c r="K1" s="29"/>
    </row>
    <row r="2" spans="1:13" x14ac:dyDescent="0.15">
      <c r="A2" s="11">
        <v>1</v>
      </c>
      <c r="B2" s="3">
        <f ca="1">IFERROR(__xludf.DUMMYFUNCTION("""COMPUTED_VALUE"""),819)</f>
        <v>819</v>
      </c>
      <c r="C2" s="3" t="str">
        <f ca="1">IFERROR(__xludf.DUMMYFUNCTION("""COMPUTED_VALUE"""),"Tennessee Titans")</f>
        <v>Tennessee Titans</v>
      </c>
      <c r="D2" s="3" t="str">
        <f ca="1">IFERROR(__xludf.DUMMYFUNCTION("""COMPUTED_VALUE"""),"D/ST")</f>
        <v>D/ST</v>
      </c>
      <c r="E2" t="b">
        <f ca="1">NOT(ISERROR(MATCH(C2,'Will Usage'!$C$38:$C$500,0)))</f>
        <v>1</v>
      </c>
      <c r="G2" t="s">
        <v>49</v>
      </c>
      <c r="H2" s="26">
        <f t="shared" ref="H2:H7" ca="1" si="0">+COUNTIF($D$2:$D$74,G2)</f>
        <v>3</v>
      </c>
      <c r="J2" s="21" t="s">
        <v>880</v>
      </c>
      <c r="K2" s="30" t="s">
        <v>105</v>
      </c>
      <c r="L2" s="30"/>
      <c r="M2" s="21"/>
    </row>
    <row r="3" spans="1:13" x14ac:dyDescent="0.15">
      <c r="A3" s="16">
        <f>+A2+1</f>
        <v>2</v>
      </c>
      <c r="B3" s="3">
        <f ca="1">IFERROR(__xludf.DUMMYFUNCTION("""COMPUTED_VALUE"""),99)</f>
        <v>99</v>
      </c>
      <c r="C3" s="3" t="str">
        <f ca="1">IFERROR(__xludf.DUMMYFUNCTION("""COMPUTED_VALUE"""),"Andy Dalton")</f>
        <v>Andy Dalton</v>
      </c>
      <c r="D3" s="3" t="str">
        <f ca="1">IFERROR(__xludf.DUMMYFUNCTION("""COMPUTED_VALUE"""),"QB")</f>
        <v>QB</v>
      </c>
      <c r="E3" t="b">
        <f ca="1">NOT(ISERROR(MATCH(C3,'Will Usage'!$C$38:$C$500,0)))</f>
        <v>0</v>
      </c>
      <c r="G3" t="s">
        <v>8</v>
      </c>
      <c r="H3" s="26">
        <f t="shared" ca="1" si="0"/>
        <v>4</v>
      </c>
      <c r="J3" s="21" t="s">
        <v>881</v>
      </c>
      <c r="K3" s="30" t="s">
        <v>525</v>
      </c>
      <c r="M3" s="21"/>
    </row>
    <row r="4" spans="1:13" x14ac:dyDescent="0.15">
      <c r="A4" s="16">
        <f t="shared" ref="A4:A21" si="1">+A3+1</f>
        <v>3</v>
      </c>
      <c r="B4" s="3">
        <f ca="1">IFERROR(__xludf.DUMMYFUNCTION("""COMPUTED_VALUE"""),520)</f>
        <v>520</v>
      </c>
      <c r="C4" s="3" t="str">
        <f ca="1">IFERROR(__xludf.DUMMYFUNCTION("""COMPUTED_VALUE"""),"Teddy Bridgewater")</f>
        <v>Teddy Bridgewater</v>
      </c>
      <c r="D4" s="3" t="str">
        <f ca="1">IFERROR(__xludf.DUMMYFUNCTION("""COMPUTED_VALUE"""),"QB")</f>
        <v>QB</v>
      </c>
      <c r="E4" t="b">
        <f ca="1">NOT(ISERROR(MATCH(C4,'Will Usage'!$C$38:$C$500,0)))</f>
        <v>1</v>
      </c>
      <c r="G4" t="s">
        <v>6</v>
      </c>
      <c r="H4" s="26">
        <f t="shared" ca="1" si="0"/>
        <v>4</v>
      </c>
      <c r="J4" s="21" t="s">
        <v>882</v>
      </c>
      <c r="K4" s="30" t="s">
        <v>563</v>
      </c>
      <c r="L4" s="53"/>
    </row>
    <row r="5" spans="1:13" x14ac:dyDescent="0.15">
      <c r="A5" s="16">
        <f t="shared" si="1"/>
        <v>4</v>
      </c>
      <c r="B5" s="3">
        <f ca="1">IFERROR(__xludf.DUMMYFUNCTION("""COMPUTED_VALUE"""),248)</f>
        <v>248</v>
      </c>
      <c r="C5" s="3" t="str">
        <f ca="1">IFERROR(__xludf.DUMMYFUNCTION("""COMPUTED_VALUE"""),"Larry Fitzgerald")</f>
        <v>Larry Fitzgerald</v>
      </c>
      <c r="D5" s="3" t="str">
        <f ca="1">IFERROR(__xludf.DUMMYFUNCTION("""COMPUTED_VALUE"""),"WR")</f>
        <v>WR</v>
      </c>
      <c r="E5" t="b">
        <f ca="1">NOT(ISERROR(MATCH(C5,'Will Usage'!$C$38:$C$500,0)))</f>
        <v>0</v>
      </c>
      <c r="G5" t="s">
        <v>4</v>
      </c>
      <c r="H5" s="26">
        <f t="shared" ca="1" si="0"/>
        <v>3</v>
      </c>
      <c r="J5" s="21" t="s">
        <v>883</v>
      </c>
      <c r="K5" s="30" t="s">
        <v>440</v>
      </c>
    </row>
    <row r="6" spans="1:13" x14ac:dyDescent="0.15">
      <c r="A6" s="16">
        <f t="shared" si="1"/>
        <v>5</v>
      </c>
      <c r="B6" s="3">
        <f ca="1">IFERROR(__xludf.DUMMYFUNCTION("""COMPUTED_VALUE"""),535)</f>
        <v>535</v>
      </c>
      <c r="C6" s="3" t="str">
        <f ca="1">IFERROR(__xludf.DUMMYFUNCTION("""COMPUTED_VALUE"""),"Julian Edelman")</f>
        <v>Julian Edelman</v>
      </c>
      <c r="D6" s="3" t="str">
        <f ca="1">IFERROR(__xludf.DUMMYFUNCTION("""COMPUTED_VALUE"""),"WR")</f>
        <v>WR</v>
      </c>
      <c r="E6" t="b">
        <f ca="1">NOT(ISERROR(MATCH(C6,'Will Usage'!$C$38:$C$500,0)))</f>
        <v>1</v>
      </c>
      <c r="G6" s="21" t="s">
        <v>782</v>
      </c>
      <c r="H6" s="26">
        <f t="shared" ca="1" si="0"/>
        <v>3</v>
      </c>
      <c r="J6" s="21" t="s">
        <v>884</v>
      </c>
      <c r="K6" s="30" t="s">
        <v>391</v>
      </c>
    </row>
    <row r="7" spans="1:13" x14ac:dyDescent="0.15">
      <c r="A7" s="16">
        <f t="shared" si="1"/>
        <v>6</v>
      </c>
      <c r="B7" s="3">
        <f ca="1">IFERROR(__xludf.DUMMYFUNCTION("FILTER(All_Players!A2:C866, All_Players!C2:All_Players!C866= ""D/ST"")"),789)</f>
        <v>789</v>
      </c>
      <c r="C7" s="3" t="str">
        <f ca="1">IFERROR(__xludf.DUMMYFUNCTION("""COMPUTED_VALUE"""),"Arizona Cardinals")</f>
        <v>Arizona Cardinals</v>
      </c>
      <c r="D7" s="3" t="str">
        <f ca="1">IFERROR(__xludf.DUMMYFUNCTION("""COMPUTED_VALUE"""),"D/ST")</f>
        <v>D/ST</v>
      </c>
      <c r="E7" t="b">
        <f ca="1">NOT(ISERROR(MATCH(C7,'Will Usage'!$C$38:$C$500,0)))</f>
        <v>0</v>
      </c>
      <c r="G7" s="23" t="s">
        <v>815</v>
      </c>
      <c r="H7" s="27">
        <f t="shared" ca="1" si="0"/>
        <v>3</v>
      </c>
      <c r="J7" s="28" t="s">
        <v>885</v>
      </c>
      <c r="K7" s="30" t="s">
        <v>254</v>
      </c>
    </row>
    <row r="8" spans="1:13" x14ac:dyDescent="0.15">
      <c r="A8" s="16">
        <f t="shared" si="1"/>
        <v>7</v>
      </c>
      <c r="B8" s="3">
        <f ca="1">IFERROR(__xludf.DUMMYFUNCTION("""COMPUTED_VALUE"""),560)</f>
        <v>560</v>
      </c>
      <c r="C8" s="3" t="str">
        <f ca="1">IFERROR(__xludf.DUMMYFUNCTION("""COMPUTED_VALUE"""),"Jaylen Samuels")</f>
        <v>Jaylen Samuels</v>
      </c>
      <c r="D8" s="3" t="str">
        <f ca="1">IFERROR(__xludf.DUMMYFUNCTION("""COMPUTED_VALUE"""),"RB")</f>
        <v>RB</v>
      </c>
      <c r="E8" t="b">
        <f ca="1">NOT(ISERROR(MATCH(C8,'Will Usage'!$C$38:$C$500,0)))</f>
        <v>1</v>
      </c>
      <c r="J8" s="28" t="s">
        <v>886</v>
      </c>
      <c r="K8" s="31" t="s">
        <v>538</v>
      </c>
      <c r="L8" s="53"/>
    </row>
    <row r="9" spans="1:13" x14ac:dyDescent="0.15">
      <c r="A9" s="16">
        <f t="shared" si="1"/>
        <v>8</v>
      </c>
      <c r="B9" s="3">
        <f ca="1">IFERROR(__xludf.DUMMYFUNCTION("""COMPUTED_VALUE"""),441)</f>
        <v>441</v>
      </c>
      <c r="C9" s="3" t="str">
        <f ca="1">IFERROR(__xludf.DUMMYFUNCTION("""COMPUTED_VALUE"""),"Tyler Eifert")</f>
        <v>Tyler Eifert</v>
      </c>
      <c r="D9" s="3" t="str">
        <f ca="1">IFERROR(__xludf.DUMMYFUNCTION("""COMPUTED_VALUE"""),"TE")</f>
        <v>TE</v>
      </c>
      <c r="E9" t="b">
        <f ca="1">NOT(ISERROR(MATCH(C9,'Will Usage'!$C$38:$C$500,0)))</f>
        <v>0</v>
      </c>
      <c r="J9" s="28" t="s">
        <v>887</v>
      </c>
      <c r="K9" s="31" t="s">
        <v>558</v>
      </c>
      <c r="L9" s="53"/>
    </row>
    <row r="10" spans="1:13" x14ac:dyDescent="0.15">
      <c r="A10" s="16">
        <f t="shared" si="1"/>
        <v>9</v>
      </c>
      <c r="B10" s="3">
        <f ca="1">IFERROR(__xludf.DUMMYFUNCTION("""COMPUTED_VALUE"""),184)</f>
        <v>184</v>
      </c>
      <c r="C10" s="3" t="str">
        <f ca="1">IFERROR(__xludf.DUMMYFUNCTION("""COMPUTED_VALUE"""),"Jack Doyle")</f>
        <v>Jack Doyle</v>
      </c>
      <c r="D10" s="3" t="str">
        <f ca="1">IFERROR(__xludf.DUMMYFUNCTION("""COMPUTED_VALUE"""),"TE")</f>
        <v>TE</v>
      </c>
      <c r="E10" t="b">
        <f ca="1">NOT(ISERROR(MATCH(C10,'Will Usage'!$C$38:$C$500,0)))</f>
        <v>1</v>
      </c>
      <c r="J10" s="31" t="s">
        <v>888</v>
      </c>
      <c r="K10" s="31" t="s">
        <v>446</v>
      </c>
    </row>
    <row r="11" spans="1:13" x14ac:dyDescent="0.15">
      <c r="A11" s="16">
        <f t="shared" si="1"/>
        <v>10</v>
      </c>
      <c r="B11" s="2">
        <v>41</v>
      </c>
      <c r="C11" s="2" t="s">
        <v>46</v>
      </c>
      <c r="D11" s="2" t="s">
        <v>4</v>
      </c>
      <c r="E11" t="b">
        <f>NOT(ISERROR(MATCH(C11,'Will Usage'!$C$38:$C$500,0)))</f>
        <v>1</v>
      </c>
      <c r="J11" s="31" t="s">
        <v>889</v>
      </c>
      <c r="K11" s="31" t="s">
        <v>190</v>
      </c>
    </row>
    <row r="12" spans="1:13" x14ac:dyDescent="0.15">
      <c r="A12" s="16">
        <f t="shared" si="1"/>
        <v>11</v>
      </c>
      <c r="B12" s="3">
        <f ca="1">IFERROR(__xludf.DUMMYFUNCTION("""COMPUTED_VALUE"""),435)</f>
        <v>435</v>
      </c>
      <c r="C12" s="3" t="str">
        <f ca="1">IFERROR(__xludf.DUMMYFUNCTION("""COMPUTED_VALUE"""),"Wayne Gallman")</f>
        <v>Wayne Gallman</v>
      </c>
      <c r="D12" s="3" t="str">
        <f ca="1">IFERROR(__xludf.DUMMYFUNCTION("""COMPUTED_VALUE"""),"RB")</f>
        <v>RB</v>
      </c>
      <c r="E12" t="b">
        <f ca="1">NOT(ISERROR(MATCH(C12,'Will Usage'!$C$38:$C$500,0)))</f>
        <v>1</v>
      </c>
      <c r="J12" s="31" t="s">
        <v>890</v>
      </c>
      <c r="K12" s="31" t="s">
        <v>812</v>
      </c>
    </row>
    <row r="13" spans="1:13" x14ac:dyDescent="0.15">
      <c r="A13" s="16">
        <f t="shared" si="1"/>
        <v>12</v>
      </c>
      <c r="B13" s="3">
        <f ca="1">IFERROR(__xludf.DUMMYFUNCTION("""COMPUTED_VALUE"""),828)</f>
        <v>828</v>
      </c>
      <c r="C13" s="3" t="str">
        <f ca="1">IFERROR(__xludf.DUMMYFUNCTION("""COMPUTED_VALUE"""),"Randy Bullock")</f>
        <v>Randy Bullock</v>
      </c>
      <c r="D13" s="3" t="str">
        <f ca="1">IFERROR(__xludf.DUMMYFUNCTION("""COMPUTED_VALUE"""),"K")</f>
        <v>K</v>
      </c>
      <c r="E13" t="b">
        <f ca="1">NOT(ISERROR(MATCH(C13,'Will Usage'!$C$38:$C$500,0)))</f>
        <v>0</v>
      </c>
      <c r="J13" s="31" t="s">
        <v>891</v>
      </c>
      <c r="K13" s="31" t="s">
        <v>781</v>
      </c>
    </row>
    <row r="14" spans="1:13" x14ac:dyDescent="0.15">
      <c r="A14" s="16">
        <f t="shared" si="1"/>
        <v>13</v>
      </c>
      <c r="B14" s="3">
        <f ca="1">IFERROR(__xludf.DUMMYFUNCTION("""COMPUTED_VALUE"""),850)</f>
        <v>850</v>
      </c>
      <c r="C14" s="3" t="str">
        <f ca="1">IFERROR(__xludf.DUMMYFUNCTION("""COMPUTED_VALUE"""),"Chase McLaughlin")</f>
        <v>Chase McLaughlin</v>
      </c>
      <c r="D14" s="3" t="str">
        <f ca="1">IFERROR(__xludf.DUMMYFUNCTION("""COMPUTED_VALUE"""),"K")</f>
        <v>K</v>
      </c>
      <c r="E14" t="b">
        <f ca="1">NOT(ISERROR(MATCH(C14,'Will Usage'!$C$38:$C$500,0)))</f>
        <v>0</v>
      </c>
      <c r="J14" s="31" t="s">
        <v>892</v>
      </c>
      <c r="K14" s="31" t="s">
        <v>822</v>
      </c>
    </row>
    <row r="15" spans="1:13" x14ac:dyDescent="0.15">
      <c r="A15" s="16">
        <f t="shared" si="1"/>
        <v>14</v>
      </c>
      <c r="B15" s="3">
        <f ca="1">IFERROR(__xludf.DUMMYFUNCTION("""COMPUTED_VALUE"""),531)</f>
        <v>531</v>
      </c>
      <c r="C15" s="3" t="str">
        <f ca="1">IFERROR(__xludf.DUMMYFUNCTION("""COMPUTED_VALUE"""),"Tarik Cohen")</f>
        <v>Tarik Cohen</v>
      </c>
      <c r="D15" s="3" t="str">
        <f ca="1">IFERROR(__xludf.DUMMYFUNCTION("""COMPUTED_VALUE"""),"RB")</f>
        <v>RB</v>
      </c>
      <c r="E15" t="b">
        <f ca="1">NOT(ISERROR(MATCH(C15,'Will Usage'!$C$38:$C$500,0)))</f>
        <v>0</v>
      </c>
      <c r="J15" s="33" t="s">
        <v>893</v>
      </c>
      <c r="K15" s="33" t="s">
        <v>844</v>
      </c>
    </row>
    <row r="16" spans="1:13" x14ac:dyDescent="0.15">
      <c r="A16" s="16">
        <f t="shared" si="1"/>
        <v>15</v>
      </c>
      <c r="B16" s="3">
        <f ca="1">IFERROR(__xludf.DUMMYFUNCTION("""COMPUTED_VALUE"""),712)</f>
        <v>712</v>
      </c>
      <c r="C16" s="3" t="str">
        <f ca="1">IFERROR(__xludf.DUMMYFUNCTION("""COMPUTED_VALUE"""),"Miles Sanders")</f>
        <v>Miles Sanders</v>
      </c>
      <c r="D16" s="3" t="str">
        <f ca="1">IFERROR(__xludf.DUMMYFUNCTION("""COMPUTED_VALUE"""),"RB")</f>
        <v>RB</v>
      </c>
      <c r="E16" t="b">
        <f ca="1">NOT(ISERROR(MATCH(C16,'Will Usage'!$C$38:$C$500,0)))</f>
        <v>1</v>
      </c>
      <c r="F16" s="21"/>
    </row>
    <row r="17" spans="1:12" x14ac:dyDescent="0.15">
      <c r="A17" s="16">
        <f t="shared" si="1"/>
        <v>16</v>
      </c>
      <c r="B17" s="3">
        <f ca="1">IFERROR(__xludf.DUMMYFUNCTION("""COMPUTED_VALUE"""),840)</f>
        <v>840</v>
      </c>
      <c r="C17" s="3" t="str">
        <f ca="1">IFERROR(__xludf.DUMMYFUNCTION("""COMPUTED_VALUE"""),"Robbie Gould")</f>
        <v>Robbie Gould</v>
      </c>
      <c r="D17" s="3" t="str">
        <f ca="1">IFERROR(__xludf.DUMMYFUNCTION("""COMPUTED_VALUE"""),"K")</f>
        <v>K</v>
      </c>
      <c r="E17" t="b">
        <f ca="1">NOT(ISERROR(MATCH(C17,'Will Usage'!$C$38:$C$500,0)))</f>
        <v>0</v>
      </c>
      <c r="F17" s="21"/>
    </row>
    <row r="18" spans="1:12" x14ac:dyDescent="0.15">
      <c r="A18" s="16">
        <f t="shared" si="1"/>
        <v>17</v>
      </c>
      <c r="B18" s="3">
        <f ca="1">IFERROR(__xludf.DUMMYFUNCTION("""COMPUTED_VALUE"""),587)</f>
        <v>587</v>
      </c>
      <c r="C18" s="3" t="str">
        <f ca="1">IFERROR(__xludf.DUMMYFUNCTION("""COMPUTED_VALUE"""),"Chase Daniel")</f>
        <v>Chase Daniel</v>
      </c>
      <c r="D18" s="3" t="str">
        <f ca="1">IFERROR(__xludf.DUMMYFUNCTION("""COMPUTED_VALUE"""),"QB")</f>
        <v>QB</v>
      </c>
      <c r="E18" t="b">
        <f ca="1">NOT(ISERROR(MATCH(C18,'Will Usage'!$C$38:$C$500,0)))</f>
        <v>0</v>
      </c>
      <c r="F18" s="21"/>
      <c r="J18" s="24"/>
      <c r="K18" s="13"/>
      <c r="L18" s="24"/>
    </row>
    <row r="19" spans="1:12" x14ac:dyDescent="0.15">
      <c r="A19" s="16">
        <f t="shared" si="1"/>
        <v>18</v>
      </c>
      <c r="B19" s="3">
        <f ca="1">IFERROR(__xludf.DUMMYFUNCTION("""COMPUTED_VALUE"""),795)</f>
        <v>795</v>
      </c>
      <c r="C19" s="3" t="str">
        <f ca="1">IFERROR(__xludf.DUMMYFUNCTION("""COMPUTED_VALUE"""),"Cincinnati Bengals")</f>
        <v>Cincinnati Bengals</v>
      </c>
      <c r="D19" s="3" t="str">
        <f ca="1">IFERROR(__xludf.DUMMYFUNCTION("""COMPUTED_VALUE"""),"D/ST")</f>
        <v>D/ST</v>
      </c>
      <c r="E19" t="b">
        <f ca="1">NOT(ISERROR(MATCH(C19,'Will Usage'!$C$38:$C$500,0)))</f>
        <v>1</v>
      </c>
      <c r="F19" s="21"/>
      <c r="J19" s="28"/>
      <c r="K19" s="31"/>
    </row>
    <row r="20" spans="1:12" x14ac:dyDescent="0.15">
      <c r="A20" s="16">
        <f t="shared" si="1"/>
        <v>19</v>
      </c>
      <c r="B20" s="3">
        <f ca="1">IFERROR(__xludf.DUMMYFUNCTION("""COMPUTED_VALUE"""),555)</f>
        <v>555</v>
      </c>
      <c r="C20" s="3" t="str">
        <f ca="1">IFERROR(__xludf.DUMMYFUNCTION("""COMPUTED_VALUE"""),"Marquez Valdes-Scantling")</f>
        <v>Marquez Valdes-Scantling</v>
      </c>
      <c r="D20" s="3" t="str">
        <f ca="1">IFERROR(__xludf.DUMMYFUNCTION("""COMPUTED_VALUE"""),"WR")</f>
        <v>WR</v>
      </c>
      <c r="E20" t="b">
        <f ca="1">NOT(ISERROR(MATCH(C20,'Will Usage'!$C$38:$C$500,0)))</f>
        <v>1</v>
      </c>
      <c r="F20" s="21"/>
    </row>
    <row r="21" spans="1:12" x14ac:dyDescent="0.15">
      <c r="A21" s="16">
        <f t="shared" si="1"/>
        <v>20</v>
      </c>
      <c r="B21" s="3">
        <f ca="1">IFERROR(__xludf.DUMMYFUNCTION("""COMPUTED_VALUE"""),238)</f>
        <v>238</v>
      </c>
      <c r="C21" s="3" t="str">
        <f ca="1">IFERROR(__xludf.DUMMYFUNCTION("""COMPUTED_VALUE"""),"Demarcus Robinson")</f>
        <v>Demarcus Robinson</v>
      </c>
      <c r="D21" s="3" t="str">
        <f ca="1">IFERROR(__xludf.DUMMYFUNCTION("""COMPUTED_VALUE"""),"WR")</f>
        <v>WR</v>
      </c>
      <c r="E21" t="b">
        <f ca="1">NOT(ISERROR(MATCH(C21,'Will Usage'!$C$38:$C$500,0)))</f>
        <v>1</v>
      </c>
      <c r="F21" s="21"/>
    </row>
    <row r="22" spans="1:12" x14ac:dyDescent="0.15">
      <c r="A22" s="32"/>
    </row>
    <row r="23" spans="1:12" x14ac:dyDescent="0.15">
      <c r="A23" s="32" t="s">
        <v>907</v>
      </c>
      <c r="B23" s="52" t="s">
        <v>908</v>
      </c>
      <c r="C23" s="3"/>
      <c r="D23" s="49"/>
    </row>
    <row r="24" spans="1:12" x14ac:dyDescent="0.15">
      <c r="A24" s="32"/>
      <c r="B24" s="3"/>
      <c r="C24" s="3"/>
      <c r="D24" s="3"/>
    </row>
    <row r="25" spans="1:12" x14ac:dyDescent="0.15">
      <c r="A25" s="32"/>
      <c r="B25" s="3"/>
      <c r="C25" s="3"/>
      <c r="D25" s="3"/>
    </row>
    <row r="26" spans="1:12" x14ac:dyDescent="0.15">
      <c r="A26" s="32"/>
      <c r="B26" s="3"/>
      <c r="C26" s="3"/>
      <c r="D26" s="3"/>
    </row>
    <row r="27" spans="1:12" x14ac:dyDescent="0.15">
      <c r="A27" s="32"/>
      <c r="B27" s="3"/>
      <c r="C27" s="3"/>
      <c r="D27" s="3"/>
    </row>
    <row r="28" spans="1:12" x14ac:dyDescent="0.15">
      <c r="B28" s="3"/>
      <c r="C28" s="3"/>
      <c r="D28" s="3"/>
    </row>
    <row r="30" spans="1:12" x14ac:dyDescent="0.15">
      <c r="B30" s="3"/>
      <c r="C30" s="3"/>
      <c r="D30" s="3"/>
    </row>
    <row r="31" spans="1:12" x14ac:dyDescent="0.15">
      <c r="B31" s="3"/>
      <c r="C31" s="3"/>
      <c r="D31" s="3"/>
    </row>
    <row r="32" spans="1:12" x14ac:dyDescent="0.15">
      <c r="B32" s="3"/>
      <c r="C32" s="3"/>
      <c r="D32" s="3"/>
    </row>
    <row r="33" spans="2:4" x14ac:dyDescent="0.15">
      <c r="B33" s="3"/>
      <c r="C33" s="3"/>
      <c r="D33" s="3"/>
    </row>
  </sheetData>
  <conditionalFormatting sqref="A24:C25 A5:A15 C23 A26:A27">
    <cfRule type="expression" dxfId="390" priority="504">
      <formula>E5=1</formula>
    </cfRule>
  </conditionalFormatting>
  <conditionalFormatting sqref="B24:C25 C23">
    <cfRule type="expression" dxfId="389" priority="503">
      <formula>E23=1</formula>
    </cfRule>
  </conditionalFormatting>
  <conditionalFormatting sqref="C23:C25">
    <cfRule type="expression" dxfId="388" priority="502">
      <formula>E23=1</formula>
    </cfRule>
  </conditionalFormatting>
  <conditionalFormatting sqref="H2">
    <cfRule type="expression" dxfId="387" priority="501">
      <formula>$H$2&gt;=3</formula>
    </cfRule>
  </conditionalFormatting>
  <conditionalFormatting sqref="H3">
    <cfRule type="expression" dxfId="386" priority="500">
      <formula>$H$3&gt;=4</formula>
    </cfRule>
  </conditionalFormatting>
  <conditionalFormatting sqref="H4">
    <cfRule type="expression" dxfId="385" priority="499">
      <formula>$H$4&gt;=4</formula>
    </cfRule>
  </conditionalFormatting>
  <conditionalFormatting sqref="H5">
    <cfRule type="expression" dxfId="384" priority="498">
      <formula>$H$5&gt;=3</formula>
    </cfRule>
  </conditionalFormatting>
  <conditionalFormatting sqref="H6">
    <cfRule type="expression" dxfId="383" priority="497">
      <formula>$H$6&gt;=3</formula>
    </cfRule>
  </conditionalFormatting>
  <conditionalFormatting sqref="H7">
    <cfRule type="expression" dxfId="382" priority="496">
      <formula>$H$7&gt;=3</formula>
    </cfRule>
  </conditionalFormatting>
  <conditionalFormatting sqref="D23">
    <cfRule type="expression" dxfId="381" priority="495">
      <formula>H21=1</formula>
    </cfRule>
  </conditionalFormatting>
  <conditionalFormatting sqref="A2:A3">
    <cfRule type="expression" dxfId="380" priority="505">
      <formula>E3=1</formula>
    </cfRule>
  </conditionalFormatting>
  <conditionalFormatting sqref="D23">
    <cfRule type="expression" dxfId="379" priority="494">
      <formula>G21=1</formula>
    </cfRule>
  </conditionalFormatting>
  <conditionalFormatting sqref="A20 A22">
    <cfRule type="expression" dxfId="378" priority="506">
      <formula>#REF!=1</formula>
    </cfRule>
  </conditionalFormatting>
  <conditionalFormatting sqref="A4">
    <cfRule type="expression" dxfId="377" priority="507">
      <formula>#REF!=1</formula>
    </cfRule>
  </conditionalFormatting>
  <conditionalFormatting sqref="A16:A17">
    <cfRule type="expression" dxfId="376" priority="508">
      <formula>F16=1</formula>
    </cfRule>
  </conditionalFormatting>
  <conditionalFormatting sqref="A21 A19">
    <cfRule type="expression" dxfId="375" priority="509">
      <formula>F18=1</formula>
    </cfRule>
  </conditionalFormatting>
  <conditionalFormatting sqref="A18">
    <cfRule type="expression" dxfId="374" priority="510">
      <formula>F21=1</formula>
    </cfRule>
  </conditionalFormatting>
  <conditionalFormatting sqref="A23:B23">
    <cfRule type="expression" dxfId="373" priority="493">
      <formula>E23=1</formula>
    </cfRule>
  </conditionalFormatting>
  <conditionalFormatting sqref="B23">
    <cfRule type="expression" dxfId="372" priority="492">
      <formula>E23=1</formula>
    </cfRule>
  </conditionalFormatting>
  <conditionalFormatting sqref="B2:D2">
    <cfRule type="expression" dxfId="371" priority="299">
      <formula>F2=1</formula>
    </cfRule>
  </conditionalFormatting>
  <conditionalFormatting sqref="B2:D2">
    <cfRule type="expression" dxfId="370" priority="298">
      <formula>E2=1</formula>
    </cfRule>
  </conditionalFormatting>
  <conditionalFormatting sqref="C2">
    <cfRule type="expression" dxfId="369" priority="297">
      <formula>E2=1</formula>
    </cfRule>
  </conditionalFormatting>
  <conditionalFormatting sqref="D2">
    <cfRule type="expression" dxfId="368" priority="296">
      <formula>E2=1</formula>
    </cfRule>
  </conditionalFormatting>
  <conditionalFormatting sqref="B3:C3">
    <cfRule type="expression" dxfId="367" priority="294">
      <formula>F3=1</formula>
    </cfRule>
  </conditionalFormatting>
  <conditionalFormatting sqref="B3:D3">
    <cfRule type="expression" dxfId="366" priority="293">
      <formula>E3=1</formula>
    </cfRule>
  </conditionalFormatting>
  <conditionalFormatting sqref="C3">
    <cfRule type="expression" dxfId="365" priority="292">
      <formula>E3=1</formula>
    </cfRule>
  </conditionalFormatting>
  <conditionalFormatting sqref="D3">
    <cfRule type="expression" dxfId="364" priority="291">
      <formula>E3=1</formula>
    </cfRule>
  </conditionalFormatting>
  <conditionalFormatting sqref="D3">
    <cfRule type="expression" dxfId="363" priority="295">
      <formula>H2=1</formula>
    </cfRule>
  </conditionalFormatting>
  <conditionalFormatting sqref="B4:D4">
    <cfRule type="expression" dxfId="362" priority="286">
      <formula>F4=1</formula>
    </cfRule>
  </conditionalFormatting>
  <conditionalFormatting sqref="B4:D4">
    <cfRule type="expression" dxfId="361" priority="285">
      <formula>E4=1</formula>
    </cfRule>
  </conditionalFormatting>
  <conditionalFormatting sqref="C4">
    <cfRule type="expression" dxfId="360" priority="284">
      <formula>E4=1</formula>
    </cfRule>
  </conditionalFormatting>
  <conditionalFormatting sqref="D4">
    <cfRule type="expression" dxfId="359" priority="283">
      <formula>E4=1</formula>
    </cfRule>
  </conditionalFormatting>
  <conditionalFormatting sqref="B20:D20">
    <cfRule type="expression" dxfId="358" priority="266">
      <formula>F20=1</formula>
    </cfRule>
  </conditionalFormatting>
  <conditionalFormatting sqref="B20:D20">
    <cfRule type="expression" dxfId="357" priority="265">
      <formula>E20=1</formula>
    </cfRule>
  </conditionalFormatting>
  <conditionalFormatting sqref="C20">
    <cfRule type="expression" dxfId="356" priority="264">
      <formula>E20=1</formula>
    </cfRule>
  </conditionalFormatting>
  <conditionalFormatting sqref="D20">
    <cfRule type="expression" dxfId="355" priority="263">
      <formula>E20=1</formula>
    </cfRule>
  </conditionalFormatting>
  <conditionalFormatting sqref="B7:D7">
    <cfRule type="expression" dxfId="354" priority="274">
      <formula>F7=1</formula>
    </cfRule>
  </conditionalFormatting>
  <conditionalFormatting sqref="B7:D7">
    <cfRule type="expression" dxfId="353" priority="273">
      <formula>E7=1</formula>
    </cfRule>
  </conditionalFormatting>
  <conditionalFormatting sqref="C7">
    <cfRule type="expression" dxfId="352" priority="272">
      <formula>E7=1</formula>
    </cfRule>
  </conditionalFormatting>
  <conditionalFormatting sqref="D7">
    <cfRule type="expression" dxfId="351" priority="271">
      <formula>E7=1</formula>
    </cfRule>
  </conditionalFormatting>
  <conditionalFormatting sqref="D9">
    <cfRule type="expression" dxfId="350" priority="243">
      <formula>E9=1</formula>
    </cfRule>
  </conditionalFormatting>
  <conditionalFormatting sqref="B9:D9">
    <cfRule type="expression" dxfId="349" priority="246">
      <formula>F9=1</formula>
    </cfRule>
  </conditionalFormatting>
  <conditionalFormatting sqref="B9:D9">
    <cfRule type="expression" dxfId="348" priority="245">
      <formula>E9=1</formula>
    </cfRule>
  </conditionalFormatting>
  <conditionalFormatting sqref="C9">
    <cfRule type="expression" dxfId="347" priority="244">
      <formula>E9=1</formula>
    </cfRule>
  </conditionalFormatting>
  <conditionalFormatting sqref="B8:D8">
    <cfRule type="expression" dxfId="346" priority="250">
      <formula>F8=1</formula>
    </cfRule>
  </conditionalFormatting>
  <conditionalFormatting sqref="B8:D8">
    <cfRule type="expression" dxfId="345" priority="249">
      <formula>E8=1</formula>
    </cfRule>
  </conditionalFormatting>
  <conditionalFormatting sqref="C8">
    <cfRule type="expression" dxfId="344" priority="248">
      <formula>E8=1</formula>
    </cfRule>
  </conditionalFormatting>
  <conditionalFormatting sqref="D8">
    <cfRule type="expression" dxfId="343" priority="247">
      <formula>E8=1</formula>
    </cfRule>
  </conditionalFormatting>
  <conditionalFormatting sqref="B19:D19">
    <cfRule type="expression" dxfId="342" priority="258">
      <formula>F19=1</formula>
    </cfRule>
  </conditionalFormatting>
  <conditionalFormatting sqref="B19:D19">
    <cfRule type="expression" dxfId="341" priority="257">
      <formula>E19=1</formula>
    </cfRule>
  </conditionalFormatting>
  <conditionalFormatting sqref="C19">
    <cfRule type="expression" dxfId="340" priority="256">
      <formula>E19=1</formula>
    </cfRule>
  </conditionalFormatting>
  <conditionalFormatting sqref="D19">
    <cfRule type="expression" dxfId="339" priority="255">
      <formula>E19=1</formula>
    </cfRule>
  </conditionalFormatting>
  <conditionalFormatting sqref="B5:D5">
    <cfRule type="expression" dxfId="338" priority="254">
      <formula>F5=1</formula>
    </cfRule>
  </conditionalFormatting>
  <conditionalFormatting sqref="B5:D5">
    <cfRule type="expression" dxfId="337" priority="253">
      <formula>E5=1</formula>
    </cfRule>
  </conditionalFormatting>
  <conditionalFormatting sqref="C5">
    <cfRule type="expression" dxfId="336" priority="252">
      <formula>E5=1</formula>
    </cfRule>
  </conditionalFormatting>
  <conditionalFormatting sqref="D5">
    <cfRule type="expression" dxfId="335" priority="251">
      <formula>E5=1</formula>
    </cfRule>
  </conditionalFormatting>
  <conditionalFormatting sqref="B10:D10">
    <cfRule type="expression" dxfId="334" priority="242">
      <formula>F10=1</formula>
    </cfRule>
  </conditionalFormatting>
  <conditionalFormatting sqref="B10:D10">
    <cfRule type="expression" dxfId="333" priority="241">
      <formula>E10=1</formula>
    </cfRule>
  </conditionalFormatting>
  <conditionalFormatting sqref="C10">
    <cfRule type="expression" dxfId="332" priority="240">
      <formula>E10=1</formula>
    </cfRule>
  </conditionalFormatting>
  <conditionalFormatting sqref="D10">
    <cfRule type="expression" dxfId="331" priority="239">
      <formula>E10=1</formula>
    </cfRule>
  </conditionalFormatting>
  <conditionalFormatting sqref="B18:D18">
    <cfRule type="expression" dxfId="330" priority="234">
      <formula>F18=1</formula>
    </cfRule>
  </conditionalFormatting>
  <conditionalFormatting sqref="B18:D18">
    <cfRule type="expression" dxfId="329" priority="233">
      <formula>E18=1</formula>
    </cfRule>
  </conditionalFormatting>
  <conditionalFormatting sqref="C18">
    <cfRule type="expression" dxfId="328" priority="232">
      <formula>E18=1</formula>
    </cfRule>
  </conditionalFormatting>
  <conditionalFormatting sqref="D18">
    <cfRule type="expression" dxfId="327" priority="231">
      <formula>E18=1</formula>
    </cfRule>
  </conditionalFormatting>
  <conditionalFormatting sqref="B2:C2">
    <cfRule type="expression" dxfId="326" priority="229">
      <formula>F2=1</formula>
    </cfRule>
  </conditionalFormatting>
  <conditionalFormatting sqref="B2:D2">
    <cfRule type="expression" dxfId="325" priority="228">
      <formula>E2=1</formula>
    </cfRule>
  </conditionalFormatting>
  <conditionalFormatting sqref="C2">
    <cfRule type="expression" dxfId="324" priority="227">
      <formula>E2=1</formula>
    </cfRule>
  </conditionalFormatting>
  <conditionalFormatting sqref="D2">
    <cfRule type="expression" dxfId="323" priority="226">
      <formula>E2=1</formula>
    </cfRule>
  </conditionalFormatting>
  <conditionalFormatting sqref="D2">
    <cfRule type="expression" dxfId="322" priority="230">
      <formula>H1=1</formula>
    </cfRule>
  </conditionalFormatting>
  <conditionalFormatting sqref="B3:D3">
    <cfRule type="expression" dxfId="321" priority="225">
      <formula>F3=1</formula>
    </cfRule>
  </conditionalFormatting>
  <conditionalFormatting sqref="B3:D3">
    <cfRule type="expression" dxfId="320" priority="224">
      <formula>E3=1</formula>
    </cfRule>
  </conditionalFormatting>
  <conditionalFormatting sqref="C3">
    <cfRule type="expression" dxfId="319" priority="223">
      <formula>E3=1</formula>
    </cfRule>
  </conditionalFormatting>
  <conditionalFormatting sqref="D3">
    <cfRule type="expression" dxfId="318" priority="222">
      <formula>E3=1</formula>
    </cfRule>
  </conditionalFormatting>
  <conditionalFormatting sqref="D5">
    <cfRule type="expression" dxfId="317" priority="218">
      <formula>E5=1</formula>
    </cfRule>
  </conditionalFormatting>
  <conditionalFormatting sqref="B5:D5">
    <cfRule type="expression" dxfId="316" priority="221">
      <formula>F5=1</formula>
    </cfRule>
  </conditionalFormatting>
  <conditionalFormatting sqref="B5:D5">
    <cfRule type="expression" dxfId="315" priority="220">
      <formula>E5=1</formula>
    </cfRule>
  </conditionalFormatting>
  <conditionalFormatting sqref="C5">
    <cfRule type="expression" dxfId="314" priority="219">
      <formula>E5=1</formula>
    </cfRule>
  </conditionalFormatting>
  <conditionalFormatting sqref="D8">
    <cfRule type="expression" dxfId="313" priority="202">
      <formula>E8=1</formula>
    </cfRule>
  </conditionalFormatting>
  <conditionalFormatting sqref="B8:D8">
    <cfRule type="expression" dxfId="312" priority="205">
      <formula>F8=1</formula>
    </cfRule>
  </conditionalFormatting>
  <conditionalFormatting sqref="B8:D8">
    <cfRule type="expression" dxfId="311" priority="204">
      <formula>E8=1</formula>
    </cfRule>
  </conditionalFormatting>
  <conditionalFormatting sqref="C8">
    <cfRule type="expression" dxfId="310" priority="203">
      <formula>E8=1</formula>
    </cfRule>
  </conditionalFormatting>
  <conditionalFormatting sqref="B7:D7">
    <cfRule type="expression" dxfId="309" priority="209">
      <formula>F7=1</formula>
    </cfRule>
  </conditionalFormatting>
  <conditionalFormatting sqref="B7:D7">
    <cfRule type="expression" dxfId="308" priority="208">
      <formula>E7=1</formula>
    </cfRule>
  </conditionalFormatting>
  <conditionalFormatting sqref="C7">
    <cfRule type="expression" dxfId="307" priority="207">
      <formula>E7=1</formula>
    </cfRule>
  </conditionalFormatting>
  <conditionalFormatting sqref="D7">
    <cfRule type="expression" dxfId="306" priority="206">
      <formula>E7=1</formula>
    </cfRule>
  </conditionalFormatting>
  <conditionalFormatting sqref="B4:D4">
    <cfRule type="expression" dxfId="305" priority="213">
      <formula>F4=1</formula>
    </cfRule>
  </conditionalFormatting>
  <conditionalFormatting sqref="B4:D4">
    <cfRule type="expression" dxfId="304" priority="212">
      <formula>E4=1</formula>
    </cfRule>
  </conditionalFormatting>
  <conditionalFormatting sqref="C4">
    <cfRule type="expression" dxfId="303" priority="211">
      <formula>E4=1</formula>
    </cfRule>
  </conditionalFormatting>
  <conditionalFormatting sqref="D4">
    <cfRule type="expression" dxfId="302" priority="210">
      <formula>E4=1</formula>
    </cfRule>
  </conditionalFormatting>
  <conditionalFormatting sqref="B9:D9">
    <cfRule type="expression" dxfId="301" priority="201">
      <formula>F9=1</formula>
    </cfRule>
  </conditionalFormatting>
  <conditionalFormatting sqref="B9:D9">
    <cfRule type="expression" dxfId="300" priority="200">
      <formula>E9=1</formula>
    </cfRule>
  </conditionalFormatting>
  <conditionalFormatting sqref="C9">
    <cfRule type="expression" dxfId="299" priority="199">
      <formula>E9=1</formula>
    </cfRule>
  </conditionalFormatting>
  <conditionalFormatting sqref="D9">
    <cfRule type="expression" dxfId="298" priority="198">
      <formula>E9=1</formula>
    </cfRule>
  </conditionalFormatting>
  <conditionalFormatting sqref="B10:D10">
    <cfRule type="expression" dxfId="297" priority="197">
      <formula>F10=1</formula>
    </cfRule>
  </conditionalFormatting>
  <conditionalFormatting sqref="B10:D10">
    <cfRule type="expression" dxfId="296" priority="196">
      <formula>E10=1</formula>
    </cfRule>
  </conditionalFormatting>
  <conditionalFormatting sqref="C10">
    <cfRule type="expression" dxfId="295" priority="195">
      <formula>E10=1</formula>
    </cfRule>
  </conditionalFormatting>
  <conditionalFormatting sqref="D10">
    <cfRule type="expression" dxfId="294" priority="194">
      <formula>E10=1</formula>
    </cfRule>
  </conditionalFormatting>
  <conditionalFormatting sqref="D11">
    <cfRule type="expression" dxfId="293" priority="184">
      <formula>E11=1</formula>
    </cfRule>
  </conditionalFormatting>
  <conditionalFormatting sqref="B11:D11">
    <cfRule type="expression" dxfId="292" priority="187">
      <formula>F11=1</formula>
    </cfRule>
  </conditionalFormatting>
  <conditionalFormatting sqref="B11:D11">
    <cfRule type="expression" dxfId="291" priority="186">
      <formula>E11=1</formula>
    </cfRule>
  </conditionalFormatting>
  <conditionalFormatting sqref="C11">
    <cfRule type="expression" dxfId="290" priority="185">
      <formula>E11=1</formula>
    </cfRule>
  </conditionalFormatting>
  <conditionalFormatting sqref="D7">
    <cfRule type="expression" dxfId="289" priority="180">
      <formula>E7=1</formula>
    </cfRule>
  </conditionalFormatting>
  <conditionalFormatting sqref="B7:D7">
    <cfRule type="expression" dxfId="288" priority="183">
      <formula>F7=1</formula>
    </cfRule>
  </conditionalFormatting>
  <conditionalFormatting sqref="B7:D7">
    <cfRule type="expression" dxfId="287" priority="182">
      <formula>E7=1</formula>
    </cfRule>
  </conditionalFormatting>
  <conditionalFormatting sqref="C7">
    <cfRule type="expression" dxfId="286" priority="181">
      <formula>E7=1</formula>
    </cfRule>
  </conditionalFormatting>
  <conditionalFormatting sqref="B8:D8">
    <cfRule type="expression" dxfId="285" priority="179">
      <formula>F8=1</formula>
    </cfRule>
  </conditionalFormatting>
  <conditionalFormatting sqref="B8:D8">
    <cfRule type="expression" dxfId="284" priority="178">
      <formula>E8=1</formula>
    </cfRule>
  </conditionalFormatting>
  <conditionalFormatting sqref="C8">
    <cfRule type="expression" dxfId="283" priority="177">
      <formula>E8=1</formula>
    </cfRule>
  </conditionalFormatting>
  <conditionalFormatting sqref="D8">
    <cfRule type="expression" dxfId="282" priority="176">
      <formula>E8=1</formula>
    </cfRule>
  </conditionalFormatting>
  <conditionalFormatting sqref="D10">
    <cfRule type="expression" dxfId="281" priority="168">
      <formula>E10=1</formula>
    </cfRule>
  </conditionalFormatting>
  <conditionalFormatting sqref="B10:D10">
    <cfRule type="expression" dxfId="280" priority="171">
      <formula>F10=1</formula>
    </cfRule>
  </conditionalFormatting>
  <conditionalFormatting sqref="B10:D10">
    <cfRule type="expression" dxfId="279" priority="170">
      <formula>E10=1</formula>
    </cfRule>
  </conditionalFormatting>
  <conditionalFormatting sqref="C10">
    <cfRule type="expression" dxfId="278" priority="169">
      <formula>E10=1</formula>
    </cfRule>
  </conditionalFormatting>
  <conditionalFormatting sqref="B9:D9">
    <cfRule type="expression" dxfId="277" priority="175">
      <formula>F9=1</formula>
    </cfRule>
  </conditionalFormatting>
  <conditionalFormatting sqref="B9:D9">
    <cfRule type="expression" dxfId="276" priority="174">
      <formula>E9=1</formula>
    </cfRule>
  </conditionalFormatting>
  <conditionalFormatting sqref="C9">
    <cfRule type="expression" dxfId="275" priority="173">
      <formula>E9=1</formula>
    </cfRule>
  </conditionalFormatting>
  <conditionalFormatting sqref="D9">
    <cfRule type="expression" dxfId="274" priority="172">
      <formula>E9=1</formula>
    </cfRule>
  </conditionalFormatting>
  <conditionalFormatting sqref="B11:D11">
    <cfRule type="expression" dxfId="273" priority="167">
      <formula>F11=1</formula>
    </cfRule>
  </conditionalFormatting>
  <conditionalFormatting sqref="B11:D11">
    <cfRule type="expression" dxfId="272" priority="166">
      <formula>E11=1</formula>
    </cfRule>
  </conditionalFormatting>
  <conditionalFormatting sqref="C11">
    <cfRule type="expression" dxfId="271" priority="165">
      <formula>E11=1</formula>
    </cfRule>
  </conditionalFormatting>
  <conditionalFormatting sqref="D11">
    <cfRule type="expression" dxfId="270" priority="164">
      <formula>E11=1</formula>
    </cfRule>
  </conditionalFormatting>
  <conditionalFormatting sqref="B7:D7">
    <cfRule type="expression" dxfId="269" priority="163">
      <formula>F7=1</formula>
    </cfRule>
  </conditionalFormatting>
  <conditionalFormatting sqref="B7:D7">
    <cfRule type="expression" dxfId="268" priority="162">
      <formula>E7=1</formula>
    </cfRule>
  </conditionalFormatting>
  <conditionalFormatting sqref="C7">
    <cfRule type="expression" dxfId="267" priority="161">
      <formula>E7=1</formula>
    </cfRule>
  </conditionalFormatting>
  <conditionalFormatting sqref="D7">
    <cfRule type="expression" dxfId="266" priority="160">
      <formula>E7=1</formula>
    </cfRule>
  </conditionalFormatting>
  <conditionalFormatting sqref="D9">
    <cfRule type="expression" dxfId="265" priority="152">
      <formula>E9=1</formula>
    </cfRule>
  </conditionalFormatting>
  <conditionalFormatting sqref="B9:D9">
    <cfRule type="expression" dxfId="264" priority="155">
      <formula>F9=1</formula>
    </cfRule>
  </conditionalFormatting>
  <conditionalFormatting sqref="B9:D9">
    <cfRule type="expression" dxfId="263" priority="154">
      <formula>E9=1</formula>
    </cfRule>
  </conditionalFormatting>
  <conditionalFormatting sqref="C9">
    <cfRule type="expression" dxfId="262" priority="153">
      <formula>E9=1</formula>
    </cfRule>
  </conditionalFormatting>
  <conditionalFormatting sqref="B8:D8">
    <cfRule type="expression" dxfId="261" priority="159">
      <formula>F8=1</formula>
    </cfRule>
  </conditionalFormatting>
  <conditionalFormatting sqref="B8:D8">
    <cfRule type="expression" dxfId="260" priority="158">
      <formula>E8=1</formula>
    </cfRule>
  </conditionalFormatting>
  <conditionalFormatting sqref="C8">
    <cfRule type="expression" dxfId="259" priority="157">
      <formula>E8=1</formula>
    </cfRule>
  </conditionalFormatting>
  <conditionalFormatting sqref="D8">
    <cfRule type="expression" dxfId="258" priority="156">
      <formula>E8=1</formula>
    </cfRule>
  </conditionalFormatting>
  <conditionalFormatting sqref="B10:D10">
    <cfRule type="expression" dxfId="257" priority="151">
      <formula>F10=1</formula>
    </cfRule>
  </conditionalFormatting>
  <conditionalFormatting sqref="B10:D10">
    <cfRule type="expression" dxfId="256" priority="150">
      <formula>E10=1</formula>
    </cfRule>
  </conditionalFormatting>
  <conditionalFormatting sqref="C10">
    <cfRule type="expression" dxfId="255" priority="149">
      <formula>E10=1</formula>
    </cfRule>
  </conditionalFormatting>
  <conditionalFormatting sqref="D10">
    <cfRule type="expression" dxfId="254" priority="148">
      <formula>E10=1</formula>
    </cfRule>
  </conditionalFormatting>
  <conditionalFormatting sqref="B11:D11">
    <cfRule type="expression" dxfId="253" priority="147">
      <formula>F11=1</formula>
    </cfRule>
  </conditionalFormatting>
  <conditionalFormatting sqref="B11:D11">
    <cfRule type="expression" dxfId="252" priority="146">
      <formula>E11=1</formula>
    </cfRule>
  </conditionalFormatting>
  <conditionalFormatting sqref="C11">
    <cfRule type="expression" dxfId="251" priority="145">
      <formula>E11=1</formula>
    </cfRule>
  </conditionalFormatting>
  <conditionalFormatting sqref="D11">
    <cfRule type="expression" dxfId="250" priority="144">
      <formula>E11=1</formula>
    </cfRule>
  </conditionalFormatting>
  <conditionalFormatting sqref="B6:D6">
    <cfRule type="expression" dxfId="249" priority="139">
      <formula>F6=1</formula>
    </cfRule>
  </conditionalFormatting>
  <conditionalFormatting sqref="B6:D6">
    <cfRule type="expression" dxfId="248" priority="138">
      <formula>E6=1</formula>
    </cfRule>
  </conditionalFormatting>
  <conditionalFormatting sqref="C6">
    <cfRule type="expression" dxfId="247" priority="137">
      <formula>E6=1</formula>
    </cfRule>
  </conditionalFormatting>
  <conditionalFormatting sqref="D6">
    <cfRule type="expression" dxfId="246" priority="136">
      <formula>E6=1</formula>
    </cfRule>
  </conditionalFormatting>
  <conditionalFormatting sqref="B6:D6">
    <cfRule type="expression" dxfId="245" priority="135">
      <formula>F6=1</formula>
    </cfRule>
  </conditionalFormatting>
  <conditionalFormatting sqref="B6:D6">
    <cfRule type="expression" dxfId="244" priority="134">
      <formula>E6=1</formula>
    </cfRule>
  </conditionalFormatting>
  <conditionalFormatting sqref="C6">
    <cfRule type="expression" dxfId="243" priority="133">
      <formula>E6=1</formula>
    </cfRule>
  </conditionalFormatting>
  <conditionalFormatting sqref="D6">
    <cfRule type="expression" dxfId="242" priority="132">
      <formula>E6=1</formula>
    </cfRule>
  </conditionalFormatting>
  <conditionalFormatting sqref="B6:C6">
    <cfRule type="expression" dxfId="241" priority="131">
      <formula>E6=1</formula>
    </cfRule>
  </conditionalFormatting>
  <conditionalFormatting sqref="B6:C6">
    <cfRule type="expression" dxfId="240" priority="130">
      <formula>F6=1</formula>
    </cfRule>
  </conditionalFormatting>
  <conditionalFormatting sqref="C6">
    <cfRule type="expression" dxfId="239" priority="129">
      <formula>E6=1</formula>
    </cfRule>
  </conditionalFormatting>
  <conditionalFormatting sqref="B6:D6">
    <cfRule type="expression" dxfId="238" priority="128">
      <formula>F6=1</formula>
    </cfRule>
  </conditionalFormatting>
  <conditionalFormatting sqref="B6:D6">
    <cfRule type="expression" dxfId="237" priority="127">
      <formula>E6=1</formula>
    </cfRule>
  </conditionalFormatting>
  <conditionalFormatting sqref="C6">
    <cfRule type="expression" dxfId="236" priority="126">
      <formula>E6=1</formula>
    </cfRule>
  </conditionalFormatting>
  <conditionalFormatting sqref="D6">
    <cfRule type="expression" dxfId="235" priority="125">
      <formula>E6=1</formula>
    </cfRule>
  </conditionalFormatting>
  <conditionalFormatting sqref="D6">
    <cfRule type="expression" dxfId="234" priority="121">
      <formula>E6=1</formula>
    </cfRule>
  </conditionalFormatting>
  <conditionalFormatting sqref="B6:D6">
    <cfRule type="expression" dxfId="233" priority="124">
      <formula>F6=1</formula>
    </cfRule>
  </conditionalFormatting>
  <conditionalFormatting sqref="B6:D6">
    <cfRule type="expression" dxfId="232" priority="123">
      <formula>E6=1</formula>
    </cfRule>
  </conditionalFormatting>
  <conditionalFormatting sqref="C6">
    <cfRule type="expression" dxfId="231" priority="122">
      <formula>E6=1</formula>
    </cfRule>
  </conditionalFormatting>
  <conditionalFormatting sqref="D21">
    <cfRule type="expression" dxfId="230" priority="117">
      <formula>E21=1</formula>
    </cfRule>
  </conditionalFormatting>
  <conditionalFormatting sqref="B21:D21">
    <cfRule type="expression" dxfId="229" priority="120">
      <formula>F21=1</formula>
    </cfRule>
  </conditionalFormatting>
  <conditionalFormatting sqref="B21:D21">
    <cfRule type="expression" dxfId="228" priority="119">
      <formula>E21=1</formula>
    </cfRule>
  </conditionalFormatting>
  <conditionalFormatting sqref="C21">
    <cfRule type="expression" dxfId="227" priority="118">
      <formula>E21=1</formula>
    </cfRule>
  </conditionalFormatting>
  <conditionalFormatting sqref="C18:D18">
    <cfRule type="expression" dxfId="226" priority="100">
      <formula>G12=1</formula>
    </cfRule>
  </conditionalFormatting>
  <conditionalFormatting sqref="D18">
    <cfRule type="expression" dxfId="225" priority="99">
      <formula>G12=1</formula>
    </cfRule>
  </conditionalFormatting>
  <conditionalFormatting sqref="B18">
    <cfRule type="expression" dxfId="224" priority="101">
      <formula>F1048571=1</formula>
    </cfRule>
  </conditionalFormatting>
  <conditionalFormatting sqref="B18:C18">
    <cfRule type="expression" dxfId="223" priority="102">
      <formula>E1048571=1</formula>
    </cfRule>
  </conditionalFormatting>
  <conditionalFormatting sqref="C18">
    <cfRule type="expression" dxfId="222" priority="103">
      <formula>E1048571=1</formula>
    </cfRule>
  </conditionalFormatting>
  <conditionalFormatting sqref="D18">
    <cfRule type="expression" dxfId="221" priority="104">
      <formula>E1048571=1</formula>
    </cfRule>
  </conditionalFormatting>
  <conditionalFormatting sqref="B26:D26">
    <cfRule type="expression" dxfId="220" priority="82">
      <formula>F26=1</formula>
    </cfRule>
  </conditionalFormatting>
  <conditionalFormatting sqref="B26:D26">
    <cfRule type="expression" dxfId="219" priority="81">
      <formula>E26=1</formula>
    </cfRule>
  </conditionalFormatting>
  <conditionalFormatting sqref="C26">
    <cfRule type="expression" dxfId="218" priority="80">
      <formula>E26=1</formula>
    </cfRule>
  </conditionalFormatting>
  <conditionalFormatting sqref="D26">
    <cfRule type="expression" dxfId="217" priority="79">
      <formula>E26=1</formula>
    </cfRule>
  </conditionalFormatting>
  <conditionalFormatting sqref="C28:D28">
    <cfRule type="expression" dxfId="216" priority="74">
      <formula>G22=1</formula>
    </cfRule>
  </conditionalFormatting>
  <conditionalFormatting sqref="D28">
    <cfRule type="expression" dxfId="215" priority="73">
      <formula>G22=1</formula>
    </cfRule>
  </conditionalFormatting>
  <conditionalFormatting sqref="B28">
    <cfRule type="expression" dxfId="214" priority="75">
      <formula>F5=1</formula>
    </cfRule>
  </conditionalFormatting>
  <conditionalFormatting sqref="B28:C28">
    <cfRule type="expression" dxfId="213" priority="76">
      <formula>E5=1</formula>
    </cfRule>
  </conditionalFormatting>
  <conditionalFormatting sqref="C28">
    <cfRule type="expression" dxfId="212" priority="77">
      <formula>E5=1</formula>
    </cfRule>
  </conditionalFormatting>
  <conditionalFormatting sqref="D28">
    <cfRule type="expression" dxfId="211" priority="78">
      <formula>E5=1</formula>
    </cfRule>
  </conditionalFormatting>
  <conditionalFormatting sqref="B28:D28">
    <cfRule type="expression" dxfId="210" priority="72">
      <formula>F28=1</formula>
    </cfRule>
  </conditionalFormatting>
  <conditionalFormatting sqref="B28:D28">
    <cfRule type="expression" dxfId="209" priority="71">
      <formula>E28=1</formula>
    </cfRule>
  </conditionalFormatting>
  <conditionalFormatting sqref="C28">
    <cfRule type="expression" dxfId="208" priority="70">
      <formula>E28=1</formula>
    </cfRule>
  </conditionalFormatting>
  <conditionalFormatting sqref="D28">
    <cfRule type="expression" dxfId="207" priority="69">
      <formula>E28=1</formula>
    </cfRule>
  </conditionalFormatting>
  <conditionalFormatting sqref="B27:D27">
    <cfRule type="expression" dxfId="206" priority="68">
      <formula>F27=1</formula>
    </cfRule>
  </conditionalFormatting>
  <conditionalFormatting sqref="B27:D27">
    <cfRule type="expression" dxfId="205" priority="67">
      <formula>E27=1</formula>
    </cfRule>
  </conditionalFormatting>
  <conditionalFormatting sqref="C27">
    <cfRule type="expression" dxfId="204" priority="66">
      <formula>E27=1</formula>
    </cfRule>
  </conditionalFormatting>
  <conditionalFormatting sqref="D27">
    <cfRule type="expression" dxfId="203" priority="65">
      <formula>E27=1</formula>
    </cfRule>
  </conditionalFormatting>
  <conditionalFormatting sqref="B19:D19">
    <cfRule type="expression" dxfId="202" priority="60">
      <formula>F19=1</formula>
    </cfRule>
  </conditionalFormatting>
  <conditionalFormatting sqref="B19:D19">
    <cfRule type="expression" dxfId="201" priority="59">
      <formula>E19=1</formula>
    </cfRule>
  </conditionalFormatting>
  <conditionalFormatting sqref="C19">
    <cfRule type="expression" dxfId="200" priority="58">
      <formula>E19=1</formula>
    </cfRule>
  </conditionalFormatting>
  <conditionalFormatting sqref="D19">
    <cfRule type="expression" dxfId="199" priority="57">
      <formula>E19=1</formula>
    </cfRule>
  </conditionalFormatting>
  <conditionalFormatting sqref="C18:D18">
    <cfRule type="expression" dxfId="198" priority="52">
      <formula>G12=1</formula>
    </cfRule>
  </conditionalFormatting>
  <conditionalFormatting sqref="D18">
    <cfRule type="expression" dxfId="197" priority="51">
      <formula>G12=1</formula>
    </cfRule>
  </conditionalFormatting>
  <conditionalFormatting sqref="B18">
    <cfRule type="expression" dxfId="196" priority="53">
      <formula>F1048571=1</formula>
    </cfRule>
  </conditionalFormatting>
  <conditionalFormatting sqref="B18:C18">
    <cfRule type="expression" dxfId="195" priority="54">
      <formula>E1048571=1</formula>
    </cfRule>
  </conditionalFormatting>
  <conditionalFormatting sqref="C18">
    <cfRule type="expression" dxfId="194" priority="55">
      <formula>E1048571=1</formula>
    </cfRule>
  </conditionalFormatting>
  <conditionalFormatting sqref="D18">
    <cfRule type="expression" dxfId="193" priority="56">
      <formula>E1048571=1</formula>
    </cfRule>
  </conditionalFormatting>
  <conditionalFormatting sqref="C19:D19">
    <cfRule type="expression" dxfId="192" priority="46">
      <formula>G13=1</formula>
    </cfRule>
  </conditionalFormatting>
  <conditionalFormatting sqref="D19">
    <cfRule type="expression" dxfId="191" priority="45">
      <formula>G13=1</formula>
    </cfRule>
  </conditionalFormatting>
  <conditionalFormatting sqref="B19">
    <cfRule type="expression" dxfId="190" priority="47">
      <formula>F1048572=1</formula>
    </cfRule>
  </conditionalFormatting>
  <conditionalFormatting sqref="B19:C19">
    <cfRule type="expression" dxfId="189" priority="48">
      <formula>E1048572=1</formula>
    </cfRule>
  </conditionalFormatting>
  <conditionalFormatting sqref="C19">
    <cfRule type="expression" dxfId="188" priority="49">
      <formula>E1048572=1</formula>
    </cfRule>
  </conditionalFormatting>
  <conditionalFormatting sqref="D19">
    <cfRule type="expression" dxfId="187" priority="50">
      <formula>E1048572=1</formula>
    </cfRule>
  </conditionalFormatting>
  <conditionalFormatting sqref="B18:D18">
    <cfRule type="expression" dxfId="186" priority="44">
      <formula>F18=1</formula>
    </cfRule>
  </conditionalFormatting>
  <conditionalFormatting sqref="B18:D18">
    <cfRule type="expression" dxfId="185" priority="43">
      <formula>E18=1</formula>
    </cfRule>
  </conditionalFormatting>
  <conditionalFormatting sqref="C18">
    <cfRule type="expression" dxfId="184" priority="42">
      <formula>E18=1</formula>
    </cfRule>
  </conditionalFormatting>
  <conditionalFormatting sqref="D18">
    <cfRule type="expression" dxfId="183" priority="41">
      <formula>E18=1</formula>
    </cfRule>
  </conditionalFormatting>
  <conditionalFormatting sqref="B17:D17">
    <cfRule type="expression" dxfId="182" priority="40">
      <formula>F17=1</formula>
    </cfRule>
  </conditionalFormatting>
  <conditionalFormatting sqref="B17:D17">
    <cfRule type="expression" dxfId="181" priority="39">
      <formula>E17=1</formula>
    </cfRule>
  </conditionalFormatting>
  <conditionalFormatting sqref="C17">
    <cfRule type="expression" dxfId="180" priority="38">
      <formula>E17=1</formula>
    </cfRule>
  </conditionalFormatting>
  <conditionalFormatting sqref="D17">
    <cfRule type="expression" dxfId="179" priority="37">
      <formula>E17=1</formula>
    </cfRule>
  </conditionalFormatting>
  <conditionalFormatting sqref="B30:D30">
    <cfRule type="expression" dxfId="178" priority="36">
      <formula>F30=1</formula>
    </cfRule>
  </conditionalFormatting>
  <conditionalFormatting sqref="B30:D30">
    <cfRule type="expression" dxfId="177" priority="35">
      <formula>E30=1</formula>
    </cfRule>
  </conditionalFormatting>
  <conditionalFormatting sqref="C30">
    <cfRule type="expression" dxfId="176" priority="34">
      <formula>E30=1</formula>
    </cfRule>
  </conditionalFormatting>
  <conditionalFormatting sqref="D30">
    <cfRule type="expression" dxfId="175" priority="33">
      <formula>E30=1</formula>
    </cfRule>
  </conditionalFormatting>
  <conditionalFormatting sqref="B31:D31">
    <cfRule type="expression" dxfId="174" priority="32">
      <formula>F31=1</formula>
    </cfRule>
  </conditionalFormatting>
  <conditionalFormatting sqref="B31:D31">
    <cfRule type="expression" dxfId="173" priority="31">
      <formula>E31=1</formula>
    </cfRule>
  </conditionalFormatting>
  <conditionalFormatting sqref="C31">
    <cfRule type="expression" dxfId="172" priority="30">
      <formula>E31=1</formula>
    </cfRule>
  </conditionalFormatting>
  <conditionalFormatting sqref="D31">
    <cfRule type="expression" dxfId="171" priority="29">
      <formula>E31=1</formula>
    </cfRule>
  </conditionalFormatting>
  <conditionalFormatting sqref="B32:D32">
    <cfRule type="expression" dxfId="170" priority="28">
      <formula>F32=1</formula>
    </cfRule>
  </conditionalFormatting>
  <conditionalFormatting sqref="B32:D32">
    <cfRule type="expression" dxfId="169" priority="27">
      <formula>E32=1</formula>
    </cfRule>
  </conditionalFormatting>
  <conditionalFormatting sqref="C32">
    <cfRule type="expression" dxfId="168" priority="26">
      <formula>E32=1</formula>
    </cfRule>
  </conditionalFormatting>
  <conditionalFormatting sqref="D32">
    <cfRule type="expression" dxfId="167" priority="25">
      <formula>E32=1</formula>
    </cfRule>
  </conditionalFormatting>
  <conditionalFormatting sqref="B33:D33">
    <cfRule type="expression" dxfId="166" priority="24">
      <formula>F33=1</formula>
    </cfRule>
  </conditionalFormatting>
  <conditionalFormatting sqref="B33:D33">
    <cfRule type="expression" dxfId="165" priority="23">
      <formula>E33=1</formula>
    </cfRule>
  </conditionalFormatting>
  <conditionalFormatting sqref="C33">
    <cfRule type="expression" dxfId="164" priority="22">
      <formula>E33=1</formula>
    </cfRule>
  </conditionalFormatting>
  <conditionalFormatting sqref="D33">
    <cfRule type="expression" dxfId="163" priority="21">
      <formula>E33=1</formula>
    </cfRule>
  </conditionalFormatting>
  <conditionalFormatting sqref="B12:D12">
    <cfRule type="expression" dxfId="162" priority="20">
      <formula>F12=1</formula>
    </cfRule>
  </conditionalFormatting>
  <conditionalFormatting sqref="B12:D12">
    <cfRule type="expression" dxfId="161" priority="19">
      <formula>E12=1</formula>
    </cfRule>
  </conditionalFormatting>
  <conditionalFormatting sqref="C12">
    <cfRule type="expression" dxfId="160" priority="18">
      <formula>E12=1</formula>
    </cfRule>
  </conditionalFormatting>
  <conditionalFormatting sqref="D12">
    <cfRule type="expression" dxfId="159" priority="17">
      <formula>E12=1</formula>
    </cfRule>
  </conditionalFormatting>
  <conditionalFormatting sqref="B13:D13">
    <cfRule type="expression" dxfId="158" priority="16">
      <formula>F13=1</formula>
    </cfRule>
  </conditionalFormatting>
  <conditionalFormatting sqref="B13:D13">
    <cfRule type="expression" dxfId="157" priority="15">
      <formula>E13=1</formula>
    </cfRule>
  </conditionalFormatting>
  <conditionalFormatting sqref="C13">
    <cfRule type="expression" dxfId="156" priority="14">
      <formula>E13=1</formula>
    </cfRule>
  </conditionalFormatting>
  <conditionalFormatting sqref="D13">
    <cfRule type="expression" dxfId="155" priority="13">
      <formula>E13=1</formula>
    </cfRule>
  </conditionalFormatting>
  <conditionalFormatting sqref="B14:D14">
    <cfRule type="expression" dxfId="154" priority="12">
      <formula>F14=1</formula>
    </cfRule>
  </conditionalFormatting>
  <conditionalFormatting sqref="B14:D14">
    <cfRule type="expression" dxfId="153" priority="11">
      <formula>E14=1</formula>
    </cfRule>
  </conditionalFormatting>
  <conditionalFormatting sqref="C14">
    <cfRule type="expression" dxfId="152" priority="10">
      <formula>E14=1</formula>
    </cfRule>
  </conditionalFormatting>
  <conditionalFormatting sqref="D14">
    <cfRule type="expression" dxfId="151" priority="9">
      <formula>E14=1</formula>
    </cfRule>
  </conditionalFormatting>
  <conditionalFormatting sqref="B15:D15">
    <cfRule type="expression" dxfId="150" priority="8">
      <formula>F15=1</formula>
    </cfRule>
  </conditionalFormatting>
  <conditionalFormatting sqref="B15:D15">
    <cfRule type="expression" dxfId="149" priority="7">
      <formula>E15=1</formula>
    </cfRule>
  </conditionalFormatting>
  <conditionalFormatting sqref="C15">
    <cfRule type="expression" dxfId="148" priority="6">
      <formula>E15=1</formula>
    </cfRule>
  </conditionalFormatting>
  <conditionalFormatting sqref="D15">
    <cfRule type="expression" dxfId="147" priority="5">
      <formula>E15=1</formula>
    </cfRule>
  </conditionalFormatting>
  <conditionalFormatting sqref="B16:D16">
    <cfRule type="expression" dxfId="146" priority="4">
      <formula>F16=1</formula>
    </cfRule>
  </conditionalFormatting>
  <conditionalFormatting sqref="B16:D16">
    <cfRule type="expression" dxfId="145" priority="3">
      <formula>E16=1</formula>
    </cfRule>
  </conditionalFormatting>
  <conditionalFormatting sqref="C16">
    <cfRule type="expression" dxfId="144" priority="2">
      <formula>E16=1</formula>
    </cfRule>
  </conditionalFormatting>
  <conditionalFormatting sqref="D16">
    <cfRule type="expression" dxfId="143" priority="1">
      <formula>E16=1</formula>
    </cfRule>
  </conditionalFormatting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7"/>
  <sheetViews>
    <sheetView showGridLines="0" workbookViewId="0">
      <pane ySplit="1" topLeftCell="A2" activePane="bottomLeft" state="frozen"/>
      <selection pane="bottomLeft" activeCell="B15" sqref="B15:C15"/>
    </sheetView>
  </sheetViews>
  <sheetFormatPr baseColWidth="10" defaultColWidth="14.5" defaultRowHeight="15.75" customHeight="1" x14ac:dyDescent="0.15"/>
  <cols>
    <col min="1" max="1" width="14.5" style="6"/>
    <col min="3" max="3" width="16" bestFit="1" customWidth="1"/>
    <col min="6" max="6" width="15.1640625" bestFit="1" customWidth="1"/>
    <col min="8" max="8" width="22" bestFit="1" customWidth="1"/>
    <col min="9" max="9" width="25" bestFit="1" customWidth="1"/>
    <col min="10" max="10" width="39.83203125" bestFit="1" customWidth="1"/>
    <col min="11" max="11" width="15.5" bestFit="1" customWidth="1"/>
    <col min="12" max="12" width="16.6640625" bestFit="1" customWidth="1"/>
  </cols>
  <sheetData>
    <row r="1" spans="1:15" ht="13" x14ac:dyDescent="0.15">
      <c r="A1" s="5" t="s">
        <v>860</v>
      </c>
      <c r="B1" s="1" t="s">
        <v>0</v>
      </c>
      <c r="C1" s="1" t="s">
        <v>1</v>
      </c>
      <c r="D1" s="1" t="s">
        <v>2</v>
      </c>
      <c r="E1" s="15" t="s">
        <v>861</v>
      </c>
    </row>
    <row r="2" spans="1:15" ht="13" x14ac:dyDescent="0.15">
      <c r="A2" s="11">
        <v>1</v>
      </c>
      <c r="B2" s="3">
        <f ca="1">IFERROR(__xludf.DUMMYFUNCTION("""COMPUTED_VALUE"""),328)</f>
        <v>328</v>
      </c>
      <c r="C2" s="3" t="str">
        <f ca="1">IFERROR(__xludf.DUMMYFUNCTION("""COMPUTED_VALUE"""),"Patrick Mahomes")</f>
        <v>Patrick Mahomes</v>
      </c>
      <c r="D2" s="3" t="str">
        <f ca="1">IFERROR(__xludf.DUMMYFUNCTION("""COMPUTED_VALUE"""),"QB")</f>
        <v>QB</v>
      </c>
      <c r="F2" s="21"/>
      <c r="G2" s="65"/>
      <c r="H2" s="66"/>
      <c r="I2" s="66"/>
      <c r="J2" s="67"/>
      <c r="K2" s="13"/>
      <c r="L2" s="31"/>
      <c r="M2" s="13"/>
      <c r="N2" s="13"/>
      <c r="O2" s="13"/>
    </row>
    <row r="3" spans="1:15" ht="13" x14ac:dyDescent="0.15">
      <c r="A3" s="16">
        <f>+A2+1</f>
        <v>2</v>
      </c>
      <c r="B3" s="3">
        <f ca="1">IFERROR(__xludf.DUMMYFUNCTION("""COMPUTED_VALUE"""),149)</f>
        <v>149</v>
      </c>
      <c r="C3" s="3" t="str">
        <f ca="1">IFERROR(__xludf.DUMMYFUNCTION("""COMPUTED_VALUE"""),"Deshaun Watson")</f>
        <v>Deshaun Watson</v>
      </c>
      <c r="D3" s="3" t="str">
        <f ca="1">IFERROR(__xludf.DUMMYFUNCTION("""COMPUTED_VALUE"""),"QB")</f>
        <v>QB</v>
      </c>
      <c r="E3">
        <v>1</v>
      </c>
      <c r="F3" s="21"/>
      <c r="G3" s="31"/>
      <c r="H3" s="66"/>
      <c r="I3" s="66"/>
      <c r="J3" s="13"/>
      <c r="K3" s="68"/>
      <c r="L3" s="31"/>
      <c r="M3" s="69"/>
      <c r="N3" s="69"/>
      <c r="O3" s="13"/>
    </row>
    <row r="4" spans="1:15" ht="13" x14ac:dyDescent="0.15">
      <c r="A4" s="16">
        <f t="shared" ref="A4:A38" si="0">+A3+1</f>
        <v>3</v>
      </c>
      <c r="B4" s="3">
        <f ca="1">IFERROR(__xludf.DUMMYFUNCTION("""COMPUTED_VALUE"""),83)</f>
        <v>83</v>
      </c>
      <c r="C4" s="3" t="str">
        <f ca="1">IFERROR(__xludf.DUMMYFUNCTION("""COMPUTED_VALUE"""),"Aaron Rodgers")</f>
        <v>Aaron Rodgers</v>
      </c>
      <c r="D4" s="3" t="str">
        <f ca="1">IFERROR(__xludf.DUMMYFUNCTION("""COMPUTED_VALUE"""),"QB")</f>
        <v>QB</v>
      </c>
      <c r="E4">
        <v>1</v>
      </c>
      <c r="G4" s="31"/>
      <c r="H4" s="13"/>
      <c r="I4" s="13"/>
      <c r="J4" s="13"/>
      <c r="K4" s="68"/>
      <c r="L4" s="31"/>
      <c r="M4" s="69"/>
      <c r="N4" s="69"/>
      <c r="O4" s="13"/>
    </row>
    <row r="5" spans="1:15" ht="13" x14ac:dyDescent="0.15">
      <c r="A5" s="16">
        <f t="shared" si="0"/>
        <v>4</v>
      </c>
      <c r="B5" s="3">
        <f ca="1">IFERROR(__xludf.DUMMYFUNCTION("""COMPUTED_VALUE"""),118)</f>
        <v>118</v>
      </c>
      <c r="C5" s="3" t="str">
        <f ca="1">IFERROR(__xludf.DUMMYFUNCTION("""COMPUTED_VALUE"""),"Cam Newton")</f>
        <v>Cam Newton</v>
      </c>
      <c r="D5" s="3" t="str">
        <f ca="1">IFERROR(__xludf.DUMMYFUNCTION("""COMPUTED_VALUE"""),"QB")</f>
        <v>QB</v>
      </c>
      <c r="F5" s="21"/>
      <c r="G5" s="13"/>
      <c r="H5" s="13"/>
      <c r="I5" s="13"/>
      <c r="J5" s="13"/>
      <c r="K5" s="68"/>
      <c r="L5" s="31"/>
      <c r="M5" s="69"/>
      <c r="N5" s="69"/>
      <c r="O5" s="13"/>
    </row>
    <row r="6" spans="1:15" ht="13" x14ac:dyDescent="0.15">
      <c r="A6" s="16">
        <f t="shared" si="0"/>
        <v>5</v>
      </c>
      <c r="B6" s="3">
        <f ca="1">IFERROR(__xludf.DUMMYFUNCTION("""COMPUTED_VALUE"""),122)</f>
        <v>122</v>
      </c>
      <c r="C6" s="3" t="str">
        <f ca="1">IFERROR(__xludf.DUMMYFUNCTION("""COMPUTED_VALUE"""),"Carson Wentz")</f>
        <v>Carson Wentz</v>
      </c>
      <c r="D6" s="3" t="str">
        <f ca="1">IFERROR(__xludf.DUMMYFUNCTION("""COMPUTED_VALUE"""),"QB")</f>
        <v>QB</v>
      </c>
      <c r="E6">
        <v>1</v>
      </c>
      <c r="G6" s="70"/>
      <c r="H6" s="13"/>
      <c r="I6" s="13"/>
      <c r="J6" s="71"/>
      <c r="K6" s="13"/>
      <c r="L6" s="13"/>
      <c r="M6" s="31"/>
      <c r="N6" s="13"/>
      <c r="O6" s="13"/>
    </row>
    <row r="7" spans="1:15" ht="13" x14ac:dyDescent="0.15">
      <c r="A7" s="16">
        <f t="shared" si="0"/>
        <v>6</v>
      </c>
      <c r="B7" s="3">
        <f ca="1">IFERROR(__xludf.DUMMYFUNCTION("""COMPUTED_VALUE"""),288)</f>
        <v>288</v>
      </c>
      <c r="C7" s="3" t="str">
        <f ca="1">IFERROR(__xludf.DUMMYFUNCTION("""COMPUTED_VALUE"""),"Matt Ryan")</f>
        <v>Matt Ryan</v>
      </c>
      <c r="D7" s="3" t="str">
        <f ca="1">IFERROR(__xludf.DUMMYFUNCTION("""COMPUTED_VALUE"""),"QB")</f>
        <v>QB</v>
      </c>
      <c r="E7">
        <v>1</v>
      </c>
      <c r="G7" s="31"/>
      <c r="H7" s="59"/>
      <c r="I7" s="72"/>
      <c r="J7" s="13"/>
      <c r="K7" s="13"/>
      <c r="L7" s="13"/>
      <c r="M7" s="13"/>
      <c r="N7" s="13"/>
      <c r="O7" s="13"/>
    </row>
    <row r="8" spans="1:15" ht="13" x14ac:dyDescent="0.15">
      <c r="A8" s="16">
        <f t="shared" si="0"/>
        <v>7</v>
      </c>
      <c r="B8" s="3">
        <f ca="1">IFERROR(__xludf.DUMMYFUNCTION("""COMPUTED_VALUE"""),526)</f>
        <v>526</v>
      </c>
      <c r="C8" s="3" t="str">
        <f ca="1">IFERROR(__xludf.DUMMYFUNCTION("""COMPUTED_VALUE"""),"Baker Mayfield")</f>
        <v>Baker Mayfield</v>
      </c>
      <c r="D8" s="3" t="str">
        <f ca="1">IFERROR(__xludf.DUMMYFUNCTION("""COMPUTED_VALUE"""),"QB")</f>
        <v>QB</v>
      </c>
      <c r="E8">
        <v>1</v>
      </c>
      <c r="G8" s="31"/>
      <c r="H8" s="59"/>
      <c r="I8" s="13"/>
      <c r="J8" s="13"/>
      <c r="K8" s="13"/>
      <c r="L8" s="13"/>
      <c r="M8" s="13"/>
      <c r="N8" s="13"/>
      <c r="O8" s="13"/>
    </row>
    <row r="9" spans="1:15" ht="13" x14ac:dyDescent="0.15">
      <c r="A9" s="16">
        <f t="shared" si="0"/>
        <v>8</v>
      </c>
      <c r="B9" s="3">
        <f ca="1">IFERROR(__xludf.DUMMYFUNCTION("""COMPUTED_VALUE"""),354)</f>
        <v>354</v>
      </c>
      <c r="C9" s="3" t="str">
        <f ca="1">IFERROR(__xludf.DUMMYFUNCTION("""COMPUTED_VALUE"""),"Russell Wilson")</f>
        <v>Russell Wilson</v>
      </c>
      <c r="D9" s="3" t="str">
        <f ca="1">IFERROR(__xludf.DUMMYFUNCTION("""COMPUTED_VALUE"""),"QB")</f>
        <v>QB</v>
      </c>
      <c r="E9">
        <v>1</v>
      </c>
      <c r="G9" s="31"/>
      <c r="H9" s="59"/>
      <c r="I9" s="59"/>
      <c r="J9" s="13"/>
      <c r="K9" s="13"/>
      <c r="L9" s="13"/>
      <c r="M9" s="13"/>
      <c r="N9" s="13"/>
      <c r="O9" s="13"/>
    </row>
    <row r="10" spans="1:15" ht="13" x14ac:dyDescent="0.15">
      <c r="A10" s="16">
        <f t="shared" si="0"/>
        <v>9</v>
      </c>
      <c r="B10" s="3">
        <f ca="1">IFERROR(__xludf.DUMMYFUNCTION("""COMPUTED_VALUE"""),164)</f>
        <v>164</v>
      </c>
      <c r="C10" s="3" t="str">
        <f ca="1">IFERROR(__xludf.DUMMYFUNCTION("""COMPUTED_VALUE"""),"Drew Brees")</f>
        <v>Drew Brees</v>
      </c>
      <c r="D10" s="3" t="str">
        <f ca="1">IFERROR(__xludf.DUMMYFUNCTION("""COMPUTED_VALUE"""),"QB")</f>
        <v>QB</v>
      </c>
      <c r="E10">
        <v>1</v>
      </c>
      <c r="G10" s="31"/>
      <c r="H10" s="59"/>
      <c r="I10" s="72"/>
      <c r="J10" s="13"/>
      <c r="K10" s="13"/>
      <c r="L10" s="13"/>
      <c r="M10" s="13"/>
      <c r="N10" s="13"/>
      <c r="O10" s="13"/>
    </row>
    <row r="11" spans="1:15" ht="13" x14ac:dyDescent="0.15">
      <c r="A11" s="16">
        <f t="shared" si="0"/>
        <v>10</v>
      </c>
      <c r="B11" s="3">
        <f ca="1">IFERROR(__xludf.DUMMYFUNCTION("""COMPUTED_VALUE"""),188)</f>
        <v>188</v>
      </c>
      <c r="C11" s="3" t="str">
        <f ca="1">IFERROR(__xludf.DUMMYFUNCTION("""COMPUTED_VALUE"""),"Jameis Winston")</f>
        <v>Jameis Winston</v>
      </c>
      <c r="D11" s="3" t="str">
        <f ca="1">IFERROR(__xludf.DUMMYFUNCTION("""COMPUTED_VALUE"""),"QB")</f>
        <v>QB</v>
      </c>
      <c r="E11" s="47">
        <v>1</v>
      </c>
      <c r="G11" s="31"/>
      <c r="H11" s="59"/>
      <c r="I11" s="72"/>
      <c r="J11" s="13"/>
      <c r="K11" s="13"/>
      <c r="L11" s="13"/>
      <c r="M11" s="13"/>
      <c r="N11" s="13"/>
      <c r="O11" s="13"/>
    </row>
    <row r="12" spans="1:15" ht="13" x14ac:dyDescent="0.15">
      <c r="A12" s="16">
        <f t="shared" si="0"/>
        <v>11</v>
      </c>
      <c r="B12" s="3">
        <f ca="1">IFERROR(__xludf.DUMMYFUNCTION("""COMPUTED_VALUE"""),191)</f>
        <v>191</v>
      </c>
      <c r="C12" s="3" t="str">
        <f ca="1">IFERROR(__xludf.DUMMYFUNCTION("""COMPUTED_VALUE"""),"Jared Goff")</f>
        <v>Jared Goff</v>
      </c>
      <c r="D12" s="3" t="str">
        <f ca="1">IFERROR(__xludf.DUMMYFUNCTION("""COMPUTED_VALUE"""),"QB")</f>
        <v>QB</v>
      </c>
      <c r="E12">
        <v>1</v>
      </c>
      <c r="G12" s="31"/>
      <c r="H12" s="59"/>
      <c r="I12" s="13"/>
      <c r="J12" s="13"/>
      <c r="K12" s="13"/>
      <c r="L12" s="13"/>
      <c r="M12" s="13"/>
      <c r="N12" s="13"/>
      <c r="O12" s="13"/>
    </row>
    <row r="13" spans="1:15" ht="13" x14ac:dyDescent="0.15">
      <c r="A13" s="16">
        <f t="shared" si="0"/>
        <v>12</v>
      </c>
      <c r="B13" s="3">
        <f ca="1">IFERROR(__xludf.DUMMYFUNCTION("""COMPUTED_VALUE"""),132)</f>
        <v>132</v>
      </c>
      <c r="C13" s="3" t="str">
        <f ca="1">IFERROR(__xludf.DUMMYFUNCTION("""COMPUTED_VALUE"""),"Dak Prescott")</f>
        <v>Dak Prescott</v>
      </c>
      <c r="D13" s="3" t="str">
        <f ca="1">IFERROR(__xludf.DUMMYFUNCTION("""COMPUTED_VALUE"""),"QB")</f>
        <v>QB</v>
      </c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3" x14ac:dyDescent="0.15">
      <c r="A14" s="16">
        <f t="shared" si="0"/>
        <v>13</v>
      </c>
      <c r="B14" s="3">
        <f ca="1">IFERROR(__xludf.DUMMYFUNCTION("""COMPUTED_VALUE"""),532)</f>
        <v>532</v>
      </c>
      <c r="C14" s="3" t="str">
        <f ca="1">IFERROR(__xludf.DUMMYFUNCTION("""COMPUTED_VALUE"""),"Lamar Jackson")</f>
        <v>Lamar Jackson</v>
      </c>
      <c r="D14" s="3" t="str">
        <f ca="1">IFERROR(__xludf.DUMMYFUNCTION("""COMPUTED_VALUE"""),"QB")</f>
        <v>QB</v>
      </c>
      <c r="E14">
        <v>1</v>
      </c>
      <c r="G14" s="70"/>
      <c r="H14" s="73"/>
      <c r="I14" s="73"/>
      <c r="J14" s="69"/>
      <c r="K14" s="13"/>
      <c r="L14" s="74"/>
      <c r="M14" s="74"/>
      <c r="N14" s="13"/>
      <c r="O14" s="13"/>
    </row>
    <row r="15" spans="1:15" ht="13" x14ac:dyDescent="0.15">
      <c r="A15" s="16">
        <f t="shared" si="0"/>
        <v>14</v>
      </c>
      <c r="B15" s="3">
        <f ca="1">IFERROR(__xludf.DUMMYFUNCTION("""COMPUTED_VALUE"""),404)</f>
        <v>404</v>
      </c>
      <c r="C15" s="3" t="str">
        <f ca="1">IFERROR(__xludf.DUMMYFUNCTION("""COMPUTED_VALUE"""),"Tom Brady")</f>
        <v>Tom Brady</v>
      </c>
      <c r="D15" s="3" t="str">
        <f ca="1">IFERROR(__xludf.DUMMYFUNCTION("""COMPUTED_VALUE"""),"QB")</f>
        <v>QB</v>
      </c>
      <c r="G15" s="31"/>
      <c r="H15" s="75"/>
      <c r="I15" s="75"/>
      <c r="J15" s="75"/>
      <c r="K15" s="13"/>
      <c r="L15" s="74"/>
      <c r="M15" s="74"/>
      <c r="N15" s="13"/>
      <c r="O15" s="13"/>
    </row>
    <row r="16" spans="1:15" ht="13" x14ac:dyDescent="0.15">
      <c r="A16" s="16">
        <f t="shared" si="0"/>
        <v>15</v>
      </c>
      <c r="B16" s="3">
        <f ca="1">IFERROR(__xludf.DUMMYFUNCTION("""COMPUTED_VALUE"""),337)</f>
        <v>337</v>
      </c>
      <c r="C16" s="3" t="str">
        <f ca="1">IFERROR(__xludf.DUMMYFUNCTION("""COMPUTED_VALUE"""),"Philip Rivers")</f>
        <v>Philip Rivers</v>
      </c>
      <c r="D16" s="3" t="str">
        <f ca="1">IFERROR(__xludf.DUMMYFUNCTION("""COMPUTED_VALUE"""),"QB")</f>
        <v>QB</v>
      </c>
      <c r="E16">
        <v>1</v>
      </c>
      <c r="F16" s="21"/>
      <c r="G16" s="31"/>
      <c r="H16" s="31"/>
      <c r="I16" s="31"/>
      <c r="J16" s="58"/>
      <c r="K16" s="13"/>
      <c r="L16" s="31"/>
      <c r="M16" s="31"/>
      <c r="N16" s="13"/>
      <c r="O16" s="13"/>
    </row>
    <row r="17" spans="1:15" ht="13" x14ac:dyDescent="0.15">
      <c r="A17" s="16">
        <f t="shared" si="0"/>
        <v>16</v>
      </c>
      <c r="B17" s="3">
        <f ca="1">IFERROR(__xludf.DUMMYFUNCTION("""COMPUTED_VALUE"""),291)</f>
        <v>291</v>
      </c>
      <c r="C17" s="3" t="str">
        <f ca="1">IFERROR(__xludf.DUMMYFUNCTION("""COMPUTED_VALUE"""),"Matthew Stafford")</f>
        <v>Matthew Stafford</v>
      </c>
      <c r="D17" s="3" t="str">
        <f ca="1">IFERROR(__xludf.DUMMYFUNCTION("""COMPUTED_VALUE"""),"QB")</f>
        <v>QB</v>
      </c>
      <c r="E17">
        <v>1</v>
      </c>
      <c r="G17" s="31"/>
      <c r="H17" s="31"/>
      <c r="I17" s="31"/>
      <c r="J17" s="58"/>
      <c r="K17" s="13"/>
      <c r="L17" s="31"/>
      <c r="M17" s="31"/>
      <c r="N17" s="13"/>
      <c r="O17" s="13"/>
    </row>
    <row r="18" spans="1:15" ht="13" x14ac:dyDescent="0.15">
      <c r="A18" s="16">
        <f t="shared" si="0"/>
        <v>17</v>
      </c>
      <c r="B18" s="3">
        <f ca="1">IFERROR(__xludf.DUMMYFUNCTION("""COMPUTED_VALUE"""),309)</f>
        <v>309</v>
      </c>
      <c r="C18" s="3" t="str">
        <f ca="1">IFERROR(__xludf.DUMMYFUNCTION("""COMPUTED_VALUE"""),"Mitch Trubisky")</f>
        <v>Mitch Trubisky</v>
      </c>
      <c r="D18" s="3" t="str">
        <f ca="1">IFERROR(__xludf.DUMMYFUNCTION("""COMPUTED_VALUE"""),"QB")</f>
        <v>QB</v>
      </c>
      <c r="G18" s="13"/>
      <c r="H18" s="13"/>
      <c r="I18" s="13"/>
      <c r="J18" s="13"/>
      <c r="K18" s="13"/>
      <c r="L18" s="74"/>
      <c r="M18" s="74"/>
      <c r="N18" s="13"/>
      <c r="O18" s="13"/>
    </row>
    <row r="19" spans="1:15" ht="13" x14ac:dyDescent="0.15">
      <c r="A19" s="16">
        <f t="shared" si="0"/>
        <v>18</v>
      </c>
      <c r="B19" s="3">
        <f ca="1">IFERROR(__xludf.DUMMYFUNCTION("""COMPUTED_VALUE"""),242)</f>
        <v>242</v>
      </c>
      <c r="C19" s="3" t="str">
        <f ca="1">IFERROR(__xludf.DUMMYFUNCTION("""COMPUTED_VALUE"""),"Kirk Cousins")</f>
        <v>Kirk Cousins</v>
      </c>
      <c r="D19" s="3" t="str">
        <f ca="1">IFERROR(__xludf.DUMMYFUNCTION("""COMPUTED_VALUE"""),"QB")</f>
        <v>QB</v>
      </c>
      <c r="E19">
        <v>1</v>
      </c>
      <c r="G19" s="70"/>
      <c r="H19" s="73"/>
      <c r="I19" s="73"/>
      <c r="J19" s="69"/>
      <c r="K19" s="13"/>
      <c r="L19" s="74"/>
      <c r="M19" s="74"/>
      <c r="N19" s="13"/>
      <c r="O19" s="13"/>
    </row>
    <row r="20" spans="1:15" ht="13" x14ac:dyDescent="0.15">
      <c r="A20" s="16">
        <f t="shared" si="0"/>
        <v>19</v>
      </c>
      <c r="B20" s="3">
        <f ca="1">IFERROR(__xludf.DUMMYFUNCTION("""COMPUTED_VALUE"""),716)</f>
        <v>716</v>
      </c>
      <c r="C20" s="3" t="str">
        <f ca="1">IFERROR(__xludf.DUMMYFUNCTION("""COMPUTED_VALUE"""),"Kyler Murray")</f>
        <v>Kyler Murray</v>
      </c>
      <c r="D20" s="3" t="str">
        <f ca="1">IFERROR(__xludf.DUMMYFUNCTION("""COMPUTED_VALUE"""),"QB")</f>
        <v>QB</v>
      </c>
      <c r="E20">
        <v>1</v>
      </c>
      <c r="G20" s="31"/>
      <c r="H20" s="31"/>
      <c r="I20" s="31"/>
      <c r="J20" s="75"/>
      <c r="K20" s="13"/>
      <c r="L20" s="31"/>
      <c r="M20" s="31"/>
      <c r="N20" s="13"/>
      <c r="O20" s="13"/>
    </row>
    <row r="21" spans="1:15" ht="13" x14ac:dyDescent="0.15">
      <c r="A21" s="16">
        <f t="shared" si="0"/>
        <v>20</v>
      </c>
      <c r="B21" s="3">
        <f ca="1">IFERROR(__xludf.DUMMYFUNCTION("""COMPUTED_VALUE"""),203)</f>
        <v>203</v>
      </c>
      <c r="C21" s="3" t="str">
        <f ca="1">IFERROR(__xludf.DUMMYFUNCTION("""COMPUTED_VALUE"""),"Jimmy Garoppolo")</f>
        <v>Jimmy Garoppolo</v>
      </c>
      <c r="D21" s="3" t="str">
        <f ca="1">IFERROR(__xludf.DUMMYFUNCTION("""COMPUTED_VALUE"""),"QB")</f>
        <v>QB</v>
      </c>
      <c r="E21">
        <v>1</v>
      </c>
      <c r="G21" s="31"/>
      <c r="H21" s="59"/>
      <c r="I21" s="59"/>
      <c r="J21" s="58"/>
      <c r="K21" s="13"/>
      <c r="L21" s="74"/>
      <c r="M21" s="74"/>
      <c r="N21" s="13"/>
      <c r="O21" s="13"/>
    </row>
    <row r="22" spans="1:15" ht="13" x14ac:dyDescent="0.15">
      <c r="A22" s="16">
        <f t="shared" si="0"/>
        <v>21</v>
      </c>
      <c r="B22" s="3">
        <f ca="1">IFERROR(__xludf.DUMMYFUNCTION("""COMPUTED_VALUE"""),527)</f>
        <v>527</v>
      </c>
      <c r="C22" s="3" t="str">
        <f ca="1">IFERROR(__xludf.DUMMYFUNCTION("""COMPUTED_VALUE"""),"Josh Allen")</f>
        <v>Josh Allen</v>
      </c>
      <c r="D22" s="3" t="str">
        <f ca="1">IFERROR(__xludf.DUMMYFUNCTION("""COMPUTED_VALUE"""),"QB")</f>
        <v>QB</v>
      </c>
      <c r="E22">
        <v>1</v>
      </c>
      <c r="G22" s="31"/>
      <c r="H22" s="31"/>
      <c r="I22" s="31"/>
      <c r="J22" s="58"/>
      <c r="K22" s="13"/>
      <c r="L22" s="74"/>
      <c r="M22" s="74"/>
      <c r="N22" s="13"/>
      <c r="O22" s="13"/>
    </row>
    <row r="23" spans="1:15" ht="13" x14ac:dyDescent="0.15">
      <c r="A23" s="16">
        <f t="shared" si="0"/>
        <v>22</v>
      </c>
      <c r="B23" s="3">
        <f ca="1">IFERROR(__xludf.DUMMYFUNCTION("""COMPUTED_VALUE"""),530)</f>
        <v>530</v>
      </c>
      <c r="C23" s="3" t="str">
        <f ca="1">IFERROR(__xludf.DUMMYFUNCTION("""COMPUTED_VALUE"""),"Sam Darnold")</f>
        <v>Sam Darnold</v>
      </c>
      <c r="D23" s="3" t="str">
        <f ca="1">IFERROR(__xludf.DUMMYFUNCTION("""COMPUTED_VALUE"""),"QB")</f>
        <v>QB</v>
      </c>
      <c r="E23">
        <v>1</v>
      </c>
      <c r="G23" s="13"/>
      <c r="H23" s="13"/>
      <c r="I23" s="13"/>
      <c r="J23" s="13"/>
      <c r="K23" s="13"/>
      <c r="L23" s="31"/>
      <c r="M23" s="31"/>
      <c r="N23" s="13"/>
      <c r="O23" s="13"/>
    </row>
    <row r="24" spans="1:15" ht="13" x14ac:dyDescent="0.15">
      <c r="A24" s="16">
        <f t="shared" si="0"/>
        <v>23</v>
      </c>
      <c r="B24" s="3">
        <f ca="1">IFERROR(__xludf.DUMMYFUNCTION("""COMPUTED_VALUE"""),101)</f>
        <v>101</v>
      </c>
      <c r="C24" s="3" t="str">
        <f ca="1">IFERROR(__xludf.DUMMYFUNCTION("""COMPUTED_VALUE"""),"Ben Roethlisberger")</f>
        <v>Ben Roethlisberger</v>
      </c>
      <c r="D24" s="3" t="str">
        <f ca="1">IFERROR(__xludf.DUMMYFUNCTION("""COMPUTED_VALUE"""),"QB")</f>
        <v>QB</v>
      </c>
      <c r="G24" s="70"/>
      <c r="H24" s="73"/>
      <c r="I24" s="73"/>
      <c r="J24" s="69"/>
      <c r="K24" s="13"/>
      <c r="L24" s="74"/>
      <c r="M24" s="74"/>
      <c r="N24" s="13"/>
      <c r="O24" s="13"/>
    </row>
    <row r="25" spans="1:15" ht="13" x14ac:dyDescent="0.15">
      <c r="A25" s="16">
        <f t="shared" si="0"/>
        <v>24</v>
      </c>
      <c r="B25" s="3">
        <f ca="1">IFERROR(__xludf.DUMMYFUNCTION("""COMPUTED_VALUE"""),266)</f>
        <v>266</v>
      </c>
      <c r="C25" s="3" t="str">
        <f ca="1">IFERROR(__xludf.DUMMYFUNCTION("""COMPUTED_VALUE"""),"Marcus Mariota")</f>
        <v>Marcus Mariota</v>
      </c>
      <c r="D25" s="3" t="str">
        <f ca="1">IFERROR(__xludf.DUMMYFUNCTION("""COMPUTED_VALUE"""),"QB")</f>
        <v>QB</v>
      </c>
      <c r="G25" s="31"/>
      <c r="H25" s="31"/>
      <c r="I25" s="59"/>
      <c r="J25" s="58"/>
      <c r="K25" s="13"/>
      <c r="L25" s="74"/>
      <c r="M25" s="74"/>
      <c r="N25" s="13"/>
      <c r="O25" s="13"/>
    </row>
    <row r="26" spans="1:15" ht="13" x14ac:dyDescent="0.15">
      <c r="A26" s="16">
        <f t="shared" si="0"/>
        <v>25</v>
      </c>
      <c r="B26" s="3">
        <f ca="1">IFERROR(__xludf.DUMMYFUNCTION("""COMPUTED_VALUE"""),123)</f>
        <v>123</v>
      </c>
      <c r="C26" s="3" t="str">
        <f ca="1">IFERROR(__xludf.DUMMYFUNCTION("""COMPUTED_VALUE"""),"Case Keenum")</f>
        <v>Case Keenum</v>
      </c>
      <c r="D26" s="3" t="str">
        <f ca="1">IFERROR(__xludf.DUMMYFUNCTION("""COMPUTED_VALUE"""),"QB")</f>
        <v>QB</v>
      </c>
      <c r="E26">
        <v>1</v>
      </c>
      <c r="G26" s="31"/>
      <c r="H26" s="31"/>
      <c r="I26" s="31"/>
      <c r="J26" s="58"/>
      <c r="K26" s="13"/>
      <c r="L26" s="31"/>
      <c r="M26" s="31"/>
      <c r="N26" s="13"/>
      <c r="O26" s="13"/>
    </row>
    <row r="27" spans="1:15" ht="13" x14ac:dyDescent="0.15">
      <c r="A27" s="16">
        <f t="shared" si="0"/>
        <v>26</v>
      </c>
      <c r="B27" s="3">
        <f ca="1">IFERROR(__xludf.DUMMYFUNCTION("""COMPUTED_VALUE"""),99)</f>
        <v>99</v>
      </c>
      <c r="C27" s="3" t="str">
        <f ca="1">IFERROR(__xludf.DUMMYFUNCTION("""COMPUTED_VALUE"""),"Andy Dalton")</f>
        <v>Andy Dalton</v>
      </c>
      <c r="D27" s="3" t="str">
        <f ca="1">IFERROR(__xludf.DUMMYFUNCTION("""COMPUTED_VALUE"""),"QB")</f>
        <v>QB</v>
      </c>
      <c r="E27">
        <v>1</v>
      </c>
      <c r="G27" s="31"/>
      <c r="H27" s="31"/>
      <c r="I27" s="31"/>
      <c r="J27" s="13"/>
      <c r="K27" s="13"/>
      <c r="L27" s="13"/>
      <c r="M27" s="13"/>
      <c r="N27" s="13"/>
      <c r="O27" s="13"/>
    </row>
    <row r="28" spans="1:15" ht="13" x14ac:dyDescent="0.15">
      <c r="A28" s="16">
        <f t="shared" si="0"/>
        <v>27</v>
      </c>
      <c r="B28" s="3">
        <f ca="1">IFERROR(__xludf.DUMMYFUNCTION("""COMPUTED_VALUE"""),355)</f>
        <v>355</v>
      </c>
      <c r="C28" s="3" t="str">
        <f ca="1">IFERROR(__xludf.DUMMYFUNCTION("""COMPUTED_VALUE"""),"Ryan Fitzpatrick")</f>
        <v>Ryan Fitzpatrick</v>
      </c>
      <c r="D28" s="3" t="str">
        <f ca="1">IFERROR(__xludf.DUMMYFUNCTION("""COMPUTED_VALUE"""),"QB")</f>
        <v>QB</v>
      </c>
      <c r="E28">
        <v>1</v>
      </c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3" x14ac:dyDescent="0.15">
      <c r="A29" s="16">
        <f t="shared" si="0"/>
        <v>28</v>
      </c>
      <c r="B29" s="3">
        <f ca="1">IFERROR(__xludf.DUMMYFUNCTION("""COMPUTED_VALUE"""),144)</f>
        <v>144</v>
      </c>
      <c r="C29" s="3" t="str">
        <f ca="1">IFERROR(__xludf.DUMMYFUNCTION("""COMPUTED_VALUE"""),"Derek Carr")</f>
        <v>Derek Carr</v>
      </c>
      <c r="D29" s="3" t="str">
        <f ca="1">IFERROR(__xludf.DUMMYFUNCTION("""COMPUTED_VALUE"""),"QB")</f>
        <v>QB</v>
      </c>
      <c r="E29">
        <v>1</v>
      </c>
      <c r="G29" s="70"/>
      <c r="H29" s="13"/>
      <c r="I29" s="13"/>
      <c r="J29" s="13"/>
      <c r="K29" s="13"/>
      <c r="L29" s="13"/>
      <c r="M29" s="13"/>
      <c r="N29" s="13"/>
      <c r="O29" s="13"/>
    </row>
    <row r="30" spans="1:15" ht="13" x14ac:dyDescent="0.15">
      <c r="A30" s="16">
        <f t="shared" si="0"/>
        <v>29</v>
      </c>
      <c r="B30" s="3">
        <f ca="1">IFERROR(__xludf.DUMMYFUNCTION("""COMPUTED_VALUE"""),169)</f>
        <v>169</v>
      </c>
      <c r="C30" s="3" t="str">
        <f ca="1">IFERROR(__xludf.DUMMYFUNCTION("""COMPUTED_VALUE"""),"Eli Manning")</f>
        <v>Eli Manning</v>
      </c>
      <c r="D30" s="3" t="str">
        <f ca="1">IFERROR(__xludf.DUMMYFUNCTION("""COMPUTED_VALUE"""),"QB")</f>
        <v>QB</v>
      </c>
      <c r="G30" s="31"/>
      <c r="H30" s="13"/>
      <c r="I30" s="13"/>
      <c r="J30" s="13"/>
      <c r="K30" s="13"/>
      <c r="L30" s="13"/>
      <c r="M30" s="13"/>
      <c r="N30" s="13"/>
      <c r="O30" s="13"/>
    </row>
    <row r="31" spans="1:15" ht="13" x14ac:dyDescent="0.15">
      <c r="A31" s="16">
        <f t="shared" si="0"/>
        <v>30</v>
      </c>
      <c r="B31" s="3">
        <f ca="1">IFERROR(__xludf.DUMMYFUNCTION("""COMPUTED_VALUE"""),186)</f>
        <v>186</v>
      </c>
      <c r="C31" s="3" t="str">
        <f ca="1">IFERROR(__xludf.DUMMYFUNCTION("""COMPUTED_VALUE"""),"Jacoby Brissett")</f>
        <v>Jacoby Brissett</v>
      </c>
      <c r="D31" s="3" t="str">
        <f ca="1">IFERROR(__xludf.DUMMYFUNCTION("""COMPUTED_VALUE"""),"QB")</f>
        <v>QB</v>
      </c>
      <c r="E31">
        <v>1</v>
      </c>
      <c r="G31" s="31"/>
      <c r="H31" s="13"/>
      <c r="I31" s="13"/>
      <c r="J31" s="13"/>
      <c r="K31" s="13"/>
      <c r="L31" s="13"/>
      <c r="M31" s="13"/>
      <c r="N31" s="13"/>
      <c r="O31" s="13"/>
    </row>
    <row r="32" spans="1:15" ht="13" x14ac:dyDescent="0.15">
      <c r="A32" s="16">
        <f t="shared" si="0"/>
        <v>31</v>
      </c>
      <c r="B32" s="3">
        <f ca="1">IFERROR(__xludf.DUMMYFUNCTION("""COMPUTED_VALUE"""),205)</f>
        <v>205</v>
      </c>
      <c r="C32" s="3" t="str">
        <f ca="1">IFERROR(__xludf.DUMMYFUNCTION("""COMPUTED_VALUE"""),"Joe Flacco")</f>
        <v>Joe Flacco</v>
      </c>
      <c r="D32" s="3" t="str">
        <f ca="1">IFERROR(__xludf.DUMMYFUNCTION("""COMPUTED_VALUE"""),"QB")</f>
        <v>QB</v>
      </c>
      <c r="G32" s="31"/>
      <c r="H32" s="13"/>
      <c r="I32" s="13"/>
      <c r="J32" s="13"/>
      <c r="K32" s="13"/>
      <c r="L32" s="13"/>
      <c r="M32" s="13"/>
      <c r="N32" s="13"/>
      <c r="O32" s="13"/>
    </row>
    <row r="33" spans="1:15" ht="13" x14ac:dyDescent="0.15">
      <c r="A33" s="16">
        <f t="shared" si="0"/>
        <v>32</v>
      </c>
      <c r="B33" s="3">
        <f ca="1">IFERROR(__xludf.DUMMYFUNCTION("""COMPUTED_VALUE"""),324)</f>
        <v>324</v>
      </c>
      <c r="C33" s="3" t="str">
        <f ca="1">IFERROR(__xludf.DUMMYFUNCTION("""COMPUTED_VALUE"""),"Nick Foles")</f>
        <v>Nick Foles</v>
      </c>
      <c r="D33" s="3" t="str">
        <f ca="1">IFERROR(__xludf.DUMMYFUNCTION("""COMPUTED_VALUE"""),"QB")</f>
        <v>QB</v>
      </c>
      <c r="G33" s="31"/>
      <c r="H33" s="13"/>
      <c r="I33" s="13"/>
      <c r="J33" s="13"/>
      <c r="K33" s="13"/>
      <c r="L33" s="13"/>
      <c r="M33" s="13"/>
      <c r="N33" s="13"/>
      <c r="O33" s="13"/>
    </row>
    <row r="34" spans="1:15" ht="13" x14ac:dyDescent="0.15">
      <c r="A34" s="16">
        <f t="shared" si="0"/>
        <v>33</v>
      </c>
      <c r="B34" s="3">
        <f ca="1">IFERROR(__xludf.DUMMYFUNCTION("""COMPUTED_VALUE"""),739)</f>
        <v>739</v>
      </c>
      <c r="C34" s="3" t="str">
        <f ca="1">IFERROR(__xludf.DUMMYFUNCTION("""COMPUTED_VALUE"""),"Dwayne Haskins")</f>
        <v>Dwayne Haskins</v>
      </c>
      <c r="D34" s="3" t="str">
        <f ca="1">IFERROR(__xludf.DUMMYFUNCTION("""COMPUTED_VALUE"""),"QB")</f>
        <v>QB</v>
      </c>
      <c r="E34">
        <v>1</v>
      </c>
      <c r="G34" s="31"/>
      <c r="H34" s="13"/>
      <c r="I34" s="13"/>
      <c r="J34" s="13"/>
      <c r="K34" s="13"/>
      <c r="L34" s="13"/>
      <c r="M34" s="13"/>
      <c r="N34" s="13"/>
      <c r="O34" s="13"/>
    </row>
    <row r="35" spans="1:15" ht="13" x14ac:dyDescent="0.15">
      <c r="A35" s="16">
        <f t="shared" si="0"/>
        <v>34</v>
      </c>
      <c r="B35" s="3">
        <f ca="1">IFERROR(__xludf.DUMMYFUNCTION("""COMPUTED_VALUE"""),740)</f>
        <v>740</v>
      </c>
      <c r="C35" s="3" t="str">
        <f ca="1">IFERROR(__xludf.DUMMYFUNCTION("""COMPUTED_VALUE"""),"Daniel Jones")</f>
        <v>Daniel Jones</v>
      </c>
      <c r="D35" s="3" t="str">
        <f ca="1">IFERROR(__xludf.DUMMYFUNCTION("""COMPUTED_VALUE"""),"QB")</f>
        <v>QB</v>
      </c>
      <c r="E35">
        <v>1</v>
      </c>
      <c r="G35" s="31"/>
      <c r="H35" s="13"/>
      <c r="I35" s="13"/>
      <c r="J35" s="13"/>
      <c r="K35" s="13"/>
      <c r="L35" s="13"/>
      <c r="M35" s="13"/>
      <c r="N35" s="13"/>
      <c r="O35" s="13"/>
    </row>
    <row r="36" spans="1:15" ht="13" x14ac:dyDescent="0.15">
      <c r="A36" s="16">
        <f t="shared" si="0"/>
        <v>35</v>
      </c>
      <c r="B36" s="3">
        <f ca="1">IFERROR(__xludf.DUMMYFUNCTION("""COMPUTED_VALUE"""),751)</f>
        <v>751</v>
      </c>
      <c r="C36" s="3" t="str">
        <f ca="1">IFERROR(__xludf.DUMMYFUNCTION("""COMPUTED_VALUE"""),"Drew Lock")</f>
        <v>Drew Lock</v>
      </c>
      <c r="D36" s="3" t="str">
        <f ca="1">IFERROR(__xludf.DUMMYFUNCTION("""COMPUTED_VALUE"""),"QB")</f>
        <v>QB</v>
      </c>
      <c r="G36" s="31"/>
      <c r="H36" s="13"/>
      <c r="I36" s="13"/>
      <c r="J36" s="13"/>
      <c r="K36" s="13"/>
      <c r="L36" s="13"/>
      <c r="M36" s="13"/>
      <c r="N36" s="13"/>
      <c r="O36" s="13"/>
    </row>
    <row r="37" spans="1:15" ht="13" x14ac:dyDescent="0.15">
      <c r="A37" s="16">
        <f t="shared" si="0"/>
        <v>36</v>
      </c>
      <c r="B37" s="3">
        <f ca="1">IFERROR(__xludf.DUMMYFUNCTION("""COMPUTED_VALUE"""),593)</f>
        <v>593</v>
      </c>
      <c r="C37" s="3" t="str">
        <f ca="1">IFERROR(__xludf.DUMMYFUNCTION("""COMPUTED_VALUE"""),"Kyle Allen")</f>
        <v>Kyle Allen</v>
      </c>
      <c r="D37" s="3" t="str">
        <f ca="1">IFERROR(__xludf.DUMMYFUNCTION("""COMPUTED_VALUE"""),"QB")</f>
        <v>QB</v>
      </c>
      <c r="E37">
        <v>1</v>
      </c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3" x14ac:dyDescent="0.15">
      <c r="A38" s="55">
        <f t="shared" si="0"/>
        <v>37</v>
      </c>
      <c r="B38" s="56">
        <f ca="1">IFERROR(__xludf.DUMMYFUNCTION("""COMPUTED_VALUE"""),520)</f>
        <v>520</v>
      </c>
      <c r="C38" s="56" t="str">
        <f ca="1">IFERROR(__xludf.DUMMYFUNCTION("""COMPUTED_VALUE"""),"Teddy Bridgewater")</f>
        <v>Teddy Bridgewater</v>
      </c>
      <c r="D38" s="56" t="str">
        <f ca="1">IFERROR(__xludf.DUMMYFUNCTION("""COMPUTED_VALUE"""),"QB")</f>
        <v>QB</v>
      </c>
      <c r="E38" s="23">
        <v>1</v>
      </c>
      <c r="G38" s="13"/>
      <c r="H38" s="13"/>
      <c r="I38" s="13"/>
      <c r="J38" s="13"/>
      <c r="K38" s="13"/>
      <c r="L38" s="13"/>
      <c r="M38" s="13"/>
      <c r="N38" s="13"/>
      <c r="O38" s="13"/>
    </row>
    <row r="39" spans="1:15" s="6" customFormat="1" ht="13" x14ac:dyDescent="0.15">
      <c r="B39" s="7"/>
      <c r="C39" s="7"/>
      <c r="D39" s="7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3" x14ac:dyDescent="0.15">
      <c r="A40" s="16"/>
      <c r="B40" s="3">
        <f ca="1">IFERROR(__xludf.DUMMYFUNCTION("FILTER(All_Players!A2:C866, All_Players!C2:All_Players!C866= ""QB"")"),43)</f>
        <v>43</v>
      </c>
      <c r="C40" s="3" t="str">
        <f ca="1">IFERROR(__xludf.DUMMYFUNCTION("""COMPUTED_VALUE"""),"Geno Smith")</f>
        <v>Geno Smith</v>
      </c>
      <c r="D40" s="3" t="str">
        <f ca="1">IFERROR(__xludf.DUMMYFUNCTION("""COMPUTED_VALUE"""),"QB")</f>
        <v>QB</v>
      </c>
      <c r="G40" s="31"/>
      <c r="H40" s="13"/>
      <c r="I40" s="13"/>
      <c r="J40" s="13"/>
      <c r="K40" s="13"/>
      <c r="L40" s="13"/>
      <c r="M40" s="13"/>
      <c r="N40" s="13"/>
      <c r="O40" s="13"/>
    </row>
    <row r="41" spans="1:15" ht="13" x14ac:dyDescent="0.15">
      <c r="A41" s="16"/>
      <c r="B41" s="3">
        <f ca="1">IFERROR(__xludf.DUMMYFUNCTION("""COMPUTED_VALUE"""),90)</f>
        <v>90</v>
      </c>
      <c r="C41" s="3" t="str">
        <f ca="1">IFERROR(__xludf.DUMMYFUNCTION("""COMPUTED_VALUE"""),"Alex Smith")</f>
        <v>Alex Smith</v>
      </c>
      <c r="D41" s="3" t="str">
        <f ca="1">IFERROR(__xludf.DUMMYFUNCTION("""COMPUTED_VALUE"""),"QB")</f>
        <v>QB</v>
      </c>
    </row>
    <row r="42" spans="1:15" ht="13" x14ac:dyDescent="0.15">
      <c r="A42" s="16"/>
      <c r="B42" s="3">
        <f ca="1">IFERROR(__xludf.DUMMYFUNCTION("""COMPUTED_VALUE"""),106)</f>
        <v>106</v>
      </c>
      <c r="C42" s="3" t="str">
        <f ca="1">IFERROR(__xludf.DUMMYFUNCTION("""COMPUTED_VALUE"""),"Blaine Gabbert")</f>
        <v>Blaine Gabbert</v>
      </c>
      <c r="D42" s="3" t="str">
        <f ca="1">IFERROR(__xludf.DUMMYFUNCTION("""COMPUTED_VALUE"""),"QB")</f>
        <v>QB</v>
      </c>
    </row>
    <row r="43" spans="1:15" ht="13" x14ac:dyDescent="0.15">
      <c r="A43" s="16"/>
      <c r="B43" s="3">
        <f ca="1">IFERROR(__xludf.DUMMYFUNCTION("""COMPUTED_VALUE"""),110)</f>
        <v>110</v>
      </c>
      <c r="C43" s="3" t="str">
        <f ca="1">IFERROR(__xludf.DUMMYFUNCTION("""COMPUTED_VALUE"""),"Blake Bortles")</f>
        <v>Blake Bortles</v>
      </c>
      <c r="D43" s="3" t="str">
        <f ca="1">IFERROR(__xludf.DUMMYFUNCTION("""COMPUTED_VALUE"""),"QB")</f>
        <v>QB</v>
      </c>
    </row>
    <row r="44" spans="1:15" ht="13" x14ac:dyDescent="0.15">
      <c r="A44" s="16"/>
      <c r="B44" s="3">
        <f ca="1">IFERROR(__xludf.DUMMYFUNCTION("""COMPUTED_VALUE"""),112)</f>
        <v>112</v>
      </c>
      <c r="C44" s="3" t="str">
        <f ca="1">IFERROR(__xludf.DUMMYFUNCTION("""COMPUTED_VALUE"""),"Brett Hundley")</f>
        <v>Brett Hundley</v>
      </c>
      <c r="D44" s="3" t="str">
        <f ca="1">IFERROR(__xludf.DUMMYFUNCTION("""COMPUTED_VALUE"""),"QB")</f>
        <v>QB</v>
      </c>
    </row>
    <row r="45" spans="1:15" ht="13" x14ac:dyDescent="0.15">
      <c r="A45" s="16"/>
      <c r="B45" s="3">
        <f ca="1">IFERROR(__xludf.DUMMYFUNCTION("""COMPUTED_VALUE"""),113)</f>
        <v>113</v>
      </c>
      <c r="C45" s="3" t="str">
        <f ca="1">IFERROR(__xludf.DUMMYFUNCTION("""COMPUTED_VALUE"""),"Brian Hoyer")</f>
        <v>Brian Hoyer</v>
      </c>
      <c r="D45" s="3" t="str">
        <f ca="1">IFERROR(__xludf.DUMMYFUNCTION("""COMPUTED_VALUE"""),"QB")</f>
        <v>QB</v>
      </c>
    </row>
    <row r="46" spans="1:15" ht="13" x14ac:dyDescent="0.15">
      <c r="A46" s="16"/>
      <c r="B46" s="3">
        <f ca="1">IFERROR(__xludf.DUMMYFUNCTION("""COMPUTED_VALUE"""),114)</f>
        <v>114</v>
      </c>
      <c r="C46" s="3" t="str">
        <f ca="1">IFERROR(__xludf.DUMMYFUNCTION("""COMPUTED_VALUE"""),"Brock Osweiler")</f>
        <v>Brock Osweiler</v>
      </c>
      <c r="D46" s="3" t="str">
        <f ca="1">IFERROR(__xludf.DUMMYFUNCTION("""COMPUTED_VALUE"""),"QB")</f>
        <v>QB</v>
      </c>
    </row>
    <row r="47" spans="1:15" ht="13" x14ac:dyDescent="0.15">
      <c r="A47" s="16"/>
      <c r="B47" s="3">
        <f ca="1">IFERROR(__xludf.DUMMYFUNCTION("""COMPUTED_VALUE"""),115)</f>
        <v>115</v>
      </c>
      <c r="C47" s="3" t="str">
        <f ca="1">IFERROR(__xludf.DUMMYFUNCTION("""COMPUTED_VALUE"""),"Bryce Petty")</f>
        <v>Bryce Petty</v>
      </c>
      <c r="D47" s="3" t="str">
        <f ca="1">IFERROR(__xludf.DUMMYFUNCTION("""COMPUTED_VALUE"""),"QB")</f>
        <v>QB</v>
      </c>
    </row>
    <row r="48" spans="1:15" ht="13" x14ac:dyDescent="0.15">
      <c r="A48" s="16"/>
      <c r="B48" s="3">
        <f ca="1">IFERROR(__xludf.DUMMYFUNCTION("""COMPUTED_VALUE"""),117)</f>
        <v>117</v>
      </c>
      <c r="C48" s="3" t="str">
        <f ca="1">IFERROR(__xludf.DUMMYFUNCTION("""COMPUTED_VALUE"""),"C.J. Beathard")</f>
        <v>C.J. Beathard</v>
      </c>
      <c r="D48" s="3" t="str">
        <f ca="1">IFERROR(__xludf.DUMMYFUNCTION("""COMPUTED_VALUE"""),"QB")</f>
        <v>QB</v>
      </c>
    </row>
    <row r="49" spans="1:4" ht="13" x14ac:dyDescent="0.15">
      <c r="A49" s="16"/>
      <c r="B49" s="3">
        <f ca="1">IFERROR(__xludf.DUMMYFUNCTION("""COMPUTED_VALUE"""),121)</f>
        <v>121</v>
      </c>
      <c r="C49" s="3" t="str">
        <f ca="1">IFERROR(__xludf.DUMMYFUNCTION("""COMPUTED_VALUE"""),"Carson Palmer")</f>
        <v>Carson Palmer</v>
      </c>
      <c r="D49" s="3" t="str">
        <f ca="1">IFERROR(__xludf.DUMMYFUNCTION("""COMPUTED_VALUE"""),"QB")</f>
        <v>QB</v>
      </c>
    </row>
    <row r="50" spans="1:4" ht="13" x14ac:dyDescent="0.15">
      <c r="A50" s="16"/>
      <c r="B50" s="3">
        <f ca="1">IFERROR(__xludf.DUMMYFUNCTION("""COMPUTED_VALUE"""),136)</f>
        <v>136</v>
      </c>
      <c r="C50" s="3" t="str">
        <f ca="1">IFERROR(__xludf.DUMMYFUNCTION("""COMPUTED_VALUE"""),"David Fales")</f>
        <v>David Fales</v>
      </c>
      <c r="D50" s="3" t="str">
        <f ca="1">IFERROR(__xludf.DUMMYFUNCTION("""COMPUTED_VALUE"""),"QB")</f>
        <v>QB</v>
      </c>
    </row>
    <row r="51" spans="1:4" ht="13" x14ac:dyDescent="0.15">
      <c r="A51" s="16"/>
      <c r="B51" s="3">
        <f ca="1">IFERROR(__xludf.DUMMYFUNCTION("""COMPUTED_VALUE"""),150)</f>
        <v>150</v>
      </c>
      <c r="C51" s="3" t="str">
        <f ca="1">IFERROR(__xludf.DUMMYFUNCTION("""COMPUTED_VALUE"""),"DeShone Kizer")</f>
        <v>DeShone Kizer</v>
      </c>
      <c r="D51" s="3" t="str">
        <f ca="1">IFERROR(__xludf.DUMMYFUNCTION("""COMPUTED_VALUE"""),"QB")</f>
        <v>QB</v>
      </c>
    </row>
    <row r="52" spans="1:4" ht="13" x14ac:dyDescent="0.15">
      <c r="A52" s="16"/>
      <c r="B52" s="3">
        <f ca="1">IFERROR(__xludf.DUMMYFUNCTION("""COMPUTED_VALUE"""),165)</f>
        <v>165</v>
      </c>
      <c r="C52" s="3" t="str">
        <f ca="1">IFERROR(__xludf.DUMMYFUNCTION("""COMPUTED_VALUE"""),"Drew Stanton")</f>
        <v>Drew Stanton</v>
      </c>
      <c r="D52" s="3" t="str">
        <f ca="1">IFERROR(__xludf.DUMMYFUNCTION("""COMPUTED_VALUE"""),"QB")</f>
        <v>QB</v>
      </c>
    </row>
    <row r="53" spans="1:4" ht="13" x14ac:dyDescent="0.15">
      <c r="A53" s="16"/>
      <c r="B53" s="3">
        <f ca="1">IFERROR(__xludf.DUMMYFUNCTION("""COMPUTED_VALUE"""),168)</f>
        <v>168</v>
      </c>
      <c r="C53" s="3" t="str">
        <f ca="1">IFERROR(__xludf.DUMMYFUNCTION("""COMPUTED_VALUE"""),"EJ Manuel")</f>
        <v>EJ Manuel</v>
      </c>
      <c r="D53" s="3" t="str">
        <f ca="1">IFERROR(__xludf.DUMMYFUNCTION("""COMPUTED_VALUE"""),"QB")</f>
        <v>QB</v>
      </c>
    </row>
    <row r="54" spans="1:4" ht="13" x14ac:dyDescent="0.15">
      <c r="A54" s="16"/>
      <c r="B54" s="3">
        <f ca="1">IFERROR(__xludf.DUMMYFUNCTION("""COMPUTED_VALUE"""),196)</f>
        <v>196</v>
      </c>
      <c r="C54" s="3" t="str">
        <f ca="1">IFERROR(__xludf.DUMMYFUNCTION("""COMPUTED_VALUE"""),"Jay Cutler")</f>
        <v>Jay Cutler</v>
      </c>
      <c r="D54" s="3" t="str">
        <f ca="1">IFERROR(__xludf.DUMMYFUNCTION("""COMPUTED_VALUE"""),"QB")</f>
        <v>QB</v>
      </c>
    </row>
    <row r="55" spans="1:4" ht="13" x14ac:dyDescent="0.15">
      <c r="A55" s="16"/>
      <c r="B55" s="3">
        <f ca="1">IFERROR(__xludf.DUMMYFUNCTION("""COMPUTED_VALUE"""),224)</f>
        <v>224</v>
      </c>
      <c r="C55" s="3" t="str">
        <f ca="1">IFERROR(__xludf.DUMMYFUNCTION("""COMPUTED_VALUE"""),"Josh McCown")</f>
        <v>Josh McCown</v>
      </c>
      <c r="D55" s="3" t="str">
        <f ca="1">IFERROR(__xludf.DUMMYFUNCTION("""COMPUTED_VALUE"""),"QB")</f>
        <v>QB</v>
      </c>
    </row>
    <row r="56" spans="1:4" ht="13" x14ac:dyDescent="0.15">
      <c r="A56" s="16"/>
      <c r="B56" s="3">
        <f ca="1">IFERROR(__xludf.DUMMYFUNCTION("""COMPUTED_VALUE"""),241)</f>
        <v>241</v>
      </c>
      <c r="C56" s="3" t="str">
        <f ca="1">IFERROR(__xludf.DUMMYFUNCTION("""COMPUTED_VALUE"""),"Kevin Hogan")</f>
        <v>Kevin Hogan</v>
      </c>
      <c r="D56" s="3" t="str">
        <f ca="1">IFERROR(__xludf.DUMMYFUNCTION("""COMPUTED_VALUE"""),"QB")</f>
        <v>QB</v>
      </c>
    </row>
    <row r="57" spans="1:4" ht="13" x14ac:dyDescent="0.15">
      <c r="A57" s="16"/>
      <c r="B57" s="3">
        <f ca="1">IFERROR(__xludf.DUMMYFUNCTION("""COMPUTED_VALUE"""),282)</f>
        <v>282</v>
      </c>
      <c r="C57" s="3" t="str">
        <f ca="1">IFERROR(__xludf.DUMMYFUNCTION("""COMPUTED_VALUE"""),"Matt Moore")</f>
        <v>Matt Moore</v>
      </c>
      <c r="D57" s="3" t="str">
        <f ca="1">IFERROR(__xludf.DUMMYFUNCTION("""COMPUTED_VALUE"""),"QB")</f>
        <v>QB</v>
      </c>
    </row>
    <row r="58" spans="1:4" ht="13" x14ac:dyDescent="0.15">
      <c r="A58" s="16"/>
      <c r="B58" s="3">
        <f ca="1">IFERROR(__xludf.DUMMYFUNCTION("""COMPUTED_VALUE"""),307)</f>
        <v>307</v>
      </c>
      <c r="C58" s="3" t="str">
        <f ca="1">IFERROR(__xludf.DUMMYFUNCTION("""COMPUTED_VALUE"""),"Mike Glennon")</f>
        <v>Mike Glennon</v>
      </c>
      <c r="D58" s="3" t="str">
        <f ca="1">IFERROR(__xludf.DUMMYFUNCTION("""COMPUTED_VALUE"""),"QB")</f>
        <v>QB</v>
      </c>
    </row>
    <row r="59" spans="1:4" ht="13" x14ac:dyDescent="0.15">
      <c r="A59" s="16"/>
      <c r="B59" s="3">
        <f ca="1">IFERROR(__xludf.DUMMYFUNCTION("""COMPUTED_VALUE"""),311)</f>
        <v>311</v>
      </c>
      <c r="C59" s="3" t="str">
        <f ca="1">IFERROR(__xludf.DUMMYFUNCTION("""COMPUTED_VALUE"""),"Nate Sudfeld")</f>
        <v>Nate Sudfeld</v>
      </c>
      <c r="D59" s="3" t="str">
        <f ca="1">IFERROR(__xludf.DUMMYFUNCTION("""COMPUTED_VALUE"""),"QB")</f>
        <v>QB</v>
      </c>
    </row>
    <row r="60" spans="1:4" ht="13" x14ac:dyDescent="0.15">
      <c r="A60" s="16"/>
      <c r="B60" s="3">
        <f ca="1">IFERROR(__xludf.DUMMYFUNCTION("""COMPUTED_VALUE"""),336)</f>
        <v>336</v>
      </c>
      <c r="C60" s="3" t="str">
        <f ca="1">IFERROR(__xludf.DUMMYFUNCTION("""COMPUTED_VALUE"""),"Paxton Lynch")</f>
        <v>Paxton Lynch</v>
      </c>
      <c r="D60" s="3" t="str">
        <f ca="1">IFERROR(__xludf.DUMMYFUNCTION("""COMPUTED_VALUE"""),"QB")</f>
        <v>QB</v>
      </c>
    </row>
    <row r="61" spans="1:4" ht="13" x14ac:dyDescent="0.15">
      <c r="A61" s="16"/>
      <c r="B61" s="3">
        <f ca="1">IFERROR(__xludf.DUMMYFUNCTION("""COMPUTED_VALUE"""),357)</f>
        <v>357</v>
      </c>
      <c r="C61" s="3" t="str">
        <f ca="1">IFERROR(__xludf.DUMMYFUNCTION("""COMPUTED_VALUE"""),"Ryan Mallett")</f>
        <v>Ryan Mallett</v>
      </c>
      <c r="D61" s="3" t="str">
        <f ca="1">IFERROR(__xludf.DUMMYFUNCTION("""COMPUTED_VALUE"""),"QB")</f>
        <v>QB</v>
      </c>
    </row>
    <row r="62" spans="1:4" ht="13" x14ac:dyDescent="0.15">
      <c r="A62" s="16"/>
      <c r="B62" s="3">
        <f ca="1">IFERROR(__xludf.DUMMYFUNCTION("""COMPUTED_VALUE"""),358)</f>
        <v>358</v>
      </c>
      <c r="C62" s="3" t="str">
        <f ca="1">IFERROR(__xludf.DUMMYFUNCTION("""COMPUTED_VALUE"""),"Sam Bradford")</f>
        <v>Sam Bradford</v>
      </c>
      <c r="D62" s="3" t="str">
        <f ca="1">IFERROR(__xludf.DUMMYFUNCTION("""COMPUTED_VALUE"""),"QB")</f>
        <v>QB</v>
      </c>
    </row>
    <row r="63" spans="1:4" ht="13" x14ac:dyDescent="0.15">
      <c r="A63" s="16"/>
      <c r="B63" s="3">
        <f ca="1">IFERROR(__xludf.DUMMYFUNCTION("""COMPUTED_VALUE"""),362)</f>
        <v>362</v>
      </c>
      <c r="C63" s="3" t="str">
        <f ca="1">IFERROR(__xludf.DUMMYFUNCTION("""COMPUTED_VALUE"""),"Nathan Peterman")</f>
        <v>Nathan Peterman</v>
      </c>
      <c r="D63" s="3" t="str">
        <f ca="1">IFERROR(__xludf.DUMMYFUNCTION("""COMPUTED_VALUE"""),"QB")</f>
        <v>QB</v>
      </c>
    </row>
    <row r="64" spans="1:4" ht="13" x14ac:dyDescent="0.15">
      <c r="A64" s="16"/>
      <c r="B64" s="3">
        <f ca="1">IFERROR(__xludf.DUMMYFUNCTION("""COMPUTED_VALUE"""),372)</f>
        <v>372</v>
      </c>
      <c r="C64" s="3" t="str">
        <f ca="1">IFERROR(__xludf.DUMMYFUNCTION("""COMPUTED_VALUE"""),"T.J. Yates")</f>
        <v>T.J. Yates</v>
      </c>
      <c r="D64" s="3" t="str">
        <f ca="1">IFERROR(__xludf.DUMMYFUNCTION("""COMPUTED_VALUE"""),"QB")</f>
        <v>QB</v>
      </c>
    </row>
    <row r="65" spans="1:4" ht="13" x14ac:dyDescent="0.15">
      <c r="A65" s="16"/>
      <c r="B65" s="3">
        <f ca="1">IFERROR(__xludf.DUMMYFUNCTION("""COMPUTED_VALUE"""),380)</f>
        <v>380</v>
      </c>
      <c r="C65" s="3" t="str">
        <f ca="1">IFERROR(__xludf.DUMMYFUNCTION("""COMPUTED_VALUE"""),"Landry Jones")</f>
        <v>Landry Jones</v>
      </c>
      <c r="D65" s="3" t="str">
        <f ca="1">IFERROR(__xludf.DUMMYFUNCTION("""COMPUTED_VALUE"""),"QB")</f>
        <v>QB</v>
      </c>
    </row>
    <row r="66" spans="1:4" ht="13" x14ac:dyDescent="0.15">
      <c r="A66" s="16"/>
      <c r="B66" s="3">
        <f ca="1">IFERROR(__xludf.DUMMYFUNCTION("""COMPUTED_VALUE"""),405)</f>
        <v>405</v>
      </c>
      <c r="C66" s="3" t="str">
        <f ca="1">IFERROR(__xludf.DUMMYFUNCTION("""COMPUTED_VALUE"""),"Tom Savage")</f>
        <v>Tom Savage</v>
      </c>
      <c r="D66" s="3" t="str">
        <f ca="1">IFERROR(__xludf.DUMMYFUNCTION("""COMPUTED_VALUE"""),"QB")</f>
        <v>QB</v>
      </c>
    </row>
    <row r="67" spans="1:4" ht="13" x14ac:dyDescent="0.15">
      <c r="A67" s="16"/>
      <c r="B67" s="3">
        <f ca="1">IFERROR(__xludf.DUMMYFUNCTION("""COMPUTED_VALUE"""),422)</f>
        <v>422</v>
      </c>
      <c r="C67" s="3" t="str">
        <f ca="1">IFERROR(__xludf.DUMMYFUNCTION("""COMPUTED_VALUE"""),"Trevor Siemian")</f>
        <v>Trevor Siemian</v>
      </c>
      <c r="D67" s="3" t="str">
        <f ca="1">IFERROR(__xludf.DUMMYFUNCTION("""COMPUTED_VALUE"""),"QB")</f>
        <v>QB</v>
      </c>
    </row>
    <row r="68" spans="1:4" ht="13" x14ac:dyDescent="0.15">
      <c r="A68" s="16"/>
      <c r="B68" s="3">
        <f ca="1">IFERROR(__xludf.DUMMYFUNCTION("""COMPUTED_VALUE"""),434)</f>
        <v>434</v>
      </c>
      <c r="C68" s="3" t="str">
        <f ca="1">IFERROR(__xludf.DUMMYFUNCTION("""COMPUTED_VALUE"""),"Tyrod Taylor")</f>
        <v>Tyrod Taylor</v>
      </c>
      <c r="D68" s="3" t="str">
        <f ca="1">IFERROR(__xludf.DUMMYFUNCTION("""COMPUTED_VALUE"""),"QB")</f>
        <v>QB</v>
      </c>
    </row>
    <row r="69" spans="1:4" ht="13" x14ac:dyDescent="0.15">
      <c r="A69" s="16"/>
      <c r="B69" s="3">
        <f ca="1">IFERROR(__xludf.DUMMYFUNCTION("""COMPUTED_VALUE"""),446)</f>
        <v>446</v>
      </c>
      <c r="C69" s="3" t="str">
        <f ca="1">IFERROR(__xludf.DUMMYFUNCTION("""COMPUTED_VALUE"""),"Sean Mannion")</f>
        <v>Sean Mannion</v>
      </c>
      <c r="D69" s="3" t="str">
        <f ca="1">IFERROR(__xludf.DUMMYFUNCTION("""COMPUTED_VALUE"""),"QB")</f>
        <v>QB</v>
      </c>
    </row>
    <row r="70" spans="1:4" ht="13" x14ac:dyDescent="0.15">
      <c r="A70" s="16"/>
      <c r="B70" s="3">
        <f ca="1">IFERROR(__xludf.DUMMYFUNCTION("""COMPUTED_VALUE"""),447)</f>
        <v>447</v>
      </c>
      <c r="C70" s="3" t="str">
        <f ca="1">IFERROR(__xludf.DUMMYFUNCTION("""COMPUTED_VALUE"""),"Joe Webb")</f>
        <v>Joe Webb</v>
      </c>
      <c r="D70" s="3" t="str">
        <f ca="1">IFERROR(__xludf.DUMMYFUNCTION("""COMPUTED_VALUE"""),"QB")</f>
        <v>QB</v>
      </c>
    </row>
    <row r="71" spans="1:4" ht="13" x14ac:dyDescent="0.15">
      <c r="A71" s="16"/>
      <c r="B71" s="3">
        <f ca="1">IFERROR(__xludf.DUMMYFUNCTION("""COMPUTED_VALUE"""),480)</f>
        <v>480</v>
      </c>
      <c r="C71" s="3" t="str">
        <f ca="1">IFERROR(__xludf.DUMMYFUNCTION("""COMPUTED_VALUE"""),"Cody Kessler")</f>
        <v>Cody Kessler</v>
      </c>
      <c r="D71" s="3" t="str">
        <f ca="1">IFERROR(__xludf.DUMMYFUNCTION("""COMPUTED_VALUE"""),"QB")</f>
        <v>QB</v>
      </c>
    </row>
    <row r="72" spans="1:4" ht="13" x14ac:dyDescent="0.15">
      <c r="A72" s="16"/>
      <c r="B72" s="3">
        <f ca="1">IFERROR(__xludf.DUMMYFUNCTION("""COMPUTED_VALUE"""),482)</f>
        <v>482</v>
      </c>
      <c r="C72" s="3" t="str">
        <f ca="1">IFERROR(__xludf.DUMMYFUNCTION("""COMPUTED_VALUE"""),"A.J. McCarron")</f>
        <v>A.J. McCarron</v>
      </c>
      <c r="D72" s="3" t="str">
        <f ca="1">IFERROR(__xludf.DUMMYFUNCTION("""COMPUTED_VALUE"""),"QB")</f>
        <v>QB</v>
      </c>
    </row>
    <row r="73" spans="1:4" ht="13" x14ac:dyDescent="0.15">
      <c r="A73" s="16"/>
      <c r="B73" s="3">
        <f ca="1">IFERROR(__xludf.DUMMYFUNCTION("""COMPUTED_VALUE"""),485)</f>
        <v>485</v>
      </c>
      <c r="C73" s="3" t="str">
        <f ca="1">IFERROR(__xludf.DUMMYFUNCTION("""COMPUTED_VALUE"""),"Matt Cassel")</f>
        <v>Matt Cassel</v>
      </c>
      <c r="D73" s="3" t="str">
        <f ca="1">IFERROR(__xludf.DUMMYFUNCTION("""COMPUTED_VALUE"""),"QB")</f>
        <v>QB</v>
      </c>
    </row>
    <row r="74" spans="1:4" ht="13" x14ac:dyDescent="0.15">
      <c r="A74" s="16"/>
      <c r="B74" s="3">
        <f ca="1">IFERROR(__xludf.DUMMYFUNCTION("""COMPUTED_VALUE"""),498)</f>
        <v>498</v>
      </c>
      <c r="C74" s="3" t="str">
        <f ca="1">IFERROR(__xludf.DUMMYFUNCTION("""COMPUTED_VALUE"""),"Scott Tolzien")</f>
        <v>Scott Tolzien</v>
      </c>
      <c r="D74" s="3" t="str">
        <f ca="1">IFERROR(__xludf.DUMMYFUNCTION("""COMPUTED_VALUE"""),"QB")</f>
        <v>QB</v>
      </c>
    </row>
    <row r="75" spans="1:4" ht="13" x14ac:dyDescent="0.15">
      <c r="A75" s="16"/>
      <c r="B75" s="3">
        <f ca="1">IFERROR(__xludf.DUMMYFUNCTION("""COMPUTED_VALUE"""),510)</f>
        <v>510</v>
      </c>
      <c r="C75" s="3" t="str">
        <f ca="1">IFERROR(__xludf.DUMMYFUNCTION("""COMPUTED_VALUE"""),"Cooper Rush")</f>
        <v>Cooper Rush</v>
      </c>
      <c r="D75" s="3" t="str">
        <f ca="1">IFERROR(__xludf.DUMMYFUNCTION("""COMPUTED_VALUE"""),"QB")</f>
        <v>QB</v>
      </c>
    </row>
    <row r="76" spans="1:4" ht="13" x14ac:dyDescent="0.15">
      <c r="A76" s="16"/>
      <c r="B76" s="3">
        <f ca="1">IFERROR(__xludf.DUMMYFUNCTION("""COMPUTED_VALUE"""),514)</f>
        <v>514</v>
      </c>
      <c r="C76" s="3" t="str">
        <f ca="1">IFERROR(__xludf.DUMMYFUNCTION("""COMPUTED_VALUE"""),"Taylor Heinicke")</f>
        <v>Taylor Heinicke</v>
      </c>
      <c r="D76" s="3" t="str">
        <f ca="1">IFERROR(__xludf.DUMMYFUNCTION("""COMPUTED_VALUE"""),"QB")</f>
        <v>QB</v>
      </c>
    </row>
    <row r="77" spans="1:4" ht="13" x14ac:dyDescent="0.15">
      <c r="A77" s="16"/>
      <c r="B77" s="3">
        <f ca="1">IFERROR(__xludf.DUMMYFUNCTION("""COMPUTED_VALUE"""),515)</f>
        <v>515</v>
      </c>
      <c r="C77" s="3" t="str">
        <f ca="1">IFERROR(__xludf.DUMMYFUNCTION("""COMPUTED_VALUE"""),"Jake Rudock")</f>
        <v>Jake Rudock</v>
      </c>
      <c r="D77" s="3" t="str">
        <f ca="1">IFERROR(__xludf.DUMMYFUNCTION("""COMPUTED_VALUE"""),"QB")</f>
        <v>QB</v>
      </c>
    </row>
    <row r="78" spans="1:4" ht="13" x14ac:dyDescent="0.15">
      <c r="A78" s="16"/>
      <c r="B78" s="3">
        <f ca="1">IFERROR(__xludf.DUMMYFUNCTION("""COMPUTED_VALUE"""),516)</f>
        <v>516</v>
      </c>
      <c r="C78" s="3" t="str">
        <f ca="1">IFERROR(__xludf.DUMMYFUNCTION("""COMPUTED_VALUE"""),"Kellen Clemens")</f>
        <v>Kellen Clemens</v>
      </c>
      <c r="D78" s="3" t="str">
        <f ca="1">IFERROR(__xludf.DUMMYFUNCTION("""COMPUTED_VALUE"""),"QB")</f>
        <v>QB</v>
      </c>
    </row>
    <row r="79" spans="1:4" ht="13" x14ac:dyDescent="0.15">
      <c r="A79" s="16"/>
      <c r="B79" s="3">
        <f ca="1">IFERROR(__xludf.DUMMYFUNCTION("""COMPUTED_VALUE"""),517)</f>
        <v>517</v>
      </c>
      <c r="C79" s="3" t="str">
        <f ca="1">IFERROR(__xludf.DUMMYFUNCTION("""COMPUTED_VALUE"""),"Chad Henne")</f>
        <v>Chad Henne</v>
      </c>
      <c r="D79" s="3" t="str">
        <f ca="1">IFERROR(__xludf.DUMMYFUNCTION("""COMPUTED_VALUE"""),"QB")</f>
        <v>QB</v>
      </c>
    </row>
    <row r="80" spans="1:4" ht="13" x14ac:dyDescent="0.15">
      <c r="A80" s="16"/>
      <c r="B80" s="3">
        <f ca="1">IFERROR(__xludf.DUMMYFUNCTION("""COMPUTED_VALUE"""),518)</f>
        <v>518</v>
      </c>
      <c r="C80" s="3" t="str">
        <f ca="1">IFERROR(__xludf.DUMMYFUNCTION("""COMPUTED_VALUE"""),"Tyler Bray")</f>
        <v>Tyler Bray</v>
      </c>
      <c r="D80" s="3" t="str">
        <f ca="1">IFERROR(__xludf.DUMMYFUNCTION("""COMPUTED_VALUE"""),"QB")</f>
        <v>QB</v>
      </c>
    </row>
    <row r="81" spans="1:5" ht="13" x14ac:dyDescent="0.15">
      <c r="A81" s="16"/>
      <c r="B81" s="3">
        <f ca="1">IFERROR(__xludf.DUMMYFUNCTION("""COMPUTED_VALUE"""),521)</f>
        <v>521</v>
      </c>
      <c r="C81" s="3" t="str">
        <f ca="1">IFERROR(__xludf.DUMMYFUNCTION("""COMPUTED_VALUE"""),"Derek Anderson")</f>
        <v>Derek Anderson</v>
      </c>
      <c r="D81" s="3" t="str">
        <f ca="1">IFERROR(__xludf.DUMMYFUNCTION("""COMPUTED_VALUE"""),"QB")</f>
        <v>QB</v>
      </c>
    </row>
    <row r="82" spans="1:5" ht="13" x14ac:dyDescent="0.15">
      <c r="A82" s="16"/>
      <c r="B82" s="3">
        <f ca="1">IFERROR(__xludf.DUMMYFUNCTION("""COMPUTED_VALUE"""),522)</f>
        <v>522</v>
      </c>
      <c r="C82" s="3" t="str">
        <f ca="1">IFERROR(__xludf.DUMMYFUNCTION("""COMPUTED_VALUE"""),"Joe Callahan")</f>
        <v>Joe Callahan</v>
      </c>
      <c r="D82" s="3" t="str">
        <f ca="1">IFERROR(__xludf.DUMMYFUNCTION("""COMPUTED_VALUE"""),"QB")</f>
        <v>QB</v>
      </c>
    </row>
    <row r="83" spans="1:5" ht="13" x14ac:dyDescent="0.15">
      <c r="A83" s="16"/>
      <c r="B83" s="3">
        <f ca="1">IFERROR(__xludf.DUMMYFUNCTION("""COMPUTED_VALUE"""),523)</f>
        <v>523</v>
      </c>
      <c r="C83" s="3" t="str">
        <f ca="1">IFERROR(__xludf.DUMMYFUNCTION("""COMPUTED_VALUE"""),"Andrew Luck")</f>
        <v>Andrew Luck</v>
      </c>
      <c r="D83" s="3" t="str">
        <f ca="1">IFERROR(__xludf.DUMMYFUNCTION("""COMPUTED_VALUE"""),"QB")</f>
        <v>QB</v>
      </c>
    </row>
    <row r="84" spans="1:5" ht="13" x14ac:dyDescent="0.15">
      <c r="A84" s="16"/>
      <c r="B84" s="3">
        <f ca="1">IFERROR(__xludf.DUMMYFUNCTION("""COMPUTED_VALUE"""),525)</f>
        <v>525</v>
      </c>
      <c r="C84" s="3" t="str">
        <f ca="1">IFERROR(__xludf.DUMMYFUNCTION("""COMPUTED_VALUE"""),"Mitchell Trubisky")</f>
        <v>Mitchell Trubisky</v>
      </c>
      <c r="D84" s="3" t="str">
        <f ca="1">IFERROR(__xludf.DUMMYFUNCTION("""COMPUTED_VALUE"""),"QB")</f>
        <v>QB</v>
      </c>
    </row>
    <row r="85" spans="1:5" ht="13" x14ac:dyDescent="0.15">
      <c r="A85" s="16"/>
      <c r="B85" s="3">
        <f ca="1">IFERROR(__xludf.DUMMYFUNCTION("""COMPUTED_VALUE"""),534)</f>
        <v>534</v>
      </c>
      <c r="C85" s="3" t="str">
        <f ca="1">IFERROR(__xludf.DUMMYFUNCTION("""COMPUTED_VALUE"""),"Ryan Tannehill")</f>
        <v>Ryan Tannehill</v>
      </c>
      <c r="D85" s="3" t="str">
        <f ca="1">IFERROR(__xludf.DUMMYFUNCTION("""COMPUTED_VALUE"""),"QB")</f>
        <v>QB</v>
      </c>
      <c r="E85">
        <v>1</v>
      </c>
    </row>
    <row r="86" spans="1:5" ht="13" x14ac:dyDescent="0.15">
      <c r="A86" s="16"/>
      <c r="B86" s="3">
        <f ca="1">IFERROR(__xludf.DUMMYFUNCTION("""COMPUTED_VALUE"""),537)</f>
        <v>537</v>
      </c>
      <c r="C86" s="3" t="str">
        <f ca="1">IFERROR(__xludf.DUMMYFUNCTION("""COMPUTED_VALUE"""),"Nick Mullens")</f>
        <v>Nick Mullens</v>
      </c>
      <c r="D86" s="3" t="str">
        <f ca="1">IFERROR(__xludf.DUMMYFUNCTION("""COMPUTED_VALUE"""),"QB")</f>
        <v>QB</v>
      </c>
    </row>
    <row r="87" spans="1:5" ht="13" x14ac:dyDescent="0.15">
      <c r="A87" s="16"/>
      <c r="B87" s="3">
        <f ca="1">IFERROR(__xludf.DUMMYFUNCTION("""COMPUTED_VALUE"""),538)</f>
        <v>538</v>
      </c>
      <c r="C87" s="3" t="str">
        <f ca="1">IFERROR(__xludf.DUMMYFUNCTION("""COMPUTED_VALUE"""),"Josh Rosen")</f>
        <v>Josh Rosen</v>
      </c>
      <c r="D87" s="3" t="str">
        <f ca="1">IFERROR(__xludf.DUMMYFUNCTION("""COMPUTED_VALUE"""),"QB")</f>
        <v>QB</v>
      </c>
    </row>
    <row r="88" spans="1:5" ht="13" x14ac:dyDescent="0.15">
      <c r="A88" s="16"/>
      <c r="B88" s="3">
        <f ca="1">IFERROR(__xludf.DUMMYFUNCTION("""COMPUTED_VALUE"""),547)</f>
        <v>547</v>
      </c>
      <c r="C88" s="3" t="str">
        <f ca="1">IFERROR(__xludf.DUMMYFUNCTION("""COMPUTED_VALUE"""),"Jeff Driskel")</f>
        <v>Jeff Driskel</v>
      </c>
      <c r="D88" s="3" t="str">
        <f ca="1">IFERROR(__xludf.DUMMYFUNCTION("""COMPUTED_VALUE"""),"QB")</f>
        <v>QB</v>
      </c>
    </row>
    <row r="89" spans="1:5" ht="13" x14ac:dyDescent="0.15">
      <c r="A89" s="16"/>
      <c r="B89" s="3">
        <f ca="1">IFERROR(__xludf.DUMMYFUNCTION("""COMPUTED_VALUE"""),564)</f>
        <v>564</v>
      </c>
      <c r="C89" s="3" t="str">
        <f ca="1">IFERROR(__xludf.DUMMYFUNCTION("""COMPUTED_VALUE"""),"Josh Johnson")</f>
        <v>Josh Johnson</v>
      </c>
      <c r="D89" s="3" t="str">
        <f ca="1">IFERROR(__xludf.DUMMYFUNCTION("""COMPUTED_VALUE"""),"QB")</f>
        <v>QB</v>
      </c>
    </row>
    <row r="90" spans="1:5" ht="13" x14ac:dyDescent="0.15">
      <c r="A90" s="16"/>
      <c r="B90" s="3">
        <f ca="1">IFERROR(__xludf.DUMMYFUNCTION("""COMPUTED_VALUE"""),585)</f>
        <v>585</v>
      </c>
      <c r="C90" s="3" t="str">
        <f ca="1">IFERROR(__xludf.DUMMYFUNCTION("""COMPUTED_VALUE"""),"Taysom Hill")</f>
        <v>Taysom Hill</v>
      </c>
      <c r="D90" s="3" t="str">
        <f ca="1">IFERROR(__xludf.DUMMYFUNCTION("""COMPUTED_VALUE"""),"QB")</f>
        <v>QB</v>
      </c>
    </row>
    <row r="91" spans="1:5" ht="13" x14ac:dyDescent="0.15">
      <c r="A91" s="16"/>
      <c r="B91" s="3">
        <f ca="1">IFERROR(__xludf.DUMMYFUNCTION("""COMPUTED_VALUE"""),587)</f>
        <v>587</v>
      </c>
      <c r="C91" s="3" t="str">
        <f ca="1">IFERROR(__xludf.DUMMYFUNCTION("""COMPUTED_VALUE"""),"Chase Daniel")</f>
        <v>Chase Daniel</v>
      </c>
      <c r="D91" s="3" t="str">
        <f ca="1">IFERROR(__xludf.DUMMYFUNCTION("""COMPUTED_VALUE"""),"QB")</f>
        <v>QB</v>
      </c>
    </row>
    <row r="92" spans="1:5" ht="13" x14ac:dyDescent="0.15">
      <c r="A92" s="16"/>
      <c r="B92" s="3">
        <f ca="1">IFERROR(__xludf.DUMMYFUNCTION("""COMPUTED_VALUE"""),594)</f>
        <v>594</v>
      </c>
      <c r="C92" s="3" t="str">
        <f ca="1">IFERROR(__xludf.DUMMYFUNCTION("""COMPUTED_VALUE"""),"Colt McCoy")</f>
        <v>Colt McCoy</v>
      </c>
      <c r="D92" s="3" t="str">
        <f ca="1">IFERROR(__xludf.DUMMYFUNCTION("""COMPUTED_VALUE"""),"QB")</f>
        <v>QB</v>
      </c>
    </row>
    <row r="93" spans="1:5" ht="13" x14ac:dyDescent="0.15">
      <c r="A93" s="16"/>
      <c r="B93" s="3">
        <f ca="1">IFERROR(__xludf.DUMMYFUNCTION("""COMPUTED_VALUE"""),609)</f>
        <v>609</v>
      </c>
      <c r="C93" s="3" t="str">
        <f ca="1">IFERROR(__xludf.DUMMYFUNCTION("""COMPUTED_VALUE"""),"Matt Barkley")</f>
        <v>Matt Barkley</v>
      </c>
      <c r="D93" s="3" t="str">
        <f ca="1">IFERROR(__xludf.DUMMYFUNCTION("""COMPUTED_VALUE"""),"QB")</f>
        <v>QB</v>
      </c>
    </row>
    <row r="94" spans="1:5" ht="13" x14ac:dyDescent="0.15">
      <c r="A94" s="16"/>
      <c r="B94" s="3">
        <f ca="1">IFERROR(__xludf.DUMMYFUNCTION("""COMPUTED_VALUE"""),678)</f>
        <v>678</v>
      </c>
      <c r="C94" s="3" t="str">
        <f ca="1">IFERROR(__xludf.DUMMYFUNCTION("""COMPUTED_VALUE"""),"Garrett Gilbert")</f>
        <v>Garrett Gilbert</v>
      </c>
      <c r="D94" s="3" t="str">
        <f ca="1">IFERROR(__xludf.DUMMYFUNCTION("""COMPUTED_VALUE"""),"QB")</f>
        <v>QB</v>
      </c>
    </row>
    <row r="95" spans="1:5" ht="13" x14ac:dyDescent="0.15">
      <c r="A95" s="16"/>
      <c r="B95" s="3">
        <f ca="1">IFERROR(__xludf.DUMMYFUNCTION("""COMPUTED_VALUE"""),688)</f>
        <v>688</v>
      </c>
      <c r="C95" s="3" t="str">
        <f ca="1">IFERROR(__xludf.DUMMYFUNCTION("""COMPUTED_VALUE"""),"Joshua Dobbs")</f>
        <v>Joshua Dobbs</v>
      </c>
      <c r="D95" s="3" t="str">
        <f ca="1">IFERROR(__xludf.DUMMYFUNCTION("""COMPUTED_VALUE"""),"QB")</f>
        <v>QB</v>
      </c>
    </row>
    <row r="96" spans="1:5" ht="13" x14ac:dyDescent="0.15">
      <c r="A96" s="16"/>
      <c r="B96" s="3">
        <f ca="1">IFERROR(__xludf.DUMMYFUNCTION("""COMPUTED_VALUE"""),691)</f>
        <v>691</v>
      </c>
      <c r="C96" s="3" t="str">
        <f ca="1">IFERROR(__xludf.DUMMYFUNCTION("""COMPUTED_VALUE"""),"Robert Griffin")</f>
        <v>Robert Griffin</v>
      </c>
      <c r="D96" s="3" t="str">
        <f ca="1">IFERROR(__xludf.DUMMYFUNCTION("""COMPUTED_VALUE"""),"QB")</f>
        <v>QB</v>
      </c>
    </row>
    <row r="97" spans="1:5" ht="13" x14ac:dyDescent="0.15">
      <c r="A97" s="16"/>
      <c r="B97" s="3">
        <f ca="1">IFERROR(__xludf.DUMMYFUNCTION("""COMPUTED_VALUE"""),706)</f>
        <v>706</v>
      </c>
      <c r="C97" s="3" t="str">
        <f ca="1">IFERROR(__xludf.DUMMYFUNCTION("""COMPUTED_VALUE"""),"Kyle Lauletta")</f>
        <v>Kyle Lauletta</v>
      </c>
      <c r="D97" s="3" t="str">
        <f ca="1">IFERROR(__xludf.DUMMYFUNCTION("""COMPUTED_VALUE"""),"QB")</f>
        <v>QB</v>
      </c>
    </row>
    <row r="98" spans="1:5" ht="13" x14ac:dyDescent="0.15">
      <c r="A98" s="16"/>
      <c r="B98" s="3">
        <f ca="1">IFERROR(__xludf.DUMMYFUNCTION("""COMPUTED_VALUE"""),707)</f>
        <v>707</v>
      </c>
      <c r="C98" s="3" t="str">
        <f ca="1">IFERROR(__xludf.DUMMYFUNCTION("""COMPUTED_VALUE"""),"Mark Sanchez")</f>
        <v>Mark Sanchez</v>
      </c>
      <c r="D98" s="3" t="str">
        <f ca="1">IFERROR(__xludf.DUMMYFUNCTION("""COMPUTED_VALUE"""),"QB")</f>
        <v>QB</v>
      </c>
    </row>
    <row r="99" spans="1:5" ht="13" x14ac:dyDescent="0.15">
      <c r="A99" s="16"/>
      <c r="B99" s="3">
        <f ca="1">IFERROR(__xludf.DUMMYFUNCTION("""COMPUTED_VALUE"""),708)</f>
        <v>708</v>
      </c>
      <c r="C99" s="3" t="str">
        <f ca="1">IFERROR(__xludf.DUMMYFUNCTION("""COMPUTED_VALUE"""),"Matt Schaub")</f>
        <v>Matt Schaub</v>
      </c>
      <c r="D99" s="3" t="str">
        <f ca="1">IFERROR(__xludf.DUMMYFUNCTION("""COMPUTED_VALUE"""),"QB")</f>
        <v>QB</v>
      </c>
    </row>
    <row r="100" spans="1:5" ht="13" x14ac:dyDescent="0.15">
      <c r="A100" s="16"/>
      <c r="B100" s="3">
        <f ca="1">IFERROR(__xludf.DUMMYFUNCTION("""COMPUTED_VALUE"""),762)</f>
        <v>762</v>
      </c>
      <c r="C100" s="3" t="str">
        <f ca="1">IFERROR(__xludf.DUMMYFUNCTION("""COMPUTED_VALUE"""),"Will Grier")</f>
        <v>Will Grier</v>
      </c>
      <c r="D100" s="3" t="str">
        <f ca="1">IFERROR(__xludf.DUMMYFUNCTION("""COMPUTED_VALUE"""),"QB")</f>
        <v>QB</v>
      </c>
    </row>
    <row r="101" spans="1:5" ht="13" x14ac:dyDescent="0.15">
      <c r="A101" s="16"/>
      <c r="B101" s="3">
        <f ca="1">IFERROR(__xludf.DUMMYFUNCTION("""COMPUTED_VALUE"""),763)</f>
        <v>763</v>
      </c>
      <c r="C101" s="3" t="str">
        <f ca="1">IFERROR(__xludf.DUMMYFUNCTION("""COMPUTED_VALUE"""),"Jarrett Stidham")</f>
        <v>Jarrett Stidham</v>
      </c>
      <c r="D101" s="3" t="str">
        <f ca="1">IFERROR(__xludf.DUMMYFUNCTION("""COMPUTED_VALUE"""),"QB")</f>
        <v>QB</v>
      </c>
    </row>
    <row r="102" spans="1:5" ht="13" x14ac:dyDescent="0.15">
      <c r="A102" s="16"/>
      <c r="B102" s="3">
        <f ca="1">IFERROR(__xludf.DUMMYFUNCTION("""COMPUTED_VALUE"""),770)</f>
        <v>770</v>
      </c>
      <c r="C102" s="3" t="str">
        <f ca="1">IFERROR(__xludf.DUMMYFUNCTION("""COMPUTED_VALUE"""),"Ryan Finley")</f>
        <v>Ryan Finley</v>
      </c>
      <c r="D102" s="3" t="str">
        <f ca="1">IFERROR(__xludf.DUMMYFUNCTION("""COMPUTED_VALUE"""),"QB")</f>
        <v>QB</v>
      </c>
    </row>
    <row r="103" spans="1:5" ht="13" x14ac:dyDescent="0.15">
      <c r="A103" s="16"/>
      <c r="B103" s="3">
        <f ca="1">IFERROR(__xludf.DUMMYFUNCTION("""COMPUTED_VALUE"""),773)</f>
        <v>773</v>
      </c>
      <c r="C103" s="3" t="str">
        <f ca="1">IFERROR(__xludf.DUMMYFUNCTION("""COMPUTED_VALUE"""),"Gardner Minshew")</f>
        <v>Gardner Minshew</v>
      </c>
      <c r="D103" s="3" t="str">
        <f ca="1">IFERROR(__xludf.DUMMYFUNCTION("""COMPUTED_VALUE"""),"QB")</f>
        <v>QB</v>
      </c>
      <c r="E103">
        <v>1</v>
      </c>
    </row>
    <row r="104" spans="1:5" ht="13" x14ac:dyDescent="0.15">
      <c r="A104" s="16"/>
      <c r="B104" s="3">
        <f ca="1">IFERROR(__xludf.DUMMYFUNCTION("""COMPUTED_VALUE"""),776)</f>
        <v>776</v>
      </c>
      <c r="C104" s="3" t="str">
        <f ca="1">IFERROR(__xludf.DUMMYFUNCTION("""COMPUTED_VALUE"""),"Easton Stick")</f>
        <v>Easton Stick</v>
      </c>
      <c r="D104" s="3" t="str">
        <f ca="1">IFERROR(__xludf.DUMMYFUNCTION("""COMPUTED_VALUE"""),"QB")</f>
        <v>QB</v>
      </c>
    </row>
    <row r="105" spans="1:5" ht="13" x14ac:dyDescent="0.15">
      <c r="A105" s="16"/>
      <c r="B105" s="3">
        <f ca="1">IFERROR(__xludf.DUMMYFUNCTION("""COMPUTED_VALUE"""),785)</f>
        <v>785</v>
      </c>
      <c r="C105" s="3" t="str">
        <f ca="1">IFERROR(__xludf.DUMMYFUNCTION("""COMPUTED_VALUE"""),"Clayton Thorson")</f>
        <v>Clayton Thorson</v>
      </c>
      <c r="D105" s="3" t="str">
        <f ca="1">IFERROR(__xludf.DUMMYFUNCTION("""COMPUTED_VALUE"""),"QB")</f>
        <v>QB</v>
      </c>
    </row>
    <row r="106" spans="1:5" ht="13" x14ac:dyDescent="0.15">
      <c r="A106" s="16"/>
      <c r="B106" s="3">
        <f ca="1">IFERROR(__xludf.DUMMYFUNCTION("""COMPUTED_VALUE"""),786)</f>
        <v>786</v>
      </c>
      <c r="C106" s="3" t="str">
        <f ca="1">IFERROR(__xludf.DUMMYFUNCTION("""COMPUTED_VALUE"""),"Trace McSorley")</f>
        <v>Trace McSorley</v>
      </c>
      <c r="D106" s="3" t="str">
        <f ca="1">IFERROR(__xludf.DUMMYFUNCTION("""COMPUTED_VALUE"""),"QB")</f>
        <v>QB</v>
      </c>
    </row>
    <row r="107" spans="1:5" ht="13" x14ac:dyDescent="0.15">
      <c r="A107" s="16"/>
      <c r="B107" s="3">
        <v>868</v>
      </c>
      <c r="C107" s="3" t="s">
        <v>919</v>
      </c>
      <c r="D107" s="3" t="s">
        <v>49</v>
      </c>
      <c r="E107">
        <v>1</v>
      </c>
    </row>
  </sheetData>
  <conditionalFormatting sqref="C3 B17 A2:A37 C2:D2 D3:D5 B5 C16:C19 C6 C10:D11 A38:B38 B31:B37 D14:D19 D22:D38 A40:B107 D40:D107 C41:C107">
    <cfRule type="expression" dxfId="142" priority="12">
      <formula>E2=1</formula>
    </cfRule>
  </conditionalFormatting>
  <conditionalFormatting sqref="C17 B2:B37 D2:D3 C5 D16:D19 B38:C38 C31:C37 B40:C107 D41:D107">
    <cfRule type="expression" dxfId="141" priority="11">
      <formula>E2=1</formula>
    </cfRule>
  </conditionalFormatting>
  <conditionalFormatting sqref="C3:C38 C40:C107">
    <cfRule type="expression" dxfId="140" priority="10">
      <formula>E3=1</formula>
    </cfRule>
  </conditionalFormatting>
  <conditionalFormatting sqref="D3:D38 D40:D107">
    <cfRule type="expression" dxfId="139" priority="9">
      <formula>E3=1</formula>
    </cfRule>
  </conditionalFormatting>
  <conditionalFormatting sqref="C2">
    <cfRule type="expression" dxfId="138" priority="6">
      <formula>E2=1</formula>
    </cfRule>
  </conditionalFormatting>
  <conditionalFormatting sqref="D2">
    <cfRule type="expression" dxfId="137" priority="5">
      <formula>E2=1</formula>
    </cfRule>
  </conditionalFormatting>
  <conditionalFormatting sqref="C4 C6">
    <cfRule type="expression" dxfId="136" priority="355">
      <formula>#REF!=1</formula>
    </cfRule>
  </conditionalFormatting>
  <conditionalFormatting sqref="D4 D6">
    <cfRule type="expression" dxfId="135" priority="358">
      <formula>#REF!=1</formula>
    </cfRule>
  </conditionalFormatting>
  <conditionalFormatting sqref="C5">
    <cfRule type="expression" dxfId="134" priority="395">
      <formula>#REF!=1</formula>
    </cfRule>
  </conditionalFormatting>
  <conditionalFormatting sqref="D5">
    <cfRule type="expression" dxfId="133" priority="396">
      <formula>#REF!=1</formula>
    </cfRule>
  </conditionalFormatting>
  <conditionalFormatting sqref="B15 C14 C8:D8 D20">
    <cfRule type="expression" dxfId="132" priority="598">
      <formula>F9=1</formula>
    </cfRule>
  </conditionalFormatting>
  <conditionalFormatting sqref="B13 B27:B28 B16 B2">
    <cfRule type="expression" dxfId="131" priority="599">
      <formula>#REF!=1</formula>
    </cfRule>
  </conditionalFormatting>
  <conditionalFormatting sqref="C15">
    <cfRule type="expression" dxfId="130" priority="601">
      <formula>F16=1</formula>
    </cfRule>
  </conditionalFormatting>
  <conditionalFormatting sqref="C13 C27:C28 C16 C2">
    <cfRule type="expression" dxfId="129" priority="602">
      <formula>#REF!=1</formula>
    </cfRule>
  </conditionalFormatting>
  <conditionalFormatting sqref="B3:B4">
    <cfRule type="expression" dxfId="128" priority="609">
      <formula>F2=1</formula>
    </cfRule>
  </conditionalFormatting>
  <conditionalFormatting sqref="C3:C4">
    <cfRule type="expression" dxfId="127" priority="611">
      <formula>F2=1</formula>
    </cfRule>
  </conditionalFormatting>
  <conditionalFormatting sqref="D13">
    <cfRule type="expression" dxfId="126" priority="786">
      <formula>H7=1</formula>
    </cfRule>
  </conditionalFormatting>
  <conditionalFormatting sqref="B7:C7 C12 B30 D6:D15 C20:C38 D21 C40">
    <cfRule type="expression" dxfId="125" priority="787">
      <formula>#REF!=1</formula>
    </cfRule>
  </conditionalFormatting>
  <conditionalFormatting sqref="C7:D7 D12 C30 D20:D38 D40">
    <cfRule type="expression" dxfId="124" priority="792">
      <formula>#REF!=1</formula>
    </cfRule>
  </conditionalFormatting>
  <conditionalFormatting sqref="C12">
    <cfRule type="expression" dxfId="123" priority="795">
      <formula>G7=1</formula>
    </cfRule>
  </conditionalFormatting>
  <conditionalFormatting sqref="B21">
    <cfRule type="expression" dxfId="122" priority="803">
      <formula>#REF!=1</formula>
    </cfRule>
  </conditionalFormatting>
  <conditionalFormatting sqref="C21">
    <cfRule type="expression" dxfId="121" priority="806">
      <formula>#REF!=1</formula>
    </cfRule>
  </conditionalFormatting>
  <conditionalFormatting sqref="B9:C9">
    <cfRule type="expression" dxfId="120" priority="809">
      <formula>#REF!=1</formula>
    </cfRule>
  </conditionalFormatting>
  <conditionalFormatting sqref="C9:D9">
    <cfRule type="expression" dxfId="119" priority="812">
      <formula>#REF!=1</formula>
    </cfRule>
  </conditionalFormatting>
  <conditionalFormatting sqref="B6 C14:C15 B10:C11">
    <cfRule type="expression" dxfId="118" priority="815">
      <formula>G6=1</formula>
    </cfRule>
  </conditionalFormatting>
  <conditionalFormatting sqref="B14 B8:C8">
    <cfRule type="expression" dxfId="117" priority="819">
      <formula>G9=1</formula>
    </cfRule>
  </conditionalFormatting>
  <conditionalFormatting sqref="C13">
    <cfRule type="expression" dxfId="116" priority="842">
      <formula>H7=1</formula>
    </cfRule>
  </conditionalFormatting>
  <conditionalFormatting sqref="B12">
    <cfRule type="expression" dxfId="115" priority="844">
      <formula>G7=1</formula>
    </cfRule>
  </conditionalFormatting>
  <conditionalFormatting sqref="C22 C18:C19">
    <cfRule type="expression" dxfId="114" priority="861">
      <formula>G29=1</formula>
    </cfRule>
  </conditionalFormatting>
  <conditionalFormatting sqref="B22 B18:B19">
    <cfRule type="expression" dxfId="113" priority="864">
      <formula>G29=1</formula>
    </cfRule>
  </conditionalFormatting>
  <conditionalFormatting sqref="C23">
    <cfRule type="expression" dxfId="112" priority="868">
      <formula>#REF!=1</formula>
    </cfRule>
  </conditionalFormatting>
  <conditionalFormatting sqref="B23">
    <cfRule type="expression" dxfId="111" priority="872">
      <formula>#REF!=1</formula>
    </cfRule>
  </conditionalFormatting>
  <conditionalFormatting sqref="C26">
    <cfRule type="expression" dxfId="110" priority="878">
      <formula>G40=1</formula>
    </cfRule>
  </conditionalFormatting>
  <conditionalFormatting sqref="B26">
    <cfRule type="expression" dxfId="109" priority="880">
      <formula>G40=1</formula>
    </cfRule>
  </conditionalFormatting>
  <conditionalFormatting sqref="C29">
    <cfRule type="expression" dxfId="108" priority="883">
      <formula>#REF!=1</formula>
    </cfRule>
  </conditionalFormatting>
  <conditionalFormatting sqref="B29">
    <cfRule type="expression" dxfId="107" priority="884">
      <formula>#REF!=1</formula>
    </cfRule>
  </conditionalFormatting>
  <conditionalFormatting sqref="C20">
    <cfRule type="expression" dxfId="106" priority="890">
      <formula>G32=1</formula>
    </cfRule>
  </conditionalFormatting>
  <conditionalFormatting sqref="B20">
    <cfRule type="expression" dxfId="105" priority="892">
      <formula>G32=1</formula>
    </cfRule>
  </conditionalFormatting>
  <conditionalFormatting sqref="C24">
    <cfRule type="expression" dxfId="104" priority="894">
      <formula>G31=1</formula>
    </cfRule>
  </conditionalFormatting>
  <conditionalFormatting sqref="B24">
    <cfRule type="expression" dxfId="103" priority="896">
      <formula>G31=1</formula>
    </cfRule>
  </conditionalFormatting>
  <conditionalFormatting sqref="C25">
    <cfRule type="expression" dxfId="102" priority="897">
      <formula>G34=1</formula>
    </cfRule>
  </conditionalFormatting>
  <conditionalFormatting sqref="B25">
    <cfRule type="expression" dxfId="101" priority="898">
      <formula>G34=1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26"/>
  <sheetViews>
    <sheetView showGridLines="0" zoomScale="85" zoomScaleNormal="85" workbookViewId="0">
      <pane ySplit="1" topLeftCell="A2" activePane="bottomLeft" state="frozen"/>
      <selection pane="bottomLeft" activeCell="B4" sqref="B4:C4"/>
    </sheetView>
  </sheetViews>
  <sheetFormatPr baseColWidth="10" defaultColWidth="14.5" defaultRowHeight="15.75" customHeight="1" x14ac:dyDescent="0.15"/>
  <cols>
    <col min="7" max="8" width="14.5" style="24"/>
    <col min="9" max="9" width="8.5" style="24" bestFit="1" customWidth="1"/>
    <col min="10" max="10" width="17.5" style="24" bestFit="1" customWidth="1"/>
    <col min="11" max="12" width="14.5" style="24"/>
  </cols>
  <sheetData>
    <row r="1" spans="1:15" ht="15.75" customHeight="1" x14ac:dyDescent="0.15">
      <c r="A1" s="19" t="s">
        <v>860</v>
      </c>
      <c r="B1" s="1" t="s">
        <v>0</v>
      </c>
      <c r="C1" s="1" t="s">
        <v>1</v>
      </c>
      <c r="D1" s="1" t="s">
        <v>2</v>
      </c>
      <c r="E1" s="15" t="s">
        <v>861</v>
      </c>
      <c r="G1" s="62"/>
      <c r="I1" s="62"/>
      <c r="J1" s="62"/>
      <c r="L1" s="62"/>
      <c r="M1" s="14"/>
      <c r="O1" s="14"/>
    </row>
    <row r="2" spans="1:15" ht="15.75" customHeight="1" x14ac:dyDescent="0.15">
      <c r="A2" s="11">
        <v>1</v>
      </c>
      <c r="B2" s="3">
        <f ca="1">IFERROR(__xludf.DUMMYFUNCTION("""COMPUTED_VALUE"""),524)</f>
        <v>524</v>
      </c>
      <c r="C2" s="3" t="str">
        <f ca="1">IFERROR(__xludf.DUMMYFUNCTION("""COMPUTED_VALUE"""),"Saquon Barkley")</f>
        <v>Saquon Barkley</v>
      </c>
      <c r="D2" s="3" t="str">
        <f ca="1">IFERROR(__xludf.DUMMYFUNCTION("""COMPUTED_VALUE"""),"RB")</f>
        <v>RB</v>
      </c>
      <c r="E2">
        <v>1</v>
      </c>
      <c r="F2" s="21"/>
      <c r="G2" s="28"/>
      <c r="I2" s="63"/>
    </row>
    <row r="3" spans="1:15" ht="15.75" customHeight="1" x14ac:dyDescent="0.15">
      <c r="A3" s="16">
        <f>+A2+1</f>
        <v>2</v>
      </c>
      <c r="B3" s="3">
        <f ca="1">IFERROR(__xludf.DUMMYFUNCTION("""COMPUTED_VALUE"""),128)</f>
        <v>128</v>
      </c>
      <c r="C3" s="3" t="str">
        <f ca="1">IFERROR(__xludf.DUMMYFUNCTION("""COMPUTED_VALUE"""),"Christian McCaffrey")</f>
        <v>Christian McCaffrey</v>
      </c>
      <c r="D3" s="3" t="str">
        <f ca="1">IFERROR(__xludf.DUMMYFUNCTION("""COMPUTED_VALUE"""),"RB")</f>
        <v>RB</v>
      </c>
      <c r="F3" s="21"/>
      <c r="G3" s="28"/>
      <c r="I3" s="76"/>
      <c r="J3" s="76"/>
      <c r="K3" s="76"/>
      <c r="L3" s="61"/>
    </row>
    <row r="4" spans="1:15" ht="15.75" customHeight="1" x14ac:dyDescent="0.15">
      <c r="A4" s="16">
        <f t="shared" ref="A4:A67" si="0">+A3+1</f>
        <v>3</v>
      </c>
      <c r="B4" s="3">
        <f ca="1">IFERROR(__xludf.DUMMYFUNCTION("""COMPUTED_VALUE"""),93)</f>
        <v>93</v>
      </c>
      <c r="C4" s="3" t="str">
        <f ca="1">IFERROR(__xludf.DUMMYFUNCTION("""COMPUTED_VALUE"""),"Alvin Kamara")</f>
        <v>Alvin Kamara</v>
      </c>
      <c r="D4" s="3" t="str">
        <f ca="1">IFERROR(__xludf.DUMMYFUNCTION("""COMPUTED_VALUE"""),"RB")</f>
        <v>RB</v>
      </c>
      <c r="F4" s="21"/>
      <c r="G4" s="28"/>
      <c r="J4" s="28"/>
      <c r="K4" s="28"/>
    </row>
    <row r="5" spans="1:15" ht="15.75" customHeight="1" x14ac:dyDescent="0.15">
      <c r="A5" s="16">
        <f t="shared" si="0"/>
        <v>4</v>
      </c>
      <c r="B5" s="3">
        <f ca="1">IFERROR(__xludf.DUMMYFUNCTION("""COMPUTED_VALUE"""),137)</f>
        <v>137</v>
      </c>
      <c r="C5" s="3" t="str">
        <f ca="1">IFERROR(__xludf.DUMMYFUNCTION("""COMPUTED_VALUE"""),"David Johnson")</f>
        <v>David Johnson</v>
      </c>
      <c r="D5" s="3" t="str">
        <f ca="1">IFERROR(__xludf.DUMMYFUNCTION("""COMPUTED_VALUE"""),"RB")</f>
        <v>RB</v>
      </c>
      <c r="F5" s="21"/>
      <c r="J5" s="77"/>
      <c r="K5" s="28"/>
    </row>
    <row r="6" spans="1:15" ht="15.75" customHeight="1" x14ac:dyDescent="0.15">
      <c r="A6" s="16">
        <f t="shared" si="0"/>
        <v>5</v>
      </c>
      <c r="B6" s="3">
        <f ca="1">IFERROR(__xludf.DUMMYFUNCTION("""COMPUTED_VALUE"""),176)</f>
        <v>176</v>
      </c>
      <c r="C6" s="3" t="str">
        <f ca="1">IFERROR(__xludf.DUMMYFUNCTION("""COMPUTED_VALUE"""),"Ezekiel Elliott")</f>
        <v>Ezekiel Elliott</v>
      </c>
      <c r="D6" s="3" t="str">
        <f ca="1">IFERROR(__xludf.DUMMYFUNCTION("""COMPUTED_VALUE"""),"RB")</f>
        <v>RB</v>
      </c>
      <c r="F6" s="60"/>
      <c r="G6" s="78"/>
      <c r="J6" s="28"/>
      <c r="K6" s="28"/>
    </row>
    <row r="7" spans="1:15" ht="15.75" customHeight="1" x14ac:dyDescent="0.15">
      <c r="A7" s="16">
        <f t="shared" si="0"/>
        <v>6</v>
      </c>
      <c r="B7" s="3">
        <f ca="1">IFERROR(__xludf.DUMMYFUNCTION("""COMPUTED_VALUE"""),261)</f>
        <v>261</v>
      </c>
      <c r="C7" s="3" t="str">
        <f ca="1">IFERROR(__xludf.DUMMYFUNCTION("""COMPUTED_VALUE"""),"Le'Veon Bell")</f>
        <v>Le'Veon Bell</v>
      </c>
      <c r="D7" s="3" t="str">
        <f ca="1">IFERROR(__xludf.DUMMYFUNCTION("""COMPUTED_VALUE"""),"RB")</f>
        <v>RB</v>
      </c>
      <c r="E7">
        <v>1</v>
      </c>
      <c r="F7" s="21"/>
      <c r="J7" s="28"/>
      <c r="K7" s="28"/>
    </row>
    <row r="8" spans="1:15" ht="15.75" customHeight="1" x14ac:dyDescent="0.15">
      <c r="A8" s="16">
        <f t="shared" si="0"/>
        <v>7</v>
      </c>
      <c r="B8" s="3">
        <f ca="1">IFERROR(__xludf.DUMMYFUNCTION("""COMPUTED_VALUE"""),304)</f>
        <v>304</v>
      </c>
      <c r="C8" s="3" t="str">
        <f ca="1">IFERROR(__xludf.DUMMYFUNCTION("""COMPUTED_VALUE"""),"James Conner")</f>
        <v>James Conner</v>
      </c>
      <c r="D8" s="3" t="str">
        <f ca="1">IFERROR(__xludf.DUMMYFUNCTION("""COMPUTED_VALUE"""),"RB")</f>
        <v>RB</v>
      </c>
      <c r="E8">
        <v>1</v>
      </c>
      <c r="I8" s="63"/>
    </row>
    <row r="9" spans="1:15" ht="15.75" customHeight="1" x14ac:dyDescent="0.15">
      <c r="A9" s="16">
        <f t="shared" si="0"/>
        <v>8</v>
      </c>
      <c r="B9" s="3">
        <f ca="1">IFERROR(__xludf.DUMMYFUNCTION("""COMPUTED_VALUE"""),133)</f>
        <v>133</v>
      </c>
      <c r="C9" s="3" t="str">
        <f ca="1">IFERROR(__xludf.DUMMYFUNCTION("""COMPUTED_VALUE"""),"Dalvin Cook")</f>
        <v>Dalvin Cook</v>
      </c>
      <c r="D9" s="3" t="str">
        <f ca="1">IFERROR(__xludf.DUMMYFUNCTION("""COMPUTED_VALUE"""),"RB")</f>
        <v>RB</v>
      </c>
      <c r="E9">
        <v>1</v>
      </c>
      <c r="F9" s="21"/>
      <c r="I9" s="76"/>
      <c r="J9" s="76"/>
      <c r="K9" s="76"/>
      <c r="L9" s="61"/>
    </row>
    <row r="10" spans="1:15" ht="15.75" customHeight="1" x14ac:dyDescent="0.15">
      <c r="A10" s="16">
        <f t="shared" si="0"/>
        <v>9</v>
      </c>
      <c r="B10" s="3">
        <f ca="1">IFERROR(__xludf.DUMMYFUNCTION("""COMPUTED_VALUE"""),403)</f>
        <v>403</v>
      </c>
      <c r="C10" s="3" t="str">
        <f ca="1">IFERROR(__xludf.DUMMYFUNCTION("""COMPUTED_VALUE"""),"Todd Gurley")</f>
        <v>Todd Gurley</v>
      </c>
      <c r="D10" s="3" t="str">
        <f ca="1">IFERROR(__xludf.DUMMYFUNCTION("""COMPUTED_VALUE"""),"RB")</f>
        <v>RB</v>
      </c>
      <c r="E10">
        <v>1</v>
      </c>
      <c r="F10" s="21"/>
      <c r="G10" s="78"/>
      <c r="J10" s="28"/>
      <c r="K10" s="28"/>
    </row>
    <row r="11" spans="1:15" ht="15.75" customHeight="1" x14ac:dyDescent="0.15">
      <c r="A11" s="16">
        <f t="shared" si="0"/>
        <v>10</v>
      </c>
      <c r="B11" s="3">
        <f ca="1">IFERROR(__xludf.DUMMYFUNCTION("""COMPUTED_VALUE"""),529)</f>
        <v>529</v>
      </c>
      <c r="C11" s="3" t="str">
        <f ca="1">IFERROR(__xludf.DUMMYFUNCTION("""COMPUTED_VALUE"""),"Nick Chubb")</f>
        <v>Nick Chubb</v>
      </c>
      <c r="D11" s="3" t="str">
        <f ca="1">IFERROR(__xludf.DUMMYFUNCTION("""COMPUTED_VALUE"""),"RB")</f>
        <v>RB</v>
      </c>
      <c r="E11">
        <v>1</v>
      </c>
      <c r="F11" s="21"/>
      <c r="J11" s="28"/>
      <c r="K11" s="28"/>
    </row>
    <row r="12" spans="1:15" ht="15.75" customHeight="1" x14ac:dyDescent="0.15">
      <c r="A12" s="16">
        <f t="shared" si="0"/>
        <v>11</v>
      </c>
      <c r="B12" s="3">
        <f ca="1">IFERROR(__xludf.DUMMYFUNCTION("""COMPUTED_VALUE"""),208)</f>
        <v>208</v>
      </c>
      <c r="C12" s="3" t="str">
        <f ca="1">IFERROR(__xludf.DUMMYFUNCTION("""COMPUTED_VALUE"""),"Joe Mixon")</f>
        <v>Joe Mixon</v>
      </c>
      <c r="D12" s="3" t="str">
        <f ca="1">IFERROR(__xludf.DUMMYFUNCTION("""COMPUTED_VALUE"""),"RB")</f>
        <v>RB</v>
      </c>
      <c r="E12">
        <v>1</v>
      </c>
      <c r="F12" s="21"/>
    </row>
    <row r="13" spans="1:15" ht="15.75" customHeight="1" x14ac:dyDescent="0.15">
      <c r="A13" s="16">
        <f t="shared" si="0"/>
        <v>12</v>
      </c>
      <c r="B13" s="3">
        <f ca="1">IFERROR(__xludf.DUMMYFUNCTION("""COMPUTED_VALUE"""),259)</f>
        <v>259</v>
      </c>
      <c r="C13" s="3" t="str">
        <f ca="1">IFERROR(__xludf.DUMMYFUNCTION("""COMPUTED_VALUE"""),"Leonard Fournette")</f>
        <v>Leonard Fournette</v>
      </c>
      <c r="D13" s="3" t="str">
        <f ca="1">IFERROR(__xludf.DUMMYFUNCTION("""COMPUTED_VALUE"""),"RB")</f>
        <v>RB</v>
      </c>
      <c r="E13">
        <v>1</v>
      </c>
      <c r="F13" s="21"/>
      <c r="I13" s="63"/>
    </row>
    <row r="14" spans="1:15" ht="15.75" customHeight="1" x14ac:dyDescent="0.15">
      <c r="A14" s="16">
        <f t="shared" si="0"/>
        <v>13</v>
      </c>
      <c r="B14" s="3">
        <f ca="1">IFERROR(__xludf.DUMMYFUNCTION("""COMPUTED_VALUE"""),709)</f>
        <v>709</v>
      </c>
      <c r="C14" s="3" t="str">
        <f ca="1">IFERROR(__xludf.DUMMYFUNCTION("""COMPUTED_VALUE"""),"Josh Jacobs")</f>
        <v>Josh Jacobs</v>
      </c>
      <c r="D14" s="3" t="str">
        <f ca="1">IFERROR(__xludf.DUMMYFUNCTION("""COMPUTED_VALUE"""),"RB")</f>
        <v>RB</v>
      </c>
      <c r="E14">
        <v>1</v>
      </c>
      <c r="F14" s="60"/>
      <c r="G14" s="78"/>
      <c r="J14" s="28"/>
      <c r="K14" s="28"/>
    </row>
    <row r="15" spans="1:15" ht="15.75" customHeight="1" x14ac:dyDescent="0.15">
      <c r="A15" s="16">
        <f t="shared" si="0"/>
        <v>14</v>
      </c>
      <c r="B15" s="3">
        <f ca="1">IFERROR(__xludf.DUMMYFUNCTION("""COMPUTED_VALUE"""),82)</f>
        <v>82</v>
      </c>
      <c r="C15" s="3" t="str">
        <f ca="1">IFERROR(__xludf.DUMMYFUNCTION("""COMPUTED_VALUE"""),"Aaron Jones")</f>
        <v>Aaron Jones</v>
      </c>
      <c r="D15" s="3" t="str">
        <f ca="1">IFERROR(__xludf.DUMMYFUNCTION("""COMPUTED_VALUE"""),"RB")</f>
        <v>RB</v>
      </c>
      <c r="E15">
        <v>1</v>
      </c>
      <c r="F15" s="21"/>
      <c r="J15" s="28"/>
      <c r="K15" s="28"/>
    </row>
    <row r="16" spans="1:15" ht="15.75" customHeight="1" x14ac:dyDescent="0.15">
      <c r="A16" s="16">
        <f t="shared" si="0"/>
        <v>15</v>
      </c>
      <c r="B16" s="3">
        <f ca="1">IFERROR(__xludf.DUMMYFUNCTION("""COMPUTED_VALUE"""),539)</f>
        <v>539</v>
      </c>
      <c r="C16" s="3" t="str">
        <f ca="1">IFERROR(__xludf.DUMMYFUNCTION("""COMPUTED_VALUE"""),"Kerryon Johnson")</f>
        <v>Kerryon Johnson</v>
      </c>
      <c r="D16" s="3" t="str">
        <f ca="1">IFERROR(__xludf.DUMMYFUNCTION("""COMPUTED_VALUE"""),"RB")</f>
        <v>RB</v>
      </c>
    </row>
    <row r="17" spans="1:15" ht="15.75" customHeight="1" x14ac:dyDescent="0.15">
      <c r="A17" s="16">
        <f t="shared" si="0"/>
        <v>16</v>
      </c>
      <c r="B17" s="3">
        <f ca="1">IFERROR(__xludf.DUMMYFUNCTION("""COMPUTED_VALUE"""),125)</f>
        <v>125</v>
      </c>
      <c r="C17" s="3" t="str">
        <f ca="1">IFERROR(__xludf.DUMMYFUNCTION("""COMPUTED_VALUE"""),"Chris Carson")</f>
        <v>Chris Carson</v>
      </c>
      <c r="D17" s="3" t="str">
        <f ca="1">IFERROR(__xludf.DUMMYFUNCTION("""COMPUTED_VALUE"""),"RB")</f>
        <v>RB</v>
      </c>
      <c r="E17">
        <v>1</v>
      </c>
    </row>
    <row r="18" spans="1:15" ht="15.75" customHeight="1" x14ac:dyDescent="0.15">
      <c r="A18" s="16">
        <f t="shared" si="0"/>
        <v>17</v>
      </c>
      <c r="B18" s="3">
        <f ca="1">IFERROR(__xludf.DUMMYFUNCTION("""COMPUTED_VALUE"""),154)</f>
        <v>154</v>
      </c>
      <c r="C18" s="3" t="str">
        <f ca="1">IFERROR(__xludf.DUMMYFUNCTION("""COMPUTED_VALUE"""),"Devonta Freeman")</f>
        <v>Devonta Freeman</v>
      </c>
      <c r="D18" s="3" t="str">
        <f ca="1">IFERROR(__xludf.DUMMYFUNCTION("""COMPUTED_VALUE"""),"RB")</f>
        <v>RB</v>
      </c>
      <c r="E18">
        <v>1</v>
      </c>
      <c r="F18" s="21"/>
      <c r="I18" s="79"/>
      <c r="J18" s="17"/>
      <c r="K18" s="17"/>
      <c r="L18" s="17"/>
    </row>
    <row r="19" spans="1:15" ht="15.75" customHeight="1" x14ac:dyDescent="0.15">
      <c r="A19" s="16">
        <f t="shared" si="0"/>
        <v>18</v>
      </c>
      <c r="B19" s="3">
        <f ca="1">IFERROR(__xludf.DUMMYFUNCTION("""COMPUTED_VALUE"""),269)</f>
        <v>269</v>
      </c>
      <c r="C19" s="3" t="str">
        <f ca="1">IFERROR(__xludf.DUMMYFUNCTION("""COMPUTED_VALUE"""),"Marlon Mack")</f>
        <v>Marlon Mack</v>
      </c>
      <c r="D19" s="3" t="str">
        <f ca="1">IFERROR(__xludf.DUMMYFUNCTION("""COMPUTED_VALUE"""),"RB")</f>
        <v>RB</v>
      </c>
      <c r="E19">
        <v>1</v>
      </c>
      <c r="F19" s="60"/>
      <c r="G19" s="78"/>
      <c r="J19" s="28"/>
      <c r="K19" s="28"/>
      <c r="L19" s="28"/>
    </row>
    <row r="20" spans="1:15" ht="15.75" customHeight="1" x14ac:dyDescent="0.15">
      <c r="A20" s="16">
        <f t="shared" si="0"/>
        <v>19</v>
      </c>
      <c r="B20" s="3">
        <f ca="1">IFERROR(__xludf.DUMMYFUNCTION("""COMPUTED_VALUE"""),268)</f>
        <v>268</v>
      </c>
      <c r="C20" s="3" t="str">
        <f ca="1">IFERROR(__xludf.DUMMYFUNCTION("""COMPUTED_VALUE"""),"Mark Ingram")</f>
        <v>Mark Ingram</v>
      </c>
      <c r="D20" s="3" t="str">
        <f ca="1">IFERROR(__xludf.DUMMYFUNCTION("""COMPUTED_VALUE"""),"RB")</f>
        <v>RB</v>
      </c>
      <c r="E20">
        <v>1</v>
      </c>
      <c r="J20" s="28"/>
      <c r="K20" s="28"/>
      <c r="L20" s="28"/>
    </row>
    <row r="21" spans="1:15" ht="15.75" customHeight="1" x14ac:dyDescent="0.15">
      <c r="A21" s="16">
        <f t="shared" si="0"/>
        <v>20</v>
      </c>
      <c r="B21" s="3">
        <f ca="1">IFERROR(__xludf.DUMMYFUNCTION("""COMPUTED_VALUE"""),292)</f>
        <v>292</v>
      </c>
      <c r="C21" s="3" t="str">
        <f ca="1">IFERROR(__xludf.DUMMYFUNCTION("""COMPUTED_VALUE"""),"Melvin Gordon")</f>
        <v>Melvin Gordon</v>
      </c>
      <c r="D21" s="3" t="str">
        <f ca="1">IFERROR(__xludf.DUMMYFUNCTION("""COMPUTED_VALUE"""),"RB")</f>
        <v>RB</v>
      </c>
      <c r="E21">
        <v>1</v>
      </c>
      <c r="F21" s="60"/>
      <c r="G21" s="78"/>
      <c r="J21" s="28"/>
      <c r="K21" s="28"/>
      <c r="L21" s="28"/>
    </row>
    <row r="22" spans="1:15" ht="15.75" customHeight="1" x14ac:dyDescent="0.15">
      <c r="A22" s="16">
        <f t="shared" si="0"/>
        <v>21</v>
      </c>
      <c r="B22" s="3">
        <f ca="1">IFERROR(__xludf.DUMMYFUNCTION("""COMPUTED_VALUE"""),711)</f>
        <v>711</v>
      </c>
      <c r="C22" s="3" t="str">
        <f ca="1">IFERROR(__xludf.DUMMYFUNCTION("""COMPUTED_VALUE"""),"David Montgomery")</f>
        <v>David Montgomery</v>
      </c>
      <c r="D22" s="3" t="str">
        <f ca="1">IFERROR(__xludf.DUMMYFUNCTION("""COMPUTED_VALUE"""),"RB")</f>
        <v>RB</v>
      </c>
      <c r="E22">
        <v>1</v>
      </c>
      <c r="J22" s="28"/>
      <c r="K22" s="28"/>
      <c r="L22" s="28"/>
    </row>
    <row r="23" spans="1:15" ht="15.75" customHeight="1" x14ac:dyDescent="0.15">
      <c r="A23" s="16">
        <f t="shared" si="0"/>
        <v>22</v>
      </c>
      <c r="B23" s="3">
        <f ca="1">IFERROR(__xludf.DUMMYFUNCTION("""COMPUTED_VALUE"""),29)</f>
        <v>29</v>
      </c>
      <c r="C23" s="3" t="str">
        <f ca="1">IFERROR(__xludf.DUMMYFUNCTION("""COMPUTED_VALUE"""),"Damien Williams")</f>
        <v>Damien Williams</v>
      </c>
      <c r="D23" s="3" t="str">
        <f ca="1">IFERROR(__xludf.DUMMYFUNCTION("""COMPUTED_VALUE"""),"RB")</f>
        <v>RB</v>
      </c>
      <c r="E23">
        <v>1</v>
      </c>
      <c r="F23" s="60"/>
      <c r="G23" s="78"/>
      <c r="J23" s="28"/>
      <c r="K23" s="28"/>
      <c r="L23" s="28"/>
    </row>
    <row r="24" spans="1:15" ht="15.75" customHeight="1" x14ac:dyDescent="0.15">
      <c r="A24" s="16">
        <f t="shared" si="0"/>
        <v>23</v>
      </c>
      <c r="B24" s="3">
        <f ca="1">IFERROR(__xludf.DUMMYFUNCTION("""COMPUTED_VALUE"""),145)</f>
        <v>145</v>
      </c>
      <c r="C24" s="3" t="str">
        <f ca="1">IFERROR(__xludf.DUMMYFUNCTION("""COMPUTED_VALUE"""),"Derrick Henry")</f>
        <v>Derrick Henry</v>
      </c>
      <c r="D24" s="3" t="str">
        <f ca="1">IFERROR(__xludf.DUMMYFUNCTION("""COMPUTED_VALUE"""),"RB")</f>
        <v>RB</v>
      </c>
      <c r="E24">
        <v>1</v>
      </c>
      <c r="F24" s="21"/>
      <c r="J24" s="28"/>
      <c r="K24" s="28"/>
      <c r="L24" s="28"/>
    </row>
    <row r="25" spans="1:15" ht="15.75" customHeight="1" x14ac:dyDescent="0.15">
      <c r="A25" s="16">
        <f t="shared" si="0"/>
        <v>24</v>
      </c>
      <c r="B25" s="3">
        <f ca="1">IFERROR(__xludf.DUMMYFUNCTION("""COMPUTED_VALUE"""),166)</f>
        <v>166</v>
      </c>
      <c r="C25" s="3" t="str">
        <f ca="1">IFERROR(__xludf.DUMMYFUNCTION("""COMPUTED_VALUE"""),"Duke Johnson")</f>
        <v>Duke Johnson</v>
      </c>
      <c r="D25" s="3" t="str">
        <f ca="1">IFERROR(__xludf.DUMMYFUNCTION("""COMPUTED_VALUE"""),"RB")</f>
        <v>RB</v>
      </c>
      <c r="E25">
        <v>1</v>
      </c>
    </row>
    <row r="26" spans="1:15" ht="15.75" customHeight="1" x14ac:dyDescent="0.15">
      <c r="A26" s="16">
        <f t="shared" si="0"/>
        <v>25</v>
      </c>
      <c r="B26" s="3">
        <f ca="1">IFERROR(__xludf.DUMMYFUNCTION("""COMPUTED_VALUE"""),528)</f>
        <v>528</v>
      </c>
      <c r="C26" s="3" t="str">
        <f ca="1">IFERROR(__xludf.DUMMYFUNCTION("""COMPUTED_VALUE"""),"Phillip Lindsay")</f>
        <v>Phillip Lindsay</v>
      </c>
      <c r="D26" s="3" t="str">
        <f ca="1">IFERROR(__xludf.DUMMYFUNCTION("""COMPUTED_VALUE"""),"RB")</f>
        <v>RB</v>
      </c>
      <c r="E26">
        <v>1</v>
      </c>
      <c r="F26" s="21"/>
      <c r="G26" s="28"/>
      <c r="I26" s="79"/>
      <c r="J26" s="17"/>
      <c r="K26" s="17"/>
      <c r="L26" s="17"/>
    </row>
    <row r="27" spans="1:15" ht="15.75" customHeight="1" x14ac:dyDescent="0.15">
      <c r="A27" s="16">
        <f t="shared" si="0"/>
        <v>26</v>
      </c>
      <c r="B27" s="3">
        <f ca="1">IFERROR(__xludf.DUMMYFUNCTION("""COMPUTED_VALUE"""),712)</f>
        <v>712</v>
      </c>
      <c r="C27" s="3" t="str">
        <f ca="1">IFERROR(__xludf.DUMMYFUNCTION("""COMPUTED_VALUE"""),"Miles Sanders")</f>
        <v>Miles Sanders</v>
      </c>
      <c r="D27" s="3" t="str">
        <f ca="1">IFERROR(__xludf.DUMMYFUNCTION("""COMPUTED_VALUE"""),"RB")</f>
        <v>RB</v>
      </c>
      <c r="E27">
        <v>1</v>
      </c>
      <c r="G27" s="28"/>
      <c r="I27" s="28"/>
      <c r="J27" s="28"/>
      <c r="K27" s="28"/>
      <c r="L27" s="28"/>
    </row>
    <row r="28" spans="1:15" ht="15.75" customHeight="1" x14ac:dyDescent="0.15">
      <c r="A28" s="16">
        <f t="shared" si="0"/>
        <v>27</v>
      </c>
      <c r="B28" s="3">
        <f ca="1">IFERROR(__xludf.DUMMYFUNCTION("""COMPUTED_VALUE"""),536)</f>
        <v>536</v>
      </c>
      <c r="C28" s="3" t="str">
        <f ca="1">IFERROR(__xludf.DUMMYFUNCTION("""COMPUTED_VALUE"""),"Sony Michel")</f>
        <v>Sony Michel</v>
      </c>
      <c r="D28" s="3" t="str">
        <f ca="1">IFERROR(__xludf.DUMMYFUNCTION("""COMPUTED_VALUE"""),"RB")</f>
        <v>RB</v>
      </c>
      <c r="E28">
        <v>1</v>
      </c>
      <c r="G28" s="28"/>
      <c r="J28" s="28"/>
      <c r="K28" s="28"/>
      <c r="L28" s="28"/>
    </row>
    <row r="29" spans="1:15" ht="15.75" customHeight="1" x14ac:dyDescent="0.15">
      <c r="A29" s="16">
        <f t="shared" si="0"/>
        <v>28</v>
      </c>
      <c r="B29" s="3">
        <f ca="1">IFERROR(__xludf.DUMMYFUNCTION("""COMPUTED_VALUE"""),400)</f>
        <v>400</v>
      </c>
      <c r="C29" s="3" t="str">
        <f ca="1">IFERROR(__xludf.DUMMYFUNCTION("""COMPUTED_VALUE"""),"Tevin Coleman")</f>
        <v>Tevin Coleman</v>
      </c>
      <c r="D29" s="3" t="str">
        <f ca="1">IFERROR(__xludf.DUMMYFUNCTION("""COMPUTED_VALUE"""),"RB")</f>
        <v>RB</v>
      </c>
      <c r="E29">
        <v>1</v>
      </c>
      <c r="G29" s="28"/>
      <c r="J29" s="28"/>
      <c r="K29" s="28"/>
      <c r="L29" s="28"/>
    </row>
    <row r="30" spans="1:15" ht="15.75" customHeight="1" x14ac:dyDescent="0.15">
      <c r="A30" s="16">
        <f t="shared" si="0"/>
        <v>29</v>
      </c>
      <c r="B30" s="3">
        <f ca="1">IFERROR(__xludf.DUMMYFUNCTION("""COMPUTED_VALUE"""),189)</f>
        <v>189</v>
      </c>
      <c r="C30" s="3" t="str">
        <f ca="1">IFERROR(__xludf.DUMMYFUNCTION("""COMPUTED_VALUE"""),"James White")</f>
        <v>James White</v>
      </c>
      <c r="D30" s="3" t="str">
        <f ca="1">IFERROR(__xludf.DUMMYFUNCTION("""COMPUTED_VALUE"""),"RB")</f>
        <v>RB</v>
      </c>
      <c r="E30">
        <v>1</v>
      </c>
      <c r="G30" s="28"/>
      <c r="J30" s="28"/>
      <c r="K30" s="28"/>
      <c r="L30" s="28"/>
    </row>
    <row r="31" spans="1:15" ht="15.75" customHeight="1" x14ac:dyDescent="0.15">
      <c r="A31" s="16">
        <f t="shared" si="0"/>
        <v>30</v>
      </c>
      <c r="B31" s="3">
        <f ca="1">IFERROR(__xludf.DUMMYFUNCTION("""COMPUTED_VALUE"""),866)</f>
        <v>866</v>
      </c>
      <c r="C31" s="7" t="str">
        <f ca="1">IFERROR(__xludf.DUMMYFUNCTION("""COMPUTED_VALUE"""),"Derrius Guice")</f>
        <v>Derrius Guice</v>
      </c>
      <c r="D31" s="7" t="str">
        <f ca="1">IFERROR(__xludf.DUMMYFUNCTION("""COMPUTED_VALUE"""),"RB")</f>
        <v>RB</v>
      </c>
      <c r="E31" s="15"/>
      <c r="G31" s="28"/>
      <c r="J31" s="28"/>
      <c r="K31" s="28"/>
      <c r="L31" s="28"/>
      <c r="M31" s="14"/>
      <c r="O31" s="14"/>
    </row>
    <row r="32" spans="1:15" ht="15.75" customHeight="1" x14ac:dyDescent="0.15">
      <c r="A32" s="16">
        <f t="shared" si="0"/>
        <v>31</v>
      </c>
      <c r="B32" s="3">
        <f ca="1">IFERROR(__xludf.DUMMYFUNCTION("""COMPUTED_VALUE"""),240)</f>
        <v>240</v>
      </c>
      <c r="C32" s="3" t="str">
        <f ca="1">IFERROR(__xludf.DUMMYFUNCTION("""COMPUTED_VALUE"""),"Kenyan Drake")</f>
        <v>Kenyan Drake</v>
      </c>
      <c r="D32" s="3" t="str">
        <f ca="1">IFERROR(__xludf.DUMMYFUNCTION("""COMPUTED_VALUE"""),"RB")</f>
        <v>RB</v>
      </c>
      <c r="G32" s="28"/>
    </row>
    <row r="33" spans="1:12" ht="15.75" customHeight="1" x14ac:dyDescent="0.15">
      <c r="A33" s="16">
        <f t="shared" si="0"/>
        <v>32</v>
      </c>
      <c r="B33" s="3">
        <f ca="1">IFERROR(__xludf.DUMMYFUNCTION("""COMPUTED_VALUE"""),7)</f>
        <v>7</v>
      </c>
      <c r="C33" s="3" t="str">
        <f ca="1">IFERROR(__xludf.DUMMYFUNCTION("""COMPUTED_VALUE"""),"Austin Ekeler")</f>
        <v>Austin Ekeler</v>
      </c>
      <c r="D33" s="3" t="str">
        <f ca="1">IFERROR(__xludf.DUMMYFUNCTION("""COMPUTED_VALUE"""),"RB")</f>
        <v>RB</v>
      </c>
      <c r="E33">
        <v>1</v>
      </c>
      <c r="G33" s="28"/>
      <c r="I33" s="79"/>
      <c r="J33" s="17"/>
      <c r="K33" s="17"/>
      <c r="L33" s="17"/>
    </row>
    <row r="34" spans="1:12" ht="15.75" customHeight="1" x14ac:dyDescent="0.15">
      <c r="A34" s="16">
        <f t="shared" si="0"/>
        <v>33</v>
      </c>
      <c r="B34" s="3">
        <f ca="1">IFERROR(__xludf.DUMMYFUNCTION("""COMPUTED_VALUE"""),252)</f>
        <v>252</v>
      </c>
      <c r="C34" s="3" t="str">
        <f ca="1">IFERROR(__xludf.DUMMYFUNCTION("""COMPUTED_VALUE"""),"Latavius Murray")</f>
        <v>Latavius Murray</v>
      </c>
      <c r="D34" s="3" t="str">
        <f ca="1">IFERROR(__xludf.DUMMYFUNCTION("""COMPUTED_VALUE"""),"RB")</f>
        <v>RB</v>
      </c>
      <c r="E34">
        <v>1</v>
      </c>
      <c r="G34" s="28"/>
      <c r="J34" s="28"/>
      <c r="K34" s="28"/>
      <c r="L34" s="28"/>
    </row>
    <row r="35" spans="1:12" ht="15.75" customHeight="1" x14ac:dyDescent="0.15">
      <c r="A35" s="16">
        <f t="shared" si="0"/>
        <v>34</v>
      </c>
      <c r="B35" s="3">
        <f ca="1">IFERROR(__xludf.DUMMYFUNCTION("""COMPUTED_VALUE"""),724)</f>
        <v>724</v>
      </c>
      <c r="C35" s="3" t="str">
        <f ca="1">IFERROR(__xludf.DUMMYFUNCTION("""COMPUTED_VALUE"""),"Devin Singletary")</f>
        <v>Devin Singletary</v>
      </c>
      <c r="D35" s="3" t="str">
        <f ca="1">IFERROR(__xludf.DUMMYFUNCTION("""COMPUTED_VALUE"""),"RB")</f>
        <v>RB</v>
      </c>
      <c r="E35">
        <v>1</v>
      </c>
      <c r="G35" s="28"/>
      <c r="J35" s="28"/>
      <c r="K35" s="28"/>
      <c r="L35" s="28"/>
    </row>
    <row r="36" spans="1:12" ht="15.75" customHeight="1" x14ac:dyDescent="0.15">
      <c r="A36" s="16">
        <f t="shared" si="0"/>
        <v>35</v>
      </c>
      <c r="B36" s="3">
        <f ca="1">IFERROR(__xludf.DUMMYFUNCTION("""COMPUTED_VALUE"""),725)</f>
        <v>725</v>
      </c>
      <c r="C36" s="3" t="str">
        <f ca="1">IFERROR(__xludf.DUMMYFUNCTION("""COMPUTED_VALUE"""),"Darrell Henderson")</f>
        <v>Darrell Henderson</v>
      </c>
      <c r="D36" s="3" t="str">
        <f ca="1">IFERROR(__xludf.DUMMYFUNCTION("""COMPUTED_VALUE"""),"RB")</f>
        <v>RB</v>
      </c>
      <c r="E36">
        <v>1</v>
      </c>
      <c r="G36" s="28"/>
      <c r="J36" s="28"/>
      <c r="K36" s="28"/>
      <c r="L36" s="28"/>
    </row>
    <row r="37" spans="1:12" ht="15.75" customHeight="1" x14ac:dyDescent="0.15">
      <c r="A37" s="16">
        <f t="shared" si="0"/>
        <v>36</v>
      </c>
      <c r="B37" s="3">
        <f ca="1">IFERROR(__xludf.DUMMYFUNCTION("""COMPUTED_VALUE"""),531)</f>
        <v>531</v>
      </c>
      <c r="C37" s="3" t="str">
        <f ca="1">IFERROR(__xludf.DUMMYFUNCTION("""COMPUTED_VALUE"""),"Tarik Cohen")</f>
        <v>Tarik Cohen</v>
      </c>
      <c r="D37" s="3" t="str">
        <f ca="1">IFERROR(__xludf.DUMMYFUNCTION("""COMPUTED_VALUE"""),"RB")</f>
        <v>RB</v>
      </c>
      <c r="E37">
        <v>1</v>
      </c>
      <c r="G37" s="28"/>
    </row>
    <row r="38" spans="1:12" ht="15.75" customHeight="1" x14ac:dyDescent="0.15">
      <c r="A38" s="16">
        <f t="shared" si="0"/>
        <v>37</v>
      </c>
      <c r="B38" s="3">
        <f ca="1">IFERROR(__xludf.DUMMYFUNCTION("""COMPUTED_VALUE"""),65)</f>
        <v>65</v>
      </c>
      <c r="C38" s="3" t="str">
        <f ca="1">IFERROR(__xludf.DUMMYFUNCTION("""COMPUTED_VALUE"""),"Peyton Barber")</f>
        <v>Peyton Barber</v>
      </c>
      <c r="D38" s="3" t="str">
        <f ca="1">IFERROR(__xludf.DUMMYFUNCTION("""COMPUTED_VALUE"""),"RB")</f>
        <v>RB</v>
      </c>
      <c r="E38">
        <v>1</v>
      </c>
    </row>
    <row r="39" spans="1:12" ht="15.75" customHeight="1" x14ac:dyDescent="0.15">
      <c r="A39" s="16">
        <f t="shared" si="0"/>
        <v>38</v>
      </c>
      <c r="B39" s="3">
        <f ca="1">IFERROR(__xludf.DUMMYFUNCTION("""COMPUTED_VALUE"""),561)</f>
        <v>561</v>
      </c>
      <c r="C39" s="3" t="str">
        <f ca="1">IFERROR(__xludf.DUMMYFUNCTION("""COMPUTED_VALUE"""),"Rashaad Penny")</f>
        <v>Rashaad Penny</v>
      </c>
      <c r="D39" s="3" t="str">
        <f ca="1">IFERROR(__xludf.DUMMYFUNCTION("""COMPUTED_VALUE"""),"RB")</f>
        <v>RB</v>
      </c>
      <c r="E39">
        <v>1</v>
      </c>
      <c r="I39" s="62"/>
      <c r="J39" s="62"/>
      <c r="L39" s="62"/>
    </row>
    <row r="40" spans="1:12" ht="15.75" customHeight="1" x14ac:dyDescent="0.15">
      <c r="A40" s="16">
        <f t="shared" si="0"/>
        <v>39</v>
      </c>
      <c r="B40" s="3">
        <f ca="1">IFERROR(__xludf.DUMMYFUNCTION("""COMPUTED_VALUE"""),545)</f>
        <v>545</v>
      </c>
      <c r="C40" s="3" t="str">
        <f ca="1">IFERROR(__xludf.DUMMYFUNCTION("""COMPUTED_VALUE"""),"Royce Freeman")</f>
        <v>Royce Freeman</v>
      </c>
      <c r="D40" s="3" t="str">
        <f ca="1">IFERROR(__xludf.DUMMYFUNCTION("""COMPUTED_VALUE"""),"RB")</f>
        <v>RB</v>
      </c>
    </row>
    <row r="41" spans="1:12" ht="15.75" customHeight="1" x14ac:dyDescent="0.15">
      <c r="A41" s="16">
        <f t="shared" si="0"/>
        <v>40</v>
      </c>
      <c r="B41" s="3">
        <f ca="1">IFERROR(__xludf.DUMMYFUNCTION("""COMPUTED_VALUE"""),160)</f>
        <v>160</v>
      </c>
      <c r="C41" s="3" t="str">
        <f ca="1">IFERROR(__xludf.DUMMYFUNCTION("""COMPUTED_VALUE"""),"Dion Lewis")</f>
        <v>Dion Lewis</v>
      </c>
      <c r="D41" s="3" t="str">
        <f ca="1">IFERROR(__xludf.DUMMYFUNCTION("""COMPUTED_VALUE"""),"RB")</f>
        <v>RB</v>
      </c>
    </row>
    <row r="42" spans="1:12" ht="15.75" customHeight="1" x14ac:dyDescent="0.15">
      <c r="A42" s="16">
        <f t="shared" si="0"/>
        <v>41</v>
      </c>
      <c r="B42" s="3">
        <f ca="1">IFERROR(__xludf.DUMMYFUNCTION("""COMPUTED_VALUE"""),280)</f>
        <v>280</v>
      </c>
      <c r="C42" s="3" t="str">
        <f ca="1">IFERROR(__xludf.DUMMYFUNCTION("""COMPUTED_VALUE"""),"Matt Breida")</f>
        <v>Matt Breida</v>
      </c>
      <c r="D42" s="3" t="str">
        <f ca="1">IFERROR(__xludf.DUMMYFUNCTION("""COMPUTED_VALUE"""),"RB")</f>
        <v>RB</v>
      </c>
      <c r="E42">
        <v>1</v>
      </c>
    </row>
    <row r="43" spans="1:12" ht="15.75" customHeight="1" x14ac:dyDescent="0.15">
      <c r="A43" s="16">
        <f t="shared" si="0"/>
        <v>42</v>
      </c>
      <c r="B43" s="3">
        <f ca="1">IFERROR(__xludf.DUMMYFUNCTION("""COMPUTED_VALUE"""),260)</f>
        <v>260</v>
      </c>
      <c r="C43" s="3" t="str">
        <f ca="1">IFERROR(__xludf.DUMMYFUNCTION("""COMPUTED_VALUE"""),"LeSean McCoy")</f>
        <v>LeSean McCoy</v>
      </c>
      <c r="D43" s="3" t="str">
        <f ca="1">IFERROR(__xludf.DUMMYFUNCTION("""COMPUTED_VALUE"""),"RB")</f>
        <v>RB</v>
      </c>
      <c r="E43">
        <v>1</v>
      </c>
    </row>
    <row r="44" spans="1:12" ht="15.75" customHeight="1" x14ac:dyDescent="0.15">
      <c r="A44" s="16">
        <f t="shared" si="0"/>
        <v>43</v>
      </c>
      <c r="B44" s="3">
        <f ca="1">IFERROR(__xludf.DUMMYFUNCTION("""COMPUTED_VALUE"""),588)</f>
        <v>588</v>
      </c>
      <c r="C44" s="3" t="str">
        <f ca="1">IFERROR(__xludf.DUMMYFUNCTION("""COMPUTED_VALUE"""),"Kalen Ballage")</f>
        <v>Kalen Ballage</v>
      </c>
      <c r="D44" s="3" t="str">
        <f ca="1">IFERROR(__xludf.DUMMYFUNCTION("""COMPUTED_VALUE"""),"RB")</f>
        <v>RB</v>
      </c>
    </row>
    <row r="45" spans="1:12" ht="15.75" customHeight="1" x14ac:dyDescent="0.15">
      <c r="A45" s="16">
        <f t="shared" si="0"/>
        <v>44</v>
      </c>
      <c r="B45" s="3">
        <f ca="1">IFERROR(__xludf.DUMMYFUNCTION("""COMPUTED_VALUE"""),623)</f>
        <v>623</v>
      </c>
      <c r="C45" s="3" t="str">
        <f ca="1">IFERROR(__xludf.DUMMYFUNCTION("""COMPUTED_VALUE"""),"Ronald Jones")</f>
        <v>Ronald Jones</v>
      </c>
      <c r="D45" s="3" t="str">
        <f ca="1">IFERROR(__xludf.DUMMYFUNCTION("""COMPUTED_VALUE"""),"RB")</f>
        <v>RB</v>
      </c>
    </row>
    <row r="46" spans="1:12" ht="15.75" customHeight="1" x14ac:dyDescent="0.15">
      <c r="A46" s="16">
        <f t="shared" si="0"/>
        <v>45</v>
      </c>
      <c r="B46" s="3">
        <f ca="1">IFERROR(__xludf.DUMMYFUNCTION("""COMPUTED_VALUE"""),178)</f>
        <v>178</v>
      </c>
      <c r="C46" s="3" t="str">
        <f ca="1">IFERROR(__xludf.DUMMYFUNCTION("""COMPUTED_VALUE"""),"Giovani Bernard")</f>
        <v>Giovani Bernard</v>
      </c>
      <c r="D46" s="3" t="str">
        <f ca="1">IFERROR(__xludf.DUMMYFUNCTION("""COMPUTED_VALUE"""),"RB")</f>
        <v>RB</v>
      </c>
    </row>
    <row r="47" spans="1:12" ht="15.75" customHeight="1" x14ac:dyDescent="0.15">
      <c r="A47" s="16">
        <f t="shared" si="0"/>
        <v>46</v>
      </c>
      <c r="B47" s="3">
        <f ca="1">IFERROR(__xludf.DUMMYFUNCTION("""COMPUTED_VALUE"""),748)</f>
        <v>748</v>
      </c>
      <c r="C47" s="3" t="str">
        <f ca="1">IFERROR(__xludf.DUMMYFUNCTION("""COMPUTED_VALUE"""),"Tony Pollard")</f>
        <v>Tony Pollard</v>
      </c>
      <c r="D47" s="3" t="str">
        <f ca="1">IFERROR(__xludf.DUMMYFUNCTION("""COMPUTED_VALUE"""),"RB")</f>
        <v>RB</v>
      </c>
    </row>
    <row r="48" spans="1:12" ht="15.75" customHeight="1" x14ac:dyDescent="0.15">
      <c r="A48" s="16">
        <f t="shared" si="0"/>
        <v>47</v>
      </c>
      <c r="B48" s="3">
        <f ca="1">IFERROR(__xludf.DUMMYFUNCTION("""COMPUTED_VALUE"""),127)</f>
        <v>127</v>
      </c>
      <c r="C48" s="3" t="str">
        <f ca="1">IFERROR(__xludf.DUMMYFUNCTION("""COMPUTED_VALUE"""),"Chris Thompson")</f>
        <v>Chris Thompson</v>
      </c>
      <c r="D48" s="3" t="str">
        <f ca="1">IFERROR(__xludf.DUMMYFUNCTION("""COMPUTED_VALUE"""),"RB")</f>
        <v>RB</v>
      </c>
    </row>
    <row r="49" spans="1:5" ht="15.75" customHeight="1" x14ac:dyDescent="0.15">
      <c r="A49" s="16">
        <f t="shared" si="0"/>
        <v>48</v>
      </c>
      <c r="B49" s="3">
        <f ca="1">IFERROR(__xludf.DUMMYFUNCTION("""COMPUTED_VALUE"""),568)</f>
        <v>568</v>
      </c>
      <c r="C49" s="3" t="str">
        <f ca="1">IFERROR(__xludf.DUMMYFUNCTION("""COMPUTED_VALUE"""),"Justin Jackson")</f>
        <v>Justin Jackson</v>
      </c>
      <c r="D49" s="3" t="str">
        <f ca="1">IFERROR(__xludf.DUMMYFUNCTION("""COMPUTED_VALUE"""),"RB")</f>
        <v>RB</v>
      </c>
    </row>
    <row r="50" spans="1:5" ht="15.75" customHeight="1" x14ac:dyDescent="0.15">
      <c r="A50" s="16">
        <f t="shared" si="0"/>
        <v>49</v>
      </c>
      <c r="B50" s="3">
        <f ca="1">IFERROR(__xludf.DUMMYFUNCTION("""COMPUTED_VALUE"""),730)</f>
        <v>730</v>
      </c>
      <c r="C50" s="3" t="str">
        <f ca="1">IFERROR(__xludf.DUMMYFUNCTION("""COMPUTED_VALUE"""),"Justice Hill")</f>
        <v>Justice Hill</v>
      </c>
      <c r="D50" s="3" t="str">
        <f ca="1">IFERROR(__xludf.DUMMYFUNCTION("""COMPUTED_VALUE"""),"RB")</f>
        <v>RB</v>
      </c>
    </row>
    <row r="51" spans="1:5" ht="15.75" customHeight="1" x14ac:dyDescent="0.15">
      <c r="A51" s="16">
        <f t="shared" si="0"/>
        <v>50</v>
      </c>
      <c r="B51" s="3">
        <f ca="1">IFERROR(__xludf.DUMMYFUNCTION("""COMPUTED_VALUE"""),738)</f>
        <v>738</v>
      </c>
      <c r="C51" s="3" t="str">
        <f ca="1">IFERROR(__xludf.DUMMYFUNCTION("""COMPUTED_VALUE"""),"Alexander Mattison")</f>
        <v>Alexander Mattison</v>
      </c>
      <c r="D51" s="3" t="str">
        <f ca="1">IFERROR(__xludf.DUMMYFUNCTION("""COMPUTED_VALUE"""),"RB")</f>
        <v>RB</v>
      </c>
    </row>
    <row r="52" spans="1:5" ht="15.75" customHeight="1" x14ac:dyDescent="0.15">
      <c r="A52" s="16">
        <f t="shared" si="0"/>
        <v>51</v>
      </c>
      <c r="B52" s="3">
        <f ca="1">IFERROR(__xludf.DUMMYFUNCTION("""COMPUTED_VALUE"""),116)</f>
        <v>116</v>
      </c>
      <c r="C52" s="3" t="str">
        <f ca="1">IFERROR(__xludf.DUMMYFUNCTION("""COMPUTED_VALUE"""),"C.J. Anderson")</f>
        <v>C.J. Anderson</v>
      </c>
      <c r="D52" s="3" t="str">
        <f ca="1">IFERROR(__xludf.DUMMYFUNCTION("""COMPUTED_VALUE"""),"RB")</f>
        <v>RB</v>
      </c>
    </row>
    <row r="53" spans="1:5" ht="15.75" customHeight="1" x14ac:dyDescent="0.15">
      <c r="A53" s="16">
        <f t="shared" si="0"/>
        <v>52</v>
      </c>
      <c r="B53" s="3">
        <f ca="1">IFERROR(__xludf.DUMMYFUNCTION("""COMPUTED_VALUE"""),86)</f>
        <v>86</v>
      </c>
      <c r="C53" s="3" t="str">
        <f ca="1">IFERROR(__xludf.DUMMYFUNCTION("""COMPUTED_VALUE"""),"Adrian Peterson")</f>
        <v>Adrian Peterson</v>
      </c>
      <c r="D53" s="3" t="str">
        <f ca="1">IFERROR(__xludf.DUMMYFUNCTION("""COMPUTED_VALUE"""),"RB")</f>
        <v>RB</v>
      </c>
      <c r="E53">
        <v>1</v>
      </c>
    </row>
    <row r="54" spans="1:5" ht="15.75" customHeight="1" x14ac:dyDescent="0.15">
      <c r="A54" s="16">
        <f t="shared" si="0"/>
        <v>53</v>
      </c>
      <c r="B54" s="3">
        <f ca="1">IFERROR(__xludf.DUMMYFUNCTION("""COMPUTED_VALUE"""),211)</f>
        <v>211</v>
      </c>
      <c r="C54" s="3" t="str">
        <f ca="1">IFERROR(__xludf.DUMMYFUNCTION("""COMPUTED_VALUE"""),"Jordan Howard")</f>
        <v>Jordan Howard</v>
      </c>
      <c r="D54" s="3" t="str">
        <f ca="1">IFERROR(__xludf.DUMMYFUNCTION("""COMPUTED_VALUE"""),"RB")</f>
        <v>RB</v>
      </c>
      <c r="E54">
        <v>1</v>
      </c>
    </row>
    <row r="55" spans="1:5" ht="15.75" customHeight="1" x14ac:dyDescent="0.15">
      <c r="A55" s="16">
        <f t="shared" si="0"/>
        <v>54</v>
      </c>
      <c r="B55" s="3">
        <f ca="1">IFERROR(__xludf.DUMMYFUNCTION("""COMPUTED_VALUE"""),726)</f>
        <v>726</v>
      </c>
      <c r="C55" s="3" t="str">
        <f ca="1">IFERROR(__xludf.DUMMYFUNCTION("""COMPUTED_VALUE"""),"Damien Harris")</f>
        <v>Damien Harris</v>
      </c>
      <c r="D55" s="3" t="str">
        <f ca="1">IFERROR(__xludf.DUMMYFUNCTION("""COMPUTED_VALUE"""),"RB")</f>
        <v>RB</v>
      </c>
    </row>
    <row r="56" spans="1:5" ht="15.75" customHeight="1" x14ac:dyDescent="0.15">
      <c r="A56" s="16">
        <f t="shared" si="0"/>
        <v>55</v>
      </c>
      <c r="B56" s="3">
        <f ca="1">IFERROR(__xludf.DUMMYFUNCTION("""COMPUTED_VALUE"""),541)</f>
        <v>541</v>
      </c>
      <c r="C56" s="3" t="str">
        <f ca="1">IFERROR(__xludf.DUMMYFUNCTION("""COMPUTED_VALUE"""),"Nyheim Hines")</f>
        <v>Nyheim Hines</v>
      </c>
      <c r="D56" s="3" t="str">
        <f ca="1">IFERROR(__xludf.DUMMYFUNCTION("""COMPUTED_VALUE"""),"RB")</f>
        <v>RB</v>
      </c>
    </row>
    <row r="57" spans="1:5" ht="15.75" customHeight="1" x14ac:dyDescent="0.15">
      <c r="A57" s="16">
        <f t="shared" si="0"/>
        <v>56</v>
      </c>
      <c r="B57" s="3">
        <f ca="1">IFERROR(__xludf.DUMMYFUNCTION("""COMPUTED_VALUE"""),177)</f>
        <v>177</v>
      </c>
      <c r="C57" s="3" t="str">
        <f ca="1">IFERROR(__xludf.DUMMYFUNCTION("""COMPUTED_VALUE"""),"Frank Gore")</f>
        <v>Frank Gore</v>
      </c>
      <c r="D57" s="3" t="str">
        <f ca="1">IFERROR(__xludf.DUMMYFUNCTION("""COMPUTED_VALUE"""),"RB")</f>
        <v>RB</v>
      </c>
      <c r="E57">
        <v>1</v>
      </c>
    </row>
    <row r="58" spans="1:5" ht="15.75" customHeight="1" x14ac:dyDescent="0.15">
      <c r="A58" s="16">
        <f t="shared" si="0"/>
        <v>57</v>
      </c>
      <c r="B58" s="3">
        <f ca="1">IFERROR(__xludf.DUMMYFUNCTION("""COMPUTED_VALUE"""),295)</f>
        <v>295</v>
      </c>
      <c r="C58" s="3" t="str">
        <f ca="1">IFERROR(__xludf.DUMMYFUNCTION("""COMPUTED_VALUE"""),"Mike Davis")</f>
        <v>Mike Davis</v>
      </c>
      <c r="D58" s="3" t="str">
        <f ca="1">IFERROR(__xludf.DUMMYFUNCTION("""COMPUTED_VALUE"""),"RB")</f>
        <v>RB</v>
      </c>
    </row>
    <row r="59" spans="1:5" ht="13" x14ac:dyDescent="0.15">
      <c r="A59" s="16">
        <f t="shared" si="0"/>
        <v>58</v>
      </c>
      <c r="B59" s="3">
        <f ca="1">IFERROR(__xludf.DUMMYFUNCTION("""COMPUTED_VALUE"""),61)</f>
        <v>61</v>
      </c>
      <c r="C59" s="3" t="str">
        <f ca="1">IFERROR(__xludf.DUMMYFUNCTION("""COMPUTED_VALUE"""),"Malcolm Brown")</f>
        <v>Malcolm Brown</v>
      </c>
      <c r="D59" s="3" t="str">
        <f ca="1">IFERROR(__xludf.DUMMYFUNCTION("""COMPUTED_VALUE"""),"RB")</f>
        <v>RB</v>
      </c>
    </row>
    <row r="60" spans="1:5" ht="13" x14ac:dyDescent="0.15">
      <c r="A60" s="16">
        <f t="shared" si="0"/>
        <v>59</v>
      </c>
      <c r="B60" s="3">
        <f ca="1">IFERROR(__xludf.DUMMYFUNCTION("""COMPUTED_VALUE"""),560)</f>
        <v>560</v>
      </c>
      <c r="C60" s="3" t="str">
        <f ca="1">IFERROR(__xludf.DUMMYFUNCTION("""COMPUTED_VALUE"""),"Jaylen Samuels")</f>
        <v>Jaylen Samuels</v>
      </c>
      <c r="D60" s="3" t="str">
        <f ca="1">IFERROR(__xludf.DUMMYFUNCTION("""COMPUTED_VALUE"""),"RB")</f>
        <v>RB</v>
      </c>
      <c r="E60">
        <v>1</v>
      </c>
    </row>
    <row r="61" spans="1:5" ht="13" x14ac:dyDescent="0.15">
      <c r="A61" s="16">
        <f t="shared" si="0"/>
        <v>60</v>
      </c>
      <c r="B61" s="3">
        <f ca="1">IFERROR(__xludf.DUMMYFUNCTION("""COMPUTED_VALUE"""),574)</f>
        <v>574</v>
      </c>
      <c r="C61" s="3" t="str">
        <f ca="1">IFERROR(__xludf.DUMMYFUNCTION("""COMPUTED_VALUE"""),"Chase Edmonds")</f>
        <v>Chase Edmonds</v>
      </c>
      <c r="D61" s="3" t="str">
        <f ca="1">IFERROR(__xludf.DUMMYFUNCTION("""COMPUTED_VALUE"""),"RB")</f>
        <v>RB</v>
      </c>
      <c r="E61">
        <v>1</v>
      </c>
    </row>
    <row r="62" spans="1:5" ht="13" x14ac:dyDescent="0.15">
      <c r="A62" s="16">
        <f t="shared" si="0"/>
        <v>61</v>
      </c>
      <c r="B62" s="3">
        <f ca="1">IFERROR(__xludf.DUMMYFUNCTION("""COMPUTED_VALUE"""),49)</f>
        <v>49</v>
      </c>
      <c r="C62" s="3" t="str">
        <f ca="1">IFERROR(__xludf.DUMMYFUNCTION("""COMPUTED_VALUE"""),"Jalen Richard")</f>
        <v>Jalen Richard</v>
      </c>
      <c r="D62" s="3" t="str">
        <f ca="1">IFERROR(__xludf.DUMMYFUNCTION("""COMPUTED_VALUE"""),"RB")</f>
        <v>RB</v>
      </c>
    </row>
    <row r="63" spans="1:5" ht="13" x14ac:dyDescent="0.15">
      <c r="A63" s="16">
        <f t="shared" si="0"/>
        <v>62</v>
      </c>
      <c r="B63" s="3">
        <f ca="1">IFERROR(__xludf.DUMMYFUNCTION("""COMPUTED_VALUE"""),228)</f>
        <v>228</v>
      </c>
      <c r="C63" s="3" t="str">
        <f ca="1">IFERROR(__xludf.DUMMYFUNCTION("""COMPUTED_VALUE"""),"Kareem Hunt")</f>
        <v>Kareem Hunt</v>
      </c>
      <c r="D63" s="3" t="str">
        <f ca="1">IFERROR(__xludf.DUMMYFUNCTION("""COMPUTED_VALUE"""),"RB")</f>
        <v>RB</v>
      </c>
      <c r="E63">
        <v>1</v>
      </c>
    </row>
    <row r="64" spans="1:5" ht="13" x14ac:dyDescent="0.15">
      <c r="A64" s="16">
        <f t="shared" si="0"/>
        <v>63</v>
      </c>
      <c r="B64" s="3">
        <f ca="1">IFERROR(__xludf.DUMMYFUNCTION("""COMPUTED_VALUE"""),187)</f>
        <v>187</v>
      </c>
      <c r="C64" s="3" t="str">
        <f ca="1">IFERROR(__xludf.DUMMYFUNCTION("""COMPUTED_VALUE"""),"Jamaal Williams")</f>
        <v>Jamaal Williams</v>
      </c>
      <c r="D64" s="3" t="str">
        <f ca="1">IFERROR(__xludf.DUMMYFUNCTION("""COMPUTED_VALUE"""),"RB")</f>
        <v>RB</v>
      </c>
      <c r="E64">
        <v>1</v>
      </c>
    </row>
    <row r="65" spans="1:5" ht="13" x14ac:dyDescent="0.15">
      <c r="A65" s="16">
        <f t="shared" si="0"/>
        <v>64</v>
      </c>
      <c r="B65" s="3">
        <f ca="1">IFERROR(__xludf.DUMMYFUNCTION("""COMPUTED_VALUE"""),749)</f>
        <v>749</v>
      </c>
      <c r="C65" s="3" t="str">
        <f ca="1">IFERROR(__xludf.DUMMYFUNCTION("""COMPUTED_VALUE"""),"Darwin Thompson")</f>
        <v>Darwin Thompson</v>
      </c>
      <c r="D65" s="3" t="str">
        <f ca="1">IFERROR(__xludf.DUMMYFUNCTION("""COMPUTED_VALUE"""),"RB")</f>
        <v>RB</v>
      </c>
    </row>
    <row r="66" spans="1:5" ht="13" x14ac:dyDescent="0.15">
      <c r="A66" s="16">
        <f t="shared" si="0"/>
        <v>65</v>
      </c>
      <c r="B66" s="3">
        <f ca="1">IFERROR(__xludf.DUMMYFUNCTION("""COMPUTED_VALUE"""),557)</f>
        <v>557</v>
      </c>
      <c r="C66" s="3" t="str">
        <f ca="1">IFERROR(__xludf.DUMMYFUNCTION("""COMPUTED_VALUE"""),"Ito Smith")</f>
        <v>Ito Smith</v>
      </c>
      <c r="D66" s="3" t="str">
        <f ca="1">IFERROR(__xludf.DUMMYFUNCTION("""COMPUTED_VALUE"""),"RB")</f>
        <v>RB</v>
      </c>
    </row>
    <row r="67" spans="1:5" ht="13" x14ac:dyDescent="0.15">
      <c r="A67" s="16">
        <f t="shared" si="0"/>
        <v>66</v>
      </c>
      <c r="B67" s="3">
        <f ca="1">IFERROR(__xludf.DUMMYFUNCTION("""COMPUTED_VALUE"""),423)</f>
        <v>423</v>
      </c>
      <c r="C67" s="3" t="str">
        <f ca="1">IFERROR(__xludf.DUMMYFUNCTION("""COMPUTED_VALUE"""),"Ty Montgomery")</f>
        <v>Ty Montgomery</v>
      </c>
      <c r="D67" s="3" t="str">
        <f ca="1">IFERROR(__xludf.DUMMYFUNCTION("""COMPUTED_VALUE"""),"RB")</f>
        <v>RB</v>
      </c>
    </row>
    <row r="68" spans="1:5" ht="13" x14ac:dyDescent="0.15">
      <c r="A68" s="16">
        <f t="shared" ref="A68:A76" si="1">+A67+1</f>
        <v>67</v>
      </c>
      <c r="B68" s="3">
        <f ca="1">IFERROR(__xludf.DUMMYFUNCTION("""COMPUTED_VALUE"""),373)</f>
        <v>373</v>
      </c>
      <c r="C68" s="3" t="str">
        <f ca="1">IFERROR(__xludf.DUMMYFUNCTION("""COMPUTED_VALUE"""),"T.J. Yeldon")</f>
        <v>T.J. Yeldon</v>
      </c>
      <c r="D68" s="3" t="str">
        <f ca="1">IFERROR(__xludf.DUMMYFUNCTION("""COMPUTED_VALUE"""),"RB")</f>
        <v>RB</v>
      </c>
    </row>
    <row r="69" spans="1:5" ht="13" x14ac:dyDescent="0.15">
      <c r="A69" s="16">
        <f t="shared" si="1"/>
        <v>68</v>
      </c>
      <c r="B69" s="3">
        <f ca="1">IFERROR(__xludf.DUMMYFUNCTION("""COMPUTED_VALUE"""),747)</f>
        <v>747</v>
      </c>
      <c r="C69" s="3" t="str">
        <f ca="1">IFERROR(__xludf.DUMMYFUNCTION("""COMPUTED_VALUE"""),"Ryquell Armstead")</f>
        <v>Ryquell Armstead</v>
      </c>
      <c r="D69" s="3" t="str">
        <f ca="1">IFERROR(__xludf.DUMMYFUNCTION("""COMPUTED_VALUE"""),"RB")</f>
        <v>RB</v>
      </c>
    </row>
    <row r="70" spans="1:5" ht="13" x14ac:dyDescent="0.15">
      <c r="A70" s="16">
        <f t="shared" si="1"/>
        <v>69</v>
      </c>
      <c r="B70" s="3">
        <f ca="1">IFERROR(__xludf.DUMMYFUNCTION("""COMPUTED_VALUE"""),120)</f>
        <v>120</v>
      </c>
      <c r="C70" s="3" t="str">
        <f ca="1">IFERROR(__xludf.DUMMYFUNCTION("""COMPUTED_VALUE"""),"Carlos Hyde")</f>
        <v>Carlos Hyde</v>
      </c>
      <c r="D70" s="3" t="str">
        <f ca="1">IFERROR(__xludf.DUMMYFUNCTION("""COMPUTED_VALUE"""),"RB")</f>
        <v>RB</v>
      </c>
      <c r="E70">
        <v>1</v>
      </c>
    </row>
    <row r="71" spans="1:5" ht="13" x14ac:dyDescent="0.15">
      <c r="A71" s="16">
        <f t="shared" si="1"/>
        <v>70</v>
      </c>
      <c r="B71" s="3">
        <f ca="1">IFERROR(__xludf.DUMMYFUNCTION("""COMPUTED_VALUE"""),638)</f>
        <v>638</v>
      </c>
      <c r="C71" s="3" t="str">
        <f ca="1">IFERROR(__xludf.DUMMYFUNCTION("""COMPUTED_VALUE"""),"Dontrell Hilliard")</f>
        <v>Dontrell Hilliard</v>
      </c>
      <c r="D71" s="3" t="str">
        <f ca="1">IFERROR(__xludf.DUMMYFUNCTION("""COMPUTED_VALUE"""),"RB")</f>
        <v>RB</v>
      </c>
    </row>
    <row r="72" spans="1:5" ht="13" x14ac:dyDescent="0.15">
      <c r="A72" s="16">
        <f t="shared" si="1"/>
        <v>71</v>
      </c>
      <c r="B72" s="3">
        <f ca="1">IFERROR(__xludf.DUMMYFUNCTION("""COMPUTED_VALUE"""),417)</f>
        <v>417</v>
      </c>
      <c r="C72" s="3" t="str">
        <f ca="1">IFERROR(__xludf.DUMMYFUNCTION("""COMPUTED_VALUE"""),"Brian Hill")</f>
        <v>Brian Hill</v>
      </c>
      <c r="D72" s="3" t="str">
        <f ca="1">IFERROR(__xludf.DUMMYFUNCTION("""COMPUTED_VALUE"""),"RB")</f>
        <v>RB</v>
      </c>
    </row>
    <row r="73" spans="1:5" ht="13" x14ac:dyDescent="0.15">
      <c r="A73" s="16">
        <f t="shared" si="1"/>
        <v>72</v>
      </c>
      <c r="B73" s="3">
        <f ca="1">IFERROR(__xludf.DUMMYFUNCTION("""COMPUTED_VALUE"""),544)</f>
        <v>544</v>
      </c>
      <c r="C73" s="3" t="str">
        <f ca="1">IFERROR(__xludf.DUMMYFUNCTION("""COMPUTED_VALUE"""),"Gus Edwards")</f>
        <v>Gus Edwards</v>
      </c>
      <c r="D73" s="3" t="str">
        <f ca="1">IFERROR(__xludf.DUMMYFUNCTION("""COMPUTED_VALUE"""),"RB")</f>
        <v>RB</v>
      </c>
    </row>
    <row r="74" spans="1:5" ht="13" x14ac:dyDescent="0.15">
      <c r="A74" s="16">
        <f t="shared" si="1"/>
        <v>73</v>
      </c>
      <c r="B74" s="3">
        <f ca="1">IFERROR(__xludf.DUMMYFUNCTION("""COMPUTED_VALUE"""),31)</f>
        <v>31</v>
      </c>
      <c r="C74" s="3" t="str">
        <f ca="1">IFERROR(__xludf.DUMMYFUNCTION("""COMPUTED_VALUE"""),"Darren Sproles")</f>
        <v>Darren Sproles</v>
      </c>
      <c r="D74" s="3" t="str">
        <f ca="1">IFERROR(__xludf.DUMMYFUNCTION("""COMPUTED_VALUE"""),"RB")</f>
        <v>RB</v>
      </c>
      <c r="E74">
        <v>1</v>
      </c>
    </row>
    <row r="75" spans="1:5" ht="13" x14ac:dyDescent="0.15">
      <c r="A75" s="16">
        <f t="shared" si="1"/>
        <v>74</v>
      </c>
      <c r="B75" s="3">
        <f ca="1">IFERROR(__xludf.DUMMYFUNCTION("""COMPUTED_VALUE"""),505)</f>
        <v>505</v>
      </c>
      <c r="C75" s="3" t="str">
        <f ca="1">IFERROR(__xludf.DUMMYFUNCTION("""COMPUTED_VALUE"""),"Raheem Mostert")</f>
        <v>Raheem Mostert</v>
      </c>
      <c r="D75" s="3" t="str">
        <f ca="1">IFERROR(__xludf.DUMMYFUNCTION("""COMPUTED_VALUE"""),"RB")</f>
        <v>RB</v>
      </c>
    </row>
    <row r="76" spans="1:5" ht="13" x14ac:dyDescent="0.15">
      <c r="A76" s="16">
        <f t="shared" si="1"/>
        <v>75</v>
      </c>
      <c r="B76" s="3">
        <f ca="1">IFERROR(__xludf.DUMMYFUNCTION("""COMPUTED_VALUE"""),629)</f>
        <v>629</v>
      </c>
      <c r="C76" s="3" t="str">
        <f ca="1">IFERROR(__xludf.DUMMYFUNCTION("""COMPUTED_VALUE"""),"Darrel Williams")</f>
        <v>Darrel Williams</v>
      </c>
      <c r="D76" s="3" t="str">
        <f ca="1">IFERROR(__xludf.DUMMYFUNCTION("""COMPUTED_VALUE"""),"RB")</f>
        <v>RB</v>
      </c>
      <c r="E76">
        <v>1</v>
      </c>
    </row>
    <row r="77" spans="1:5" ht="13" x14ac:dyDescent="0.15">
      <c r="A77" s="16"/>
      <c r="B77" s="3">
        <f ca="1">IFERROR(__xludf.DUMMYFUNCTION("""COMPUTED_VALUE"""),435)</f>
        <v>435</v>
      </c>
      <c r="C77" s="3" t="str">
        <f ca="1">IFERROR(__xludf.DUMMYFUNCTION("""COMPUTED_VALUE"""),"Wayne Gallman")</f>
        <v>Wayne Gallman</v>
      </c>
      <c r="D77" s="3" t="str">
        <f ca="1">IFERROR(__xludf.DUMMYFUNCTION("""COMPUTED_VALUE"""),"RB")</f>
        <v>RB</v>
      </c>
      <c r="E77">
        <v>1</v>
      </c>
    </row>
    <row r="78" spans="1:5" ht="13" x14ac:dyDescent="0.15">
      <c r="A78" s="16"/>
      <c r="B78" s="3"/>
      <c r="C78" s="3"/>
      <c r="D78" s="3"/>
    </row>
    <row r="79" spans="1:5" ht="13" x14ac:dyDescent="0.15">
      <c r="A79" s="18"/>
      <c r="B79" s="12">
        <f ca="1">IFERROR(__xludf.DUMMYFUNCTION("FILTER(All_Players!A2:C866, All_Players!C2:All_Players!C866= ""RB"")"),3)</f>
        <v>3</v>
      </c>
      <c r="C79" s="12" t="str">
        <f ca="1">IFERROR(__xludf.DUMMYFUNCTION("""COMPUTED_VALUE"""),"Alfred Blue")</f>
        <v>Alfred Blue</v>
      </c>
      <c r="D79" s="12" t="str">
        <f ca="1">IFERROR(__xludf.DUMMYFUNCTION("""COMPUTED_VALUE"""),"RB")</f>
        <v>RB</v>
      </c>
    </row>
    <row r="80" spans="1:5" ht="13" x14ac:dyDescent="0.15">
      <c r="A80" s="16"/>
      <c r="B80" s="3">
        <f ca="1">IFERROR(__xludf.DUMMYFUNCTION("""COMPUTED_VALUE"""),4)</f>
        <v>4</v>
      </c>
      <c r="C80" s="3" t="str">
        <f ca="1">IFERROR(__xludf.DUMMYFUNCTION("""COMPUTED_VALUE"""),"Alfred Morris")</f>
        <v>Alfred Morris</v>
      </c>
      <c r="D80" s="3" t="str">
        <f ca="1">IFERROR(__xludf.DUMMYFUNCTION("""COMPUTED_VALUE"""),"RB")</f>
        <v>RB</v>
      </c>
    </row>
    <row r="81" spans="1:4" ht="13" x14ac:dyDescent="0.15">
      <c r="A81" s="16"/>
      <c r="B81" s="3">
        <f ca="1">IFERROR(__xludf.DUMMYFUNCTION("""COMPUTED_VALUE"""),5)</f>
        <v>5</v>
      </c>
      <c r="C81" s="3" t="str">
        <f ca="1">IFERROR(__xludf.DUMMYFUNCTION("""COMPUTED_VALUE"""),"Andre Ellington")</f>
        <v>Andre Ellington</v>
      </c>
      <c r="D81" s="3" t="str">
        <f ca="1">IFERROR(__xludf.DUMMYFUNCTION("""COMPUTED_VALUE"""),"RB")</f>
        <v>RB</v>
      </c>
    </row>
    <row r="82" spans="1:4" ht="13" x14ac:dyDescent="0.15">
      <c r="A82" s="16"/>
      <c r="B82" s="3">
        <f ca="1">IFERROR(__xludf.DUMMYFUNCTION("""COMPUTED_VALUE"""),16)</f>
        <v>16</v>
      </c>
      <c r="C82" s="3" t="str">
        <f ca="1">IFERROR(__xludf.DUMMYFUNCTION("""COMPUTED_VALUE"""),"Charcandrick West")</f>
        <v>Charcandrick West</v>
      </c>
      <c r="D82" s="3" t="str">
        <f ca="1">IFERROR(__xludf.DUMMYFUNCTION("""COMPUTED_VALUE"""),"RB")</f>
        <v>RB</v>
      </c>
    </row>
    <row r="83" spans="1:4" ht="13" x14ac:dyDescent="0.15">
      <c r="A83" s="16"/>
      <c r="B83" s="3">
        <f ca="1">IFERROR(__xludf.DUMMYFUNCTION("""COMPUTED_VALUE"""),20)</f>
        <v>20</v>
      </c>
      <c r="C83" s="3" t="str">
        <f ca="1">IFERROR(__xludf.DUMMYFUNCTION("""COMPUTED_VALUE"""),"Chris Ivory")</f>
        <v>Chris Ivory</v>
      </c>
      <c r="D83" s="3" t="str">
        <f ca="1">IFERROR(__xludf.DUMMYFUNCTION("""COMPUTED_VALUE"""),"RB")</f>
        <v>RB</v>
      </c>
    </row>
    <row r="84" spans="1:4" ht="13" x14ac:dyDescent="0.15">
      <c r="A84" s="16"/>
      <c r="B84" s="3">
        <f ca="1">IFERROR(__xludf.DUMMYFUNCTION("""COMPUTED_VALUE"""),21)</f>
        <v>21</v>
      </c>
      <c r="C84" s="3" t="str">
        <f ca="1">IFERROR(__xludf.DUMMYFUNCTION("""COMPUTED_VALUE"""),"Chris Johnson")</f>
        <v>Chris Johnson</v>
      </c>
      <c r="D84" s="3" t="str">
        <f ca="1">IFERROR(__xludf.DUMMYFUNCTION("""COMPUTED_VALUE"""),"RB")</f>
        <v>RB</v>
      </c>
    </row>
    <row r="85" spans="1:4" ht="13" x14ac:dyDescent="0.15">
      <c r="A85" s="16"/>
      <c r="B85" s="3">
        <f ca="1">IFERROR(__xludf.DUMMYFUNCTION("""COMPUTED_VALUE"""),30)</f>
        <v>30</v>
      </c>
      <c r="C85" s="3" t="str">
        <f ca="1">IFERROR(__xludf.DUMMYFUNCTION("""COMPUTED_VALUE"""),"Danny Woodhead")</f>
        <v>Danny Woodhead</v>
      </c>
      <c r="D85" s="3" t="str">
        <f ca="1">IFERROR(__xludf.DUMMYFUNCTION("""COMPUTED_VALUE"""),"RB")</f>
        <v>RB</v>
      </c>
    </row>
    <row r="86" spans="1:4" ht="13" x14ac:dyDescent="0.15">
      <c r="A86" s="16"/>
      <c r="B86" s="3">
        <f ca="1">IFERROR(__xludf.DUMMYFUNCTION("""COMPUTED_VALUE"""),33)</f>
        <v>33</v>
      </c>
      <c r="C86" s="3" t="str">
        <f ca="1">IFERROR(__xludf.DUMMYFUNCTION("""COMPUTED_VALUE"""),"DeAndre Washington")</f>
        <v>DeAndre Washington</v>
      </c>
      <c r="D86" s="3" t="str">
        <f ca="1">IFERROR(__xludf.DUMMYFUNCTION("""COMPUTED_VALUE"""),"RB")</f>
        <v>RB</v>
      </c>
    </row>
    <row r="87" spans="1:4" ht="13" x14ac:dyDescent="0.15">
      <c r="A87" s="16"/>
      <c r="B87" s="3">
        <f ca="1">IFERROR(__xludf.DUMMYFUNCTION("""COMPUTED_VALUE"""),35)</f>
        <v>35</v>
      </c>
      <c r="C87" s="3" t="str">
        <f ca="1">IFERROR(__xludf.DUMMYFUNCTION("""COMPUTED_VALUE"""),"Devontae Booker")</f>
        <v>Devontae Booker</v>
      </c>
      <c r="D87" s="3" t="str">
        <f ca="1">IFERROR(__xludf.DUMMYFUNCTION("""COMPUTED_VALUE"""),"RB")</f>
        <v>RB</v>
      </c>
    </row>
    <row r="88" spans="1:4" ht="13" x14ac:dyDescent="0.15">
      <c r="A88" s="16"/>
      <c r="B88" s="3">
        <f ca="1">IFERROR(__xludf.DUMMYFUNCTION("""COMPUTED_VALUE"""),39)</f>
        <v>39</v>
      </c>
      <c r="C88" s="3" t="str">
        <f ca="1">IFERROR(__xludf.DUMMYFUNCTION("""COMPUTED_VALUE"""),"Elijah McGuire")</f>
        <v>Elijah McGuire</v>
      </c>
      <c r="D88" s="3" t="str">
        <f ca="1">IFERROR(__xludf.DUMMYFUNCTION("""COMPUTED_VALUE"""),"RB")</f>
        <v>RB</v>
      </c>
    </row>
    <row r="89" spans="1:4" ht="13" x14ac:dyDescent="0.15">
      <c r="A89" s="16"/>
      <c r="B89" s="3">
        <f ca="1">IFERROR(__xludf.DUMMYFUNCTION("""COMPUTED_VALUE"""),47)</f>
        <v>47</v>
      </c>
      <c r="C89" s="3" t="str">
        <f ca="1">IFERROR(__xludf.DUMMYFUNCTION("""COMPUTED_VALUE"""),"J.D. McKissic")</f>
        <v>J.D. McKissic</v>
      </c>
      <c r="D89" s="3" t="str">
        <f ca="1">IFERROR(__xludf.DUMMYFUNCTION("""COMPUTED_VALUE"""),"RB")</f>
        <v>RB</v>
      </c>
    </row>
    <row r="90" spans="1:4" ht="13" x14ac:dyDescent="0.15">
      <c r="A90" s="16"/>
      <c r="B90" s="3">
        <f ca="1">IFERROR(__xludf.DUMMYFUNCTION("""COMPUTED_VALUE"""),50)</f>
        <v>50</v>
      </c>
      <c r="C90" s="3" t="str">
        <f ca="1">IFERROR(__xludf.DUMMYFUNCTION("""COMPUTED_VALUE"""),"Jamaal Charles")</f>
        <v>Jamaal Charles</v>
      </c>
      <c r="D90" s="3" t="str">
        <f ca="1">IFERROR(__xludf.DUMMYFUNCTION("""COMPUTED_VALUE"""),"RB")</f>
        <v>RB</v>
      </c>
    </row>
    <row r="91" spans="1:4" ht="13" x14ac:dyDescent="0.15">
      <c r="A91" s="16"/>
      <c r="B91" s="3">
        <f ca="1">IFERROR(__xludf.DUMMYFUNCTION("""COMPUTED_VALUE"""),60)</f>
        <v>60</v>
      </c>
      <c r="C91" s="3" t="str">
        <f ca="1">IFERROR(__xludf.DUMMYFUNCTION("""COMPUTED_VALUE"""),"Kerwynn Williams")</f>
        <v>Kerwynn Williams</v>
      </c>
      <c r="D91" s="3" t="str">
        <f ca="1">IFERROR(__xludf.DUMMYFUNCTION("""COMPUTED_VALUE"""),"RB")</f>
        <v>RB</v>
      </c>
    </row>
    <row r="92" spans="1:4" ht="13" x14ac:dyDescent="0.15">
      <c r="A92" s="16"/>
      <c r="B92" s="3">
        <f ca="1">IFERROR(__xludf.DUMMYFUNCTION("""COMPUTED_VALUE"""),64)</f>
        <v>64</v>
      </c>
      <c r="C92" s="3" t="str">
        <f ca="1">IFERROR(__xludf.DUMMYFUNCTION("""COMPUTED_VALUE"""),"Mike Tolbert")</f>
        <v>Mike Tolbert</v>
      </c>
      <c r="D92" s="3" t="str">
        <f ca="1">IFERROR(__xludf.DUMMYFUNCTION("""COMPUTED_VALUE"""),"RB")</f>
        <v>RB</v>
      </c>
    </row>
    <row r="93" spans="1:4" ht="13" x14ac:dyDescent="0.15">
      <c r="A93" s="16"/>
      <c r="B93" s="3">
        <f ca="1">IFERROR(__xludf.DUMMYFUNCTION("""COMPUTED_VALUE"""),70)</f>
        <v>70</v>
      </c>
      <c r="C93" s="3" t="str">
        <f ca="1">IFERROR(__xludf.DUMMYFUNCTION("""COMPUTED_VALUE"""),"Rod Smith")</f>
        <v>Rod Smith</v>
      </c>
      <c r="D93" s="3" t="str">
        <f ca="1">IFERROR(__xludf.DUMMYFUNCTION("""COMPUTED_VALUE"""),"RB")</f>
        <v>RB</v>
      </c>
    </row>
    <row r="94" spans="1:4" ht="13" x14ac:dyDescent="0.15">
      <c r="A94" s="16"/>
      <c r="B94" s="3">
        <f ca="1">IFERROR(__xludf.DUMMYFUNCTION("""COMPUTED_VALUE"""),74)</f>
        <v>74</v>
      </c>
      <c r="C94" s="3" t="str">
        <f ca="1">IFERROR(__xludf.DUMMYFUNCTION("""COMPUTED_VALUE"""),"Shane Vereen")</f>
        <v>Shane Vereen</v>
      </c>
      <c r="D94" s="3" t="str">
        <f ca="1">IFERROR(__xludf.DUMMYFUNCTION("""COMPUTED_VALUE"""),"RB")</f>
        <v>RB</v>
      </c>
    </row>
    <row r="95" spans="1:4" ht="13" x14ac:dyDescent="0.15">
      <c r="A95" s="16"/>
      <c r="B95" s="3">
        <f ca="1">IFERROR(__xludf.DUMMYFUNCTION("""COMPUTED_VALUE"""),75)</f>
        <v>75</v>
      </c>
      <c r="C95" s="3" t="str">
        <f ca="1">IFERROR(__xludf.DUMMYFUNCTION("""COMPUTED_VALUE"""),"Charles Sims")</f>
        <v>Charles Sims</v>
      </c>
      <c r="D95" s="3" t="str">
        <f ca="1">IFERROR(__xludf.DUMMYFUNCTION("""COMPUTED_VALUE"""),"RB")</f>
        <v>RB</v>
      </c>
    </row>
    <row r="96" spans="1:4" ht="13" x14ac:dyDescent="0.15">
      <c r="A96" s="16"/>
      <c r="B96" s="3">
        <f ca="1">IFERROR(__xludf.DUMMYFUNCTION("""COMPUTED_VALUE"""),80)</f>
        <v>80</v>
      </c>
      <c r="C96" s="3" t="str">
        <f ca="1">IFERROR(__xludf.DUMMYFUNCTION("""COMPUTED_VALUE"""),"Corey Grant")</f>
        <v>Corey Grant</v>
      </c>
      <c r="D96" s="3" t="str">
        <f ca="1">IFERROR(__xludf.DUMMYFUNCTION("""COMPUTED_VALUE"""),"RB")</f>
        <v>RB</v>
      </c>
    </row>
    <row r="97" spans="1:4" ht="13" x14ac:dyDescent="0.15">
      <c r="A97" s="16"/>
      <c r="B97" s="3">
        <f ca="1">IFERROR(__xludf.DUMMYFUNCTION("""COMPUTED_VALUE"""),87)</f>
        <v>87</v>
      </c>
      <c r="C97" s="3" t="str">
        <f ca="1">IFERROR(__xludf.DUMMYFUNCTION("""COMPUTED_VALUE"""),"Jacquizz Rodgers")</f>
        <v>Jacquizz Rodgers</v>
      </c>
      <c r="D97" s="3" t="str">
        <f ca="1">IFERROR(__xludf.DUMMYFUNCTION("""COMPUTED_VALUE"""),"RB")</f>
        <v>RB</v>
      </c>
    </row>
    <row r="98" spans="1:4" ht="13" x14ac:dyDescent="0.15">
      <c r="A98" s="16"/>
      <c r="B98" s="3">
        <f ca="1">IFERROR(__xludf.DUMMYFUNCTION("""COMPUTED_VALUE"""),89)</f>
        <v>89</v>
      </c>
      <c r="C98" s="3" t="str">
        <f ca="1">IFERROR(__xludf.DUMMYFUNCTION("""COMPUTED_VALUE"""),"Alex Collins")</f>
        <v>Alex Collins</v>
      </c>
      <c r="D98" s="3" t="str">
        <f ca="1">IFERROR(__xludf.DUMMYFUNCTION("""COMPUTED_VALUE"""),"RB")</f>
        <v>RB</v>
      </c>
    </row>
    <row r="99" spans="1:4" ht="13" x14ac:dyDescent="0.15">
      <c r="A99" s="16"/>
      <c r="B99" s="3">
        <f ca="1">IFERROR(__xludf.DUMMYFUNCTION("""COMPUTED_VALUE"""),94)</f>
        <v>94</v>
      </c>
      <c r="C99" s="3" t="str">
        <f ca="1">IFERROR(__xludf.DUMMYFUNCTION("""COMPUTED_VALUE"""),"Kyle Juszczyk")</f>
        <v>Kyle Juszczyk</v>
      </c>
      <c r="D99" s="3" t="str">
        <f ca="1">IFERROR(__xludf.DUMMYFUNCTION("""COMPUTED_VALUE"""),"RB")</f>
        <v>RB</v>
      </c>
    </row>
    <row r="100" spans="1:4" ht="13" x14ac:dyDescent="0.15">
      <c r="A100" s="16"/>
      <c r="B100" s="3">
        <f ca="1">IFERROR(__xludf.DUMMYFUNCTION("""COMPUTED_VALUE"""),95)</f>
        <v>95</v>
      </c>
      <c r="C100" s="3" t="str">
        <f ca="1">IFERROR(__xludf.DUMMYFUNCTION("""COMPUTED_VALUE"""),"Benny Cunningham")</f>
        <v>Benny Cunningham</v>
      </c>
      <c r="D100" s="3" t="str">
        <f ca="1">IFERROR(__xludf.DUMMYFUNCTION("""COMPUTED_VALUE"""),"RB")</f>
        <v>RB</v>
      </c>
    </row>
    <row r="101" spans="1:4" ht="13" x14ac:dyDescent="0.15">
      <c r="A101" s="16"/>
      <c r="B101" s="3">
        <f ca="1">IFERROR(__xludf.DUMMYFUNCTION("""COMPUTED_VALUE"""),98)</f>
        <v>98</v>
      </c>
      <c r="C101" s="3" t="str">
        <f ca="1">IFERROR(__xludf.DUMMYFUNCTION("""COMPUTED_VALUE"""),"Ameer Abdullah")</f>
        <v>Ameer Abdullah</v>
      </c>
      <c r="D101" s="3" t="str">
        <f ca="1">IFERROR(__xludf.DUMMYFUNCTION("""COMPUTED_VALUE"""),"RB")</f>
        <v>RB</v>
      </c>
    </row>
    <row r="102" spans="1:4" ht="13" x14ac:dyDescent="0.15">
      <c r="A102" s="16"/>
      <c r="B102" s="3">
        <f ca="1">IFERROR(__xludf.DUMMYFUNCTION("""COMPUTED_VALUE"""),102)</f>
        <v>102</v>
      </c>
      <c r="C102" s="3" t="str">
        <f ca="1">IFERROR(__xludf.DUMMYFUNCTION("""COMPUTED_VALUE"""),"Bilal Powell")</f>
        <v>Bilal Powell</v>
      </c>
      <c r="D102" s="3" t="str">
        <f ca="1">IFERROR(__xludf.DUMMYFUNCTION("""COMPUTED_VALUE"""),"RB")</f>
        <v>RB</v>
      </c>
    </row>
    <row r="103" spans="1:4" ht="13" x14ac:dyDescent="0.15">
      <c r="A103" s="16"/>
      <c r="B103" s="3">
        <f ca="1">IFERROR(__xludf.DUMMYFUNCTION("""COMPUTED_VALUE"""),130)</f>
        <v>130</v>
      </c>
      <c r="C103" s="3" t="str">
        <f ca="1">IFERROR(__xludf.DUMMYFUNCTION("""COMPUTED_VALUE"""),"Corey Clement")</f>
        <v>Corey Clement</v>
      </c>
      <c r="D103" s="3" t="str">
        <f ca="1">IFERROR(__xludf.DUMMYFUNCTION("""COMPUTED_VALUE"""),"RB")</f>
        <v>RB</v>
      </c>
    </row>
    <row r="104" spans="1:4" ht="13" x14ac:dyDescent="0.15">
      <c r="A104" s="16"/>
      <c r="B104" s="3">
        <f ca="1">IFERROR(__xludf.DUMMYFUNCTION("""COMPUTED_VALUE"""),142)</f>
        <v>142</v>
      </c>
      <c r="C104" s="3" t="str">
        <f ca="1">IFERROR(__xludf.DUMMYFUNCTION("""COMPUTED_VALUE"""),"DeMarco Murray")</f>
        <v>DeMarco Murray</v>
      </c>
      <c r="D104" s="3" t="str">
        <f ca="1">IFERROR(__xludf.DUMMYFUNCTION("""COMPUTED_VALUE"""),"RB")</f>
        <v>RB</v>
      </c>
    </row>
    <row r="105" spans="1:4" ht="13" x14ac:dyDescent="0.15">
      <c r="A105" s="16"/>
      <c r="B105" s="3">
        <f ca="1">IFERROR(__xludf.DUMMYFUNCTION("""COMPUTED_VALUE"""),161)</f>
        <v>161</v>
      </c>
      <c r="C105" s="3" t="str">
        <f ca="1">IFERROR(__xludf.DUMMYFUNCTION("""COMPUTED_VALUE"""),"D'Onta Foreman")</f>
        <v>D'Onta Foreman</v>
      </c>
      <c r="D105" s="3" t="str">
        <f ca="1">IFERROR(__xludf.DUMMYFUNCTION("""COMPUTED_VALUE"""),"RB")</f>
        <v>RB</v>
      </c>
    </row>
    <row r="106" spans="1:4" ht="13" x14ac:dyDescent="0.15">
      <c r="A106" s="16"/>
      <c r="B106" s="3">
        <f ca="1">IFERROR(__xludf.DUMMYFUNCTION("""COMPUTED_VALUE"""),163)</f>
        <v>163</v>
      </c>
      <c r="C106" s="3" t="str">
        <f ca="1">IFERROR(__xludf.DUMMYFUNCTION("""COMPUTED_VALUE"""),"Doug Martin")</f>
        <v>Doug Martin</v>
      </c>
      <c r="D106" s="3" t="str">
        <f ca="1">IFERROR(__xludf.DUMMYFUNCTION("""COMPUTED_VALUE"""),"RB")</f>
        <v>RB</v>
      </c>
    </row>
    <row r="107" spans="1:4" ht="13" x14ac:dyDescent="0.15">
      <c r="A107" s="16"/>
      <c r="B107" s="3">
        <f ca="1">IFERROR(__xludf.DUMMYFUNCTION("""COMPUTED_VALUE"""),175)</f>
        <v>175</v>
      </c>
      <c r="C107" s="3" t="str">
        <f ca="1">IFERROR(__xludf.DUMMYFUNCTION("""COMPUTED_VALUE"""),"Elijhaa Penny")</f>
        <v>Elijhaa Penny</v>
      </c>
      <c r="D107" s="3" t="str">
        <f ca="1">IFERROR(__xludf.DUMMYFUNCTION("""COMPUTED_VALUE"""),"RB")</f>
        <v>RB</v>
      </c>
    </row>
    <row r="108" spans="1:4" ht="13" x14ac:dyDescent="0.15">
      <c r="A108" s="16"/>
      <c r="B108" s="3">
        <f ca="1">IFERROR(__xludf.DUMMYFUNCTION("""COMPUTED_VALUE"""),183)</f>
        <v>183</v>
      </c>
      <c r="C108" s="3" t="str">
        <f ca="1">IFERROR(__xludf.DUMMYFUNCTION("""COMPUTED_VALUE"""),"Isaiah Crowell")</f>
        <v>Isaiah Crowell</v>
      </c>
      <c r="D108" s="3" t="str">
        <f ca="1">IFERROR(__xludf.DUMMYFUNCTION("""COMPUTED_VALUE"""),"RB")</f>
        <v>RB</v>
      </c>
    </row>
    <row r="109" spans="1:4" ht="13" x14ac:dyDescent="0.15">
      <c r="A109" s="16"/>
      <c r="B109" s="3">
        <f ca="1">IFERROR(__xludf.DUMMYFUNCTION("""COMPUTED_VALUE"""),194)</f>
        <v>194</v>
      </c>
      <c r="C109" s="3" t="str">
        <f ca="1">IFERROR(__xludf.DUMMYFUNCTION("""COMPUTED_VALUE"""),"Javorius Allen")</f>
        <v>Javorius Allen</v>
      </c>
      <c r="D109" s="3" t="str">
        <f ca="1">IFERROR(__xludf.DUMMYFUNCTION("""COMPUTED_VALUE"""),"RB")</f>
        <v>RB</v>
      </c>
    </row>
    <row r="110" spans="1:4" ht="13" x14ac:dyDescent="0.15">
      <c r="A110" s="16"/>
      <c r="B110" s="3">
        <f ca="1">IFERROR(__xludf.DUMMYFUNCTION("""COMPUTED_VALUE"""),195)</f>
        <v>195</v>
      </c>
      <c r="C110" s="3" t="str">
        <f ca="1">IFERROR(__xludf.DUMMYFUNCTION("""COMPUTED_VALUE"""),"Jay Ajayi")</f>
        <v>Jay Ajayi</v>
      </c>
      <c r="D110" s="3" t="str">
        <f ca="1">IFERROR(__xludf.DUMMYFUNCTION("""COMPUTED_VALUE"""),"RB")</f>
        <v>RB</v>
      </c>
    </row>
    <row r="111" spans="1:4" ht="13" x14ac:dyDescent="0.15">
      <c r="A111" s="16"/>
      <c r="B111" s="3">
        <f ca="1">IFERROR(__xludf.DUMMYFUNCTION("""COMPUTED_VALUE"""),201)</f>
        <v>201</v>
      </c>
      <c r="C111" s="3" t="str">
        <f ca="1">IFERROR(__xludf.DUMMYFUNCTION("""COMPUTED_VALUE"""),"Jerick McKinnon")</f>
        <v>Jerick McKinnon</v>
      </c>
      <c r="D111" s="3" t="str">
        <f ca="1">IFERROR(__xludf.DUMMYFUNCTION("""COMPUTED_VALUE"""),"RB")</f>
        <v>RB</v>
      </c>
    </row>
    <row r="112" spans="1:4" ht="13" x14ac:dyDescent="0.15">
      <c r="A112" s="16"/>
      <c r="B112" s="3">
        <f ca="1">IFERROR(__xludf.DUMMYFUNCTION("""COMPUTED_VALUE"""),210)</f>
        <v>210</v>
      </c>
      <c r="C112" s="3" t="str">
        <f ca="1">IFERROR(__xludf.DUMMYFUNCTION("""COMPUTED_VALUE"""),"Jonathan Stewart")</f>
        <v>Jonathan Stewart</v>
      </c>
      <c r="D112" s="3" t="str">
        <f ca="1">IFERROR(__xludf.DUMMYFUNCTION("""COMPUTED_VALUE"""),"RB")</f>
        <v>RB</v>
      </c>
    </row>
    <row r="113" spans="1:4" ht="13" x14ac:dyDescent="0.15">
      <c r="A113" s="16"/>
      <c r="B113" s="3">
        <f ca="1">IFERROR(__xludf.DUMMYFUNCTION("""COMPUTED_VALUE"""),219)</f>
        <v>219</v>
      </c>
      <c r="C113" s="3" t="str">
        <f ca="1">IFERROR(__xludf.DUMMYFUNCTION("""COMPUTED_VALUE"""),"Thomas Rawls")</f>
        <v>Thomas Rawls</v>
      </c>
      <c r="D113" s="3" t="str">
        <f ca="1">IFERROR(__xludf.DUMMYFUNCTION("""COMPUTED_VALUE"""),"RB")</f>
        <v>RB</v>
      </c>
    </row>
    <row r="114" spans="1:4" ht="13" x14ac:dyDescent="0.15">
      <c r="A114" s="16"/>
      <c r="B114" s="3">
        <f ca="1">IFERROR(__xludf.DUMMYFUNCTION("""COMPUTED_VALUE"""),220)</f>
        <v>220</v>
      </c>
      <c r="C114" s="3" t="str">
        <f ca="1">IFERROR(__xludf.DUMMYFUNCTION("""COMPUTED_VALUE"""),"Eddie Lacy")</f>
        <v>Eddie Lacy</v>
      </c>
      <c r="D114" s="3" t="str">
        <f ca="1">IFERROR(__xludf.DUMMYFUNCTION("""COMPUTED_VALUE"""),"RB")</f>
        <v>RB</v>
      </c>
    </row>
    <row r="115" spans="1:4" ht="13" x14ac:dyDescent="0.15">
      <c r="A115" s="16"/>
      <c r="B115" s="3">
        <f ca="1">IFERROR(__xludf.DUMMYFUNCTION("""COMPUTED_VALUE"""),221)</f>
        <v>221</v>
      </c>
      <c r="C115" s="3" t="str">
        <f ca="1">IFERROR(__xludf.DUMMYFUNCTION("""COMPUTED_VALUE"""),"Tommy Bohanon")</f>
        <v>Tommy Bohanon</v>
      </c>
      <c r="D115" s="3" t="str">
        <f ca="1">IFERROR(__xludf.DUMMYFUNCTION("""COMPUTED_VALUE"""),"RB")</f>
        <v>RB</v>
      </c>
    </row>
    <row r="116" spans="1:4" ht="13" x14ac:dyDescent="0.15">
      <c r="A116" s="16"/>
      <c r="B116" s="3">
        <f ca="1">IFERROR(__xludf.DUMMYFUNCTION("""COMPUTED_VALUE"""),227)</f>
        <v>227</v>
      </c>
      <c r="C116" s="3" t="str">
        <f ca="1">IFERROR(__xludf.DUMMYFUNCTION("""COMPUTED_VALUE"""),"Kapri Bibbs")</f>
        <v>Kapri Bibbs</v>
      </c>
      <c r="D116" s="3" t="str">
        <f ca="1">IFERROR(__xludf.DUMMYFUNCTION("""COMPUTED_VALUE"""),"RB")</f>
        <v>RB</v>
      </c>
    </row>
    <row r="117" spans="1:4" ht="13" x14ac:dyDescent="0.15">
      <c r="A117" s="16"/>
      <c r="B117" s="3">
        <f ca="1">IFERROR(__xludf.DUMMYFUNCTION("""COMPUTED_VALUE"""),232)</f>
        <v>232</v>
      </c>
      <c r="C117" s="3" t="str">
        <f ca="1">IFERROR(__xludf.DUMMYFUNCTION("""COMPUTED_VALUE"""),"Travaris Cadet")</f>
        <v>Travaris Cadet</v>
      </c>
      <c r="D117" s="3" t="str">
        <f ca="1">IFERROR(__xludf.DUMMYFUNCTION("""COMPUTED_VALUE"""),"RB")</f>
        <v>RB</v>
      </c>
    </row>
    <row r="118" spans="1:4" ht="13" x14ac:dyDescent="0.15">
      <c r="A118" s="16"/>
      <c r="B118" s="3">
        <f ca="1">IFERROR(__xludf.DUMMYFUNCTION("""COMPUTED_VALUE"""),246)</f>
        <v>246</v>
      </c>
      <c r="C118" s="3" t="str">
        <f ca="1">IFERROR(__xludf.DUMMYFUNCTION("""COMPUTED_VALUE"""),"Lamar Miller")</f>
        <v>Lamar Miller</v>
      </c>
      <c r="D118" s="3" t="str">
        <f ca="1">IFERROR(__xludf.DUMMYFUNCTION("""COMPUTED_VALUE"""),"RB")</f>
        <v>RB</v>
      </c>
    </row>
    <row r="119" spans="1:4" ht="13" x14ac:dyDescent="0.15">
      <c r="A119" s="16"/>
      <c r="B119" s="3">
        <f ca="1">IFERROR(__xludf.DUMMYFUNCTION("""COMPUTED_VALUE"""),253)</f>
        <v>253</v>
      </c>
      <c r="C119" s="3" t="str">
        <f ca="1">IFERROR(__xludf.DUMMYFUNCTION("""COMPUTED_VALUE"""),"LeGarrette Blount")</f>
        <v>LeGarrette Blount</v>
      </c>
      <c r="D119" s="3" t="str">
        <f ca="1">IFERROR(__xludf.DUMMYFUNCTION("""COMPUTED_VALUE"""),"RB")</f>
        <v>RB</v>
      </c>
    </row>
    <row r="120" spans="1:4" ht="13" x14ac:dyDescent="0.15">
      <c r="A120" s="16"/>
      <c r="B120" s="3">
        <f ca="1">IFERROR(__xludf.DUMMYFUNCTION("""COMPUTED_VALUE"""),264)</f>
        <v>264</v>
      </c>
      <c r="C120" s="3" t="str">
        <f ca="1">IFERROR(__xludf.DUMMYFUNCTION("""COMPUTED_VALUE"""),"Robert Turbin")</f>
        <v>Robert Turbin</v>
      </c>
      <c r="D120" s="3" t="str">
        <f ca="1">IFERROR(__xludf.DUMMYFUNCTION("""COMPUTED_VALUE"""),"RB")</f>
        <v>RB</v>
      </c>
    </row>
    <row r="121" spans="1:4" ht="13" x14ac:dyDescent="0.15">
      <c r="A121" s="16"/>
      <c r="B121" s="3">
        <f ca="1">IFERROR(__xludf.DUMMYFUNCTION("""COMPUTED_VALUE"""),265)</f>
        <v>265</v>
      </c>
      <c r="C121" s="3" t="str">
        <f ca="1">IFERROR(__xludf.DUMMYFUNCTION("""COMPUTED_VALUE"""),"Kenjon Barner")</f>
        <v>Kenjon Barner</v>
      </c>
      <c r="D121" s="3" t="str">
        <f ca="1">IFERROR(__xludf.DUMMYFUNCTION("""COMPUTED_VALUE"""),"RB")</f>
        <v>RB</v>
      </c>
    </row>
    <row r="122" spans="1:4" ht="13" x14ac:dyDescent="0.15">
      <c r="A122" s="16"/>
      <c r="B122" s="3">
        <f ca="1">IFERROR(__xludf.DUMMYFUNCTION("""COMPUTED_VALUE"""),267)</f>
        <v>267</v>
      </c>
      <c r="C122" s="3" t="str">
        <f ca="1">IFERROR(__xludf.DUMMYFUNCTION("""COMPUTED_VALUE"""),"Marcus Murphy")</f>
        <v>Marcus Murphy</v>
      </c>
      <c r="D122" s="3" t="str">
        <f ca="1">IFERROR(__xludf.DUMMYFUNCTION("""COMPUTED_VALUE"""),"RB")</f>
        <v>RB</v>
      </c>
    </row>
    <row r="123" spans="1:4" ht="13" x14ac:dyDescent="0.15">
      <c r="A123" s="16"/>
      <c r="B123" s="3">
        <f ca="1">IFERROR(__xludf.DUMMYFUNCTION("""COMPUTED_VALUE"""),272)</f>
        <v>272</v>
      </c>
      <c r="C123" s="3" t="str">
        <f ca="1">IFERROR(__xludf.DUMMYFUNCTION("""COMPUTED_VALUE"""),"Marshawn Lynch")</f>
        <v>Marshawn Lynch</v>
      </c>
      <c r="D123" s="3" t="str">
        <f ca="1">IFERROR(__xludf.DUMMYFUNCTION("""COMPUTED_VALUE"""),"RB")</f>
        <v>RB</v>
      </c>
    </row>
    <row r="124" spans="1:4" ht="13" x14ac:dyDescent="0.15">
      <c r="A124" s="16"/>
      <c r="B124" s="3">
        <f ca="1">IFERROR(__xludf.DUMMYFUNCTION("""COMPUTED_VALUE"""),277)</f>
        <v>277</v>
      </c>
      <c r="C124" s="3" t="str">
        <f ca="1">IFERROR(__xludf.DUMMYFUNCTION("""COMPUTED_VALUE"""),"Cameron Artis-Payne")</f>
        <v>Cameron Artis-Payne</v>
      </c>
      <c r="D124" s="3" t="str">
        <f ca="1">IFERROR(__xludf.DUMMYFUNCTION("""COMPUTED_VALUE"""),"RB")</f>
        <v>RB</v>
      </c>
    </row>
    <row r="125" spans="1:4" ht="13" x14ac:dyDescent="0.15">
      <c r="A125" s="16"/>
      <c r="B125" s="3">
        <f ca="1">IFERROR(__xludf.DUMMYFUNCTION("""COMPUTED_VALUE"""),281)</f>
        <v>281</v>
      </c>
      <c r="C125" s="3" t="str">
        <f ca="1">IFERROR(__xludf.DUMMYFUNCTION("""COMPUTED_VALUE"""),"Matt Forte")</f>
        <v>Matt Forte</v>
      </c>
      <c r="D125" s="3" t="str">
        <f ca="1">IFERROR(__xludf.DUMMYFUNCTION("""COMPUTED_VALUE"""),"RB")</f>
        <v>RB</v>
      </c>
    </row>
    <row r="126" spans="1:4" ht="13" x14ac:dyDescent="0.15">
      <c r="A126" s="16"/>
      <c r="B126" s="3">
        <f ca="1">IFERROR(__xludf.DUMMYFUNCTION("""COMPUTED_VALUE"""),284)</f>
        <v>284</v>
      </c>
      <c r="C126" s="3" t="str">
        <f ca="1">IFERROR(__xludf.DUMMYFUNCTION("""COMPUTED_VALUE"""),"D.J. Foster")</f>
        <v>D.J. Foster</v>
      </c>
      <c r="D126" s="3" t="str">
        <f ca="1">IFERROR(__xludf.DUMMYFUNCTION("""COMPUTED_VALUE"""),"RB")</f>
        <v>RB</v>
      </c>
    </row>
    <row r="127" spans="1:4" ht="13" x14ac:dyDescent="0.15">
      <c r="A127" s="16"/>
      <c r="B127" s="3">
        <f ca="1">IFERROR(__xludf.DUMMYFUNCTION("""COMPUTED_VALUE"""),287)</f>
        <v>287</v>
      </c>
      <c r="C127" s="3" t="str">
        <f ca="1">IFERROR(__xludf.DUMMYFUNCTION("""COMPUTED_VALUE"""),"Anthony Sherman")</f>
        <v>Anthony Sherman</v>
      </c>
      <c r="D127" s="3" t="str">
        <f ca="1">IFERROR(__xludf.DUMMYFUNCTION("""COMPUTED_VALUE"""),"RB")</f>
        <v>RB</v>
      </c>
    </row>
    <row r="128" spans="1:4" ht="13" x14ac:dyDescent="0.15">
      <c r="A128" s="16"/>
      <c r="B128" s="3">
        <f ca="1">IFERROR(__xludf.DUMMYFUNCTION("""COMPUTED_VALUE"""),300)</f>
        <v>300</v>
      </c>
      <c r="C128" s="3" t="str">
        <f ca="1">IFERROR(__xludf.DUMMYFUNCTION("""COMPUTED_VALUE"""),"Paul Perkins")</f>
        <v>Paul Perkins</v>
      </c>
      <c r="D128" s="3" t="str">
        <f ca="1">IFERROR(__xludf.DUMMYFUNCTION("""COMPUTED_VALUE"""),"RB")</f>
        <v>RB</v>
      </c>
    </row>
    <row r="129" spans="1:4" ht="13" x14ac:dyDescent="0.15">
      <c r="A129" s="16"/>
      <c r="B129" s="3">
        <f ca="1">IFERROR(__xludf.DUMMYFUNCTION("""COMPUTED_VALUE"""),301)</f>
        <v>301</v>
      </c>
      <c r="C129" s="3" t="str">
        <f ca="1">IFERROR(__xludf.DUMMYFUNCTION("""COMPUTED_VALUE"""),"C.J. Ham")</f>
        <v>C.J. Ham</v>
      </c>
      <c r="D129" s="3" t="str">
        <f ca="1">IFERROR(__xludf.DUMMYFUNCTION("""COMPUTED_VALUE"""),"RB")</f>
        <v>RB</v>
      </c>
    </row>
    <row r="130" spans="1:4" ht="13" x14ac:dyDescent="0.15">
      <c r="A130" s="16"/>
      <c r="B130" s="3">
        <f ca="1">IFERROR(__xludf.DUMMYFUNCTION("""COMPUTED_VALUE"""),303)</f>
        <v>303</v>
      </c>
      <c r="C130" s="3" t="str">
        <f ca="1">IFERROR(__xludf.DUMMYFUNCTION("""COMPUTED_VALUE"""),"Jamize Olawale")</f>
        <v>Jamize Olawale</v>
      </c>
      <c r="D130" s="3" t="str">
        <f ca="1">IFERROR(__xludf.DUMMYFUNCTION("""COMPUTED_VALUE"""),"RB")</f>
        <v>RB</v>
      </c>
    </row>
    <row r="131" spans="1:4" ht="13" x14ac:dyDescent="0.15">
      <c r="A131" s="16"/>
      <c r="B131" s="3">
        <f ca="1">IFERROR(__xludf.DUMMYFUNCTION("""COMPUTED_VALUE"""),306)</f>
        <v>306</v>
      </c>
      <c r="C131" s="3" t="str">
        <f ca="1">IFERROR(__xludf.DUMMYFUNCTION("""COMPUTED_VALUE"""),"Mike Gillislee")</f>
        <v>Mike Gillislee</v>
      </c>
      <c r="D131" s="3" t="str">
        <f ca="1">IFERROR(__xludf.DUMMYFUNCTION("""COMPUTED_VALUE"""),"RB")</f>
        <v>RB</v>
      </c>
    </row>
    <row r="132" spans="1:4" ht="13" x14ac:dyDescent="0.15">
      <c r="A132" s="16"/>
      <c r="B132" s="3">
        <f ca="1">IFERROR(__xludf.DUMMYFUNCTION("""COMPUTED_VALUE"""),317)</f>
        <v>317</v>
      </c>
      <c r="C132" s="3" t="str">
        <f ca="1">IFERROR(__xludf.DUMMYFUNCTION("""COMPUTED_VALUE"""),"Jeremy Hill")</f>
        <v>Jeremy Hill</v>
      </c>
      <c r="D132" s="3" t="str">
        <f ca="1">IFERROR(__xludf.DUMMYFUNCTION("""COMPUTED_VALUE"""),"RB")</f>
        <v>RB</v>
      </c>
    </row>
    <row r="133" spans="1:4" ht="13" x14ac:dyDescent="0.15">
      <c r="A133" s="16"/>
      <c r="B133" s="3">
        <f ca="1">IFERROR(__xludf.DUMMYFUNCTION("""COMPUTED_VALUE"""),320)</f>
        <v>320</v>
      </c>
      <c r="C133" s="3" t="str">
        <f ca="1">IFERROR(__xludf.DUMMYFUNCTION("""COMPUTED_VALUE"""),"Fozzy Whittaker")</f>
        <v>Fozzy Whittaker</v>
      </c>
      <c r="D133" s="3" t="str">
        <f ca="1">IFERROR(__xludf.DUMMYFUNCTION("""COMPUTED_VALUE"""),"RB")</f>
        <v>RB</v>
      </c>
    </row>
    <row r="134" spans="1:4" ht="13" x14ac:dyDescent="0.15">
      <c r="A134" s="16"/>
      <c r="B134" s="3">
        <f ca="1">IFERROR(__xludf.DUMMYFUNCTION("""COMPUTED_VALUE"""),321)</f>
        <v>321</v>
      </c>
      <c r="C134" s="3" t="str">
        <f ca="1">IFERROR(__xludf.DUMMYFUNCTION("""COMPUTED_VALUE"""),"Roosevelt Nix")</f>
        <v>Roosevelt Nix</v>
      </c>
      <c r="D134" s="3" t="str">
        <f ca="1">IFERROR(__xludf.DUMMYFUNCTION("""COMPUTED_VALUE"""),"RB")</f>
        <v>RB</v>
      </c>
    </row>
    <row r="135" spans="1:4" ht="13" x14ac:dyDescent="0.15">
      <c r="A135" s="16"/>
      <c r="B135" s="3">
        <f ca="1">IFERROR(__xludf.DUMMYFUNCTION("""COMPUTED_VALUE"""),327)</f>
        <v>327</v>
      </c>
      <c r="C135" s="3" t="str">
        <f ca="1">IFERROR(__xludf.DUMMYFUNCTION("""COMPUTED_VALUE"""),"Orleans Darkwa")</f>
        <v>Orleans Darkwa</v>
      </c>
      <c r="D135" s="3" t="str">
        <f ca="1">IFERROR(__xludf.DUMMYFUNCTION("""COMPUTED_VALUE"""),"RB")</f>
        <v>RB</v>
      </c>
    </row>
    <row r="136" spans="1:4" ht="13" x14ac:dyDescent="0.15">
      <c r="A136" s="16"/>
      <c r="B136" s="3">
        <f ca="1">IFERROR(__xludf.DUMMYFUNCTION("""COMPUTED_VALUE"""),331)</f>
        <v>331</v>
      </c>
      <c r="C136" s="3" t="str">
        <f ca="1">IFERROR(__xludf.DUMMYFUNCTION("""COMPUTED_VALUE"""),"Terron Ward")</f>
        <v>Terron Ward</v>
      </c>
      <c r="D136" s="3" t="str">
        <f ca="1">IFERROR(__xludf.DUMMYFUNCTION("""COMPUTED_VALUE"""),"RB")</f>
        <v>RB</v>
      </c>
    </row>
    <row r="137" spans="1:4" ht="13" x14ac:dyDescent="0.15">
      <c r="A137" s="16"/>
      <c r="B137" s="3">
        <f ca="1">IFERROR(__xludf.DUMMYFUNCTION("""COMPUTED_VALUE"""),340)</f>
        <v>340</v>
      </c>
      <c r="C137" s="3" t="str">
        <f ca="1">IFERROR(__xludf.DUMMYFUNCTION("""COMPUTED_VALUE"""),"Rex Burkhead")</f>
        <v>Rex Burkhead</v>
      </c>
      <c r="D137" s="3" t="str">
        <f ca="1">IFERROR(__xludf.DUMMYFUNCTION("""COMPUTED_VALUE"""),"RB")</f>
        <v>RB</v>
      </c>
    </row>
    <row r="138" spans="1:4" ht="13" x14ac:dyDescent="0.15">
      <c r="A138" s="16"/>
      <c r="B138" s="3">
        <f ca="1">IFERROR(__xludf.DUMMYFUNCTION("""COMPUTED_VALUE"""),345)</f>
        <v>345</v>
      </c>
      <c r="C138" s="3" t="str">
        <f ca="1">IFERROR(__xludf.DUMMYFUNCTION("""COMPUTED_VALUE"""),"C.J. Prosise")</f>
        <v>C.J. Prosise</v>
      </c>
      <c r="D138" s="3" t="str">
        <f ca="1">IFERROR(__xludf.DUMMYFUNCTION("""COMPUTED_VALUE"""),"RB")</f>
        <v>RB</v>
      </c>
    </row>
    <row r="139" spans="1:4" ht="13" x14ac:dyDescent="0.15">
      <c r="A139" s="16"/>
      <c r="B139" s="3">
        <f ca="1">IFERROR(__xludf.DUMMYFUNCTION("""COMPUTED_VALUE"""),346)</f>
        <v>346</v>
      </c>
      <c r="C139" s="3" t="str">
        <f ca="1">IFERROR(__xludf.DUMMYFUNCTION("""COMPUTED_VALUE"""),"Branden Oliver")</f>
        <v>Branden Oliver</v>
      </c>
      <c r="D139" s="3" t="str">
        <f ca="1">IFERROR(__xludf.DUMMYFUNCTION("""COMPUTED_VALUE"""),"RB")</f>
        <v>RB</v>
      </c>
    </row>
    <row r="140" spans="1:4" ht="13" x14ac:dyDescent="0.15">
      <c r="A140" s="16"/>
      <c r="B140" s="3">
        <f ca="1">IFERROR(__xludf.DUMMYFUNCTION("""COMPUTED_VALUE"""),348)</f>
        <v>348</v>
      </c>
      <c r="C140" s="3" t="str">
        <f ca="1">IFERROR(__xludf.DUMMYFUNCTION("""COMPUTED_VALUE"""),"Robert Kelley")</f>
        <v>Robert Kelley</v>
      </c>
      <c r="D140" s="3" t="str">
        <f ca="1">IFERROR(__xludf.DUMMYFUNCTION("""COMPUTED_VALUE"""),"RB")</f>
        <v>RB</v>
      </c>
    </row>
    <row r="141" spans="1:4" ht="13" x14ac:dyDescent="0.15">
      <c r="A141" s="16"/>
      <c r="B141" s="3">
        <f ca="1">IFERROR(__xludf.DUMMYFUNCTION("""COMPUTED_VALUE"""),349)</f>
        <v>349</v>
      </c>
      <c r="C141" s="3" t="str">
        <f ca="1">IFERROR(__xludf.DUMMYFUNCTION("""COMPUTED_VALUE"""),"Andy Janovich")</f>
        <v>Andy Janovich</v>
      </c>
      <c r="D141" s="3" t="str">
        <f ca="1">IFERROR(__xludf.DUMMYFUNCTION("""COMPUTED_VALUE"""),"RB")</f>
        <v>RB</v>
      </c>
    </row>
    <row r="142" spans="1:4" ht="13" x14ac:dyDescent="0.15">
      <c r="A142" s="16"/>
      <c r="B142" s="3">
        <f ca="1">IFERROR(__xludf.DUMMYFUNCTION("""COMPUTED_VALUE"""),350)</f>
        <v>350</v>
      </c>
      <c r="C142" s="3" t="str">
        <f ca="1">IFERROR(__xludf.DUMMYFUNCTION("""COMPUTED_VALUE"""),"De'Angelo Henderson")</f>
        <v>De'Angelo Henderson</v>
      </c>
      <c r="D142" s="3" t="str">
        <f ca="1">IFERROR(__xludf.DUMMYFUNCTION("""COMPUTED_VALUE"""),"RB")</f>
        <v>RB</v>
      </c>
    </row>
    <row r="143" spans="1:4" ht="13" x14ac:dyDescent="0.15">
      <c r="A143" s="16"/>
      <c r="B143" s="3">
        <f ca="1">IFERROR(__xludf.DUMMYFUNCTION("""COMPUTED_VALUE"""),351)</f>
        <v>351</v>
      </c>
      <c r="C143" s="3" t="str">
        <f ca="1">IFERROR(__xludf.DUMMYFUNCTION("""COMPUTED_VALUE"""),"Lance Dunbar")</f>
        <v>Lance Dunbar</v>
      </c>
      <c r="D143" s="3" t="str">
        <f ca="1">IFERROR(__xludf.DUMMYFUNCTION("""COMPUTED_VALUE"""),"RB")</f>
        <v>RB</v>
      </c>
    </row>
    <row r="144" spans="1:4" ht="13" x14ac:dyDescent="0.15">
      <c r="A144" s="16"/>
      <c r="B144" s="3">
        <f ca="1">IFERROR(__xludf.DUMMYFUNCTION("""COMPUTED_VALUE"""),352)</f>
        <v>352</v>
      </c>
      <c r="C144" s="3" t="str">
        <f ca="1">IFERROR(__xludf.DUMMYFUNCTION("""COMPUTED_VALUE"""),"Trey Edmunds")</f>
        <v>Trey Edmunds</v>
      </c>
      <c r="D144" s="3" t="str">
        <f ca="1">IFERROR(__xludf.DUMMYFUNCTION("""COMPUTED_VALUE"""),"RB")</f>
        <v>RB</v>
      </c>
    </row>
    <row r="145" spans="1:4" ht="13" x14ac:dyDescent="0.15">
      <c r="A145" s="16"/>
      <c r="B145" s="3">
        <f ca="1">IFERROR(__xludf.DUMMYFUNCTION("""COMPUTED_VALUE"""),365)</f>
        <v>365</v>
      </c>
      <c r="C145" s="3" t="str">
        <f ca="1">IFERROR(__xludf.DUMMYFUNCTION("""COMPUTED_VALUE"""),"Samaje Perine")</f>
        <v>Samaje Perine</v>
      </c>
      <c r="D145" s="3" t="str">
        <f ca="1">IFERROR(__xludf.DUMMYFUNCTION("""COMPUTED_VALUE"""),"RB")</f>
        <v>RB</v>
      </c>
    </row>
    <row r="146" spans="1:4" ht="13" x14ac:dyDescent="0.15">
      <c r="A146" s="16"/>
      <c r="B146" s="3">
        <f ca="1">IFERROR(__xludf.DUMMYFUNCTION("""COMPUTED_VALUE"""),367)</f>
        <v>367</v>
      </c>
      <c r="C146" s="3" t="str">
        <f ca="1">IFERROR(__xludf.DUMMYFUNCTION("""COMPUTED_VALUE"""),"Zach Line")</f>
        <v>Zach Line</v>
      </c>
      <c r="D146" s="3" t="str">
        <f ca="1">IFERROR(__xludf.DUMMYFUNCTION("""COMPUTED_VALUE"""),"RB")</f>
        <v>RB</v>
      </c>
    </row>
    <row r="147" spans="1:4" ht="13" x14ac:dyDescent="0.15">
      <c r="A147" s="16"/>
      <c r="B147" s="3">
        <f ca="1">IFERROR(__xludf.DUMMYFUNCTION("""COMPUTED_VALUE"""),371)</f>
        <v>371</v>
      </c>
      <c r="C147" s="3" t="str">
        <f ca="1">IFERROR(__xludf.DUMMYFUNCTION("""COMPUTED_VALUE"""),"Stevan Ridley")</f>
        <v>Stevan Ridley</v>
      </c>
      <c r="D147" s="3" t="str">
        <f ca="1">IFERROR(__xludf.DUMMYFUNCTION("""COMPUTED_VALUE"""),"RB")</f>
        <v>RB</v>
      </c>
    </row>
    <row r="148" spans="1:4" ht="13" x14ac:dyDescent="0.15">
      <c r="A148" s="16"/>
      <c r="B148" s="3">
        <f ca="1">IFERROR(__xludf.DUMMYFUNCTION("""COMPUTED_VALUE"""),382)</f>
        <v>382</v>
      </c>
      <c r="C148" s="3" t="str">
        <f ca="1">IFERROR(__xludf.DUMMYFUNCTION("""COMPUTED_VALUE"""),"Zach Zenner")</f>
        <v>Zach Zenner</v>
      </c>
      <c r="D148" s="3" t="str">
        <f ca="1">IFERROR(__xludf.DUMMYFUNCTION("""COMPUTED_VALUE"""),"RB")</f>
        <v>RB</v>
      </c>
    </row>
    <row r="149" spans="1:4" ht="13" x14ac:dyDescent="0.15">
      <c r="A149" s="16"/>
      <c r="B149" s="3">
        <f ca="1">IFERROR(__xludf.DUMMYFUNCTION("""COMPUTED_VALUE"""),384)</f>
        <v>384</v>
      </c>
      <c r="C149" s="3" t="str">
        <f ca="1">IFERROR(__xludf.DUMMYFUNCTION("""COMPUTED_VALUE"""),"Wendell Smallwood")</f>
        <v>Wendell Smallwood</v>
      </c>
      <c r="D149" s="3" t="str">
        <f ca="1">IFERROR(__xludf.DUMMYFUNCTION("""COMPUTED_VALUE"""),"RB")</f>
        <v>RB</v>
      </c>
    </row>
    <row r="150" spans="1:4" ht="13" x14ac:dyDescent="0.15">
      <c r="A150" s="16"/>
      <c r="B150" s="3">
        <f ca="1">IFERROR(__xludf.DUMMYFUNCTION("""COMPUTED_VALUE"""),399)</f>
        <v>399</v>
      </c>
      <c r="C150" s="3" t="str">
        <f ca="1">IFERROR(__xludf.DUMMYFUNCTION("""COMPUTED_VALUE"""),"Terrance West")</f>
        <v>Terrance West</v>
      </c>
      <c r="D150" s="3" t="str">
        <f ca="1">IFERROR(__xludf.DUMMYFUNCTION("""COMPUTED_VALUE"""),"RB")</f>
        <v>RB</v>
      </c>
    </row>
    <row r="151" spans="1:4" ht="13" x14ac:dyDescent="0.15">
      <c r="A151" s="16"/>
      <c r="B151" s="3">
        <f ca="1">IFERROR(__xludf.DUMMYFUNCTION("""COMPUTED_VALUE"""),401)</f>
        <v>401</v>
      </c>
      <c r="C151" s="3" t="str">
        <f ca="1">IFERROR(__xludf.DUMMYFUNCTION("""COMPUTED_VALUE"""),"Theo Riddick")</f>
        <v>Theo Riddick</v>
      </c>
      <c r="D151" s="3" t="str">
        <f ca="1">IFERROR(__xludf.DUMMYFUNCTION("""COMPUTED_VALUE"""),"RB")</f>
        <v>RB</v>
      </c>
    </row>
    <row r="152" spans="1:4" ht="13" x14ac:dyDescent="0.15">
      <c r="A152" s="16"/>
      <c r="B152" s="3">
        <f ca="1">IFERROR(__xludf.DUMMYFUNCTION("""COMPUTED_VALUE"""),402)</f>
        <v>402</v>
      </c>
      <c r="C152" s="3" t="str">
        <f ca="1">IFERROR(__xludf.DUMMYFUNCTION("""COMPUTED_VALUE"""),"Tion Green")</f>
        <v>Tion Green</v>
      </c>
      <c r="D152" s="3" t="str">
        <f ca="1">IFERROR(__xludf.DUMMYFUNCTION("""COMPUTED_VALUE"""),"RB")</f>
        <v>RB</v>
      </c>
    </row>
    <row r="153" spans="1:4" ht="13" x14ac:dyDescent="0.15">
      <c r="A153" s="16"/>
      <c r="B153" s="3">
        <f ca="1">IFERROR(__xludf.DUMMYFUNCTION("""COMPUTED_VALUE"""),414)</f>
        <v>414</v>
      </c>
      <c r="C153" s="3" t="str">
        <f ca="1">IFERROR(__xludf.DUMMYFUNCTION("""COMPUTED_VALUE"""),"Byron Marshall")</f>
        <v>Byron Marshall</v>
      </c>
      <c r="D153" s="3" t="str">
        <f ca="1">IFERROR(__xludf.DUMMYFUNCTION("""COMPUTED_VALUE"""),"RB")</f>
        <v>RB</v>
      </c>
    </row>
    <row r="154" spans="1:4" ht="13" x14ac:dyDescent="0.15">
      <c r="A154" s="16"/>
      <c r="B154" s="3">
        <f ca="1">IFERROR(__xludf.DUMMYFUNCTION("""COMPUTED_VALUE"""),419)</f>
        <v>419</v>
      </c>
      <c r="C154" s="3" t="str">
        <f ca="1">IFERROR(__xludf.DUMMYFUNCTION("""COMPUTED_VALUE"""),"Tre Madden")</f>
        <v>Tre Madden</v>
      </c>
      <c r="D154" s="3" t="str">
        <f ca="1">IFERROR(__xludf.DUMMYFUNCTION("""COMPUTED_VALUE"""),"RB")</f>
        <v>RB</v>
      </c>
    </row>
    <row r="155" spans="1:4" ht="13" x14ac:dyDescent="0.15">
      <c r="A155" s="16"/>
      <c r="B155" s="3">
        <f ca="1">IFERROR(__xludf.DUMMYFUNCTION("""COMPUTED_VALUE"""),420)</f>
        <v>420</v>
      </c>
      <c r="C155" s="3" t="str">
        <f ca="1">IFERROR(__xludf.DUMMYFUNCTION("""COMPUTED_VALUE"""),"Brandon Bolden")</f>
        <v>Brandon Bolden</v>
      </c>
      <c r="D155" s="3" t="str">
        <f ca="1">IFERROR(__xludf.DUMMYFUNCTION("""COMPUTED_VALUE"""),"RB")</f>
        <v>RB</v>
      </c>
    </row>
    <row r="156" spans="1:4" ht="13" x14ac:dyDescent="0.15">
      <c r="A156" s="16"/>
      <c r="B156" s="3">
        <f ca="1">IFERROR(__xludf.DUMMYFUNCTION("""COMPUTED_VALUE"""),429)</f>
        <v>429</v>
      </c>
      <c r="C156" s="3" t="str">
        <f ca="1">IFERROR(__xludf.DUMMYFUNCTION("""COMPUTED_VALUE"""),"Derek Watt")</f>
        <v>Derek Watt</v>
      </c>
      <c r="D156" s="3" t="str">
        <f ca="1">IFERROR(__xludf.DUMMYFUNCTION("""COMPUTED_VALUE"""),"RB")</f>
        <v>RB</v>
      </c>
    </row>
    <row r="157" spans="1:4" ht="13" x14ac:dyDescent="0.15">
      <c r="A157" s="16"/>
      <c r="B157" s="3">
        <f ca="1">IFERROR(__xludf.DUMMYFUNCTION("""COMPUTED_VALUE"""),430)</f>
        <v>430</v>
      </c>
      <c r="C157" s="3" t="str">
        <f ca="1">IFERROR(__xludf.DUMMYFUNCTION("""COMPUTED_VALUE"""),"Dwayne Washington")</f>
        <v>Dwayne Washington</v>
      </c>
      <c r="D157" s="3" t="str">
        <f ca="1">IFERROR(__xludf.DUMMYFUNCTION("""COMPUTED_VALUE"""),"RB")</f>
        <v>RB</v>
      </c>
    </row>
    <row r="158" spans="1:4" ht="13" x14ac:dyDescent="0.15">
      <c r="A158" s="16"/>
      <c r="B158" s="3">
        <f ca="1">IFERROR(__xludf.DUMMYFUNCTION("""COMPUTED_VALUE"""),431)</f>
        <v>431</v>
      </c>
      <c r="C158" s="3" t="str">
        <f ca="1">IFERROR(__xludf.DUMMYFUNCTION("""COMPUTED_VALUE"""),"Jalston Fowler")</f>
        <v>Jalston Fowler</v>
      </c>
      <c r="D158" s="3" t="str">
        <f ca="1">IFERROR(__xludf.DUMMYFUNCTION("""COMPUTED_VALUE"""),"RB")</f>
        <v>RB</v>
      </c>
    </row>
    <row r="159" spans="1:4" ht="13" x14ac:dyDescent="0.15">
      <c r="A159" s="16"/>
      <c r="B159" s="3">
        <f ca="1">IFERROR(__xludf.DUMMYFUNCTION("""COMPUTED_VALUE"""),437)</f>
        <v>437</v>
      </c>
      <c r="C159" s="3" t="str">
        <f ca="1">IFERROR(__xludf.DUMMYFUNCTION("""COMPUTED_VALUE"""),"Tyler Ervin")</f>
        <v>Tyler Ervin</v>
      </c>
      <c r="D159" s="3" t="str">
        <f ca="1">IFERROR(__xludf.DUMMYFUNCTION("""COMPUTED_VALUE"""),"RB")</f>
        <v>RB</v>
      </c>
    </row>
    <row r="160" spans="1:4" ht="13" x14ac:dyDescent="0.15">
      <c r="A160" s="16"/>
      <c r="B160" s="3">
        <f ca="1">IFERROR(__xludf.DUMMYFUNCTION("""COMPUTED_VALUE"""),438)</f>
        <v>438</v>
      </c>
      <c r="C160" s="3" t="str">
        <f ca="1">IFERROR(__xludf.DUMMYFUNCTION("""COMPUTED_VALUE"""),"Aaron Ripkowski")</f>
        <v>Aaron Ripkowski</v>
      </c>
      <c r="D160" s="3" t="str">
        <f ca="1">IFERROR(__xludf.DUMMYFUNCTION("""COMPUTED_VALUE"""),"RB")</f>
        <v>RB</v>
      </c>
    </row>
    <row r="161" spans="1:4" ht="13" x14ac:dyDescent="0.15">
      <c r="A161" s="16"/>
      <c r="B161" s="3">
        <f ca="1">IFERROR(__xludf.DUMMYFUNCTION("""COMPUTED_VALUE"""),439)</f>
        <v>439</v>
      </c>
      <c r="C161" s="3" t="str">
        <f ca="1">IFERROR(__xludf.DUMMYFUNCTION("""COMPUTED_VALUE"""),"Akeem Hunt")</f>
        <v>Akeem Hunt</v>
      </c>
      <c r="D161" s="3" t="str">
        <f ca="1">IFERROR(__xludf.DUMMYFUNCTION("""COMPUTED_VALUE"""),"RB")</f>
        <v>RB</v>
      </c>
    </row>
    <row r="162" spans="1:4" ht="13" x14ac:dyDescent="0.15">
      <c r="A162" s="16"/>
      <c r="B162" s="3">
        <f ca="1">IFERROR(__xludf.DUMMYFUNCTION("""COMPUTED_VALUE"""),450)</f>
        <v>450</v>
      </c>
      <c r="C162" s="3" t="str">
        <f ca="1">IFERROR(__xludf.DUMMYFUNCTION("""COMPUTED_VALUE"""),"Lawrence Thomas")</f>
        <v>Lawrence Thomas</v>
      </c>
      <c r="D162" s="3" t="str">
        <f ca="1">IFERROR(__xludf.DUMMYFUNCTION("""COMPUTED_VALUE"""),"RB")</f>
        <v>RB</v>
      </c>
    </row>
    <row r="163" spans="1:4" ht="13" x14ac:dyDescent="0.15">
      <c r="A163" s="16"/>
      <c r="B163" s="3">
        <f ca="1">IFERROR(__xludf.DUMMYFUNCTION("""COMPUTED_VALUE"""),452)</f>
        <v>452</v>
      </c>
      <c r="C163" s="3" t="str">
        <f ca="1">IFERROR(__xludf.DUMMYFUNCTION("""COMPUTED_VALUE"""),"Matthew Dayes")</f>
        <v>Matthew Dayes</v>
      </c>
      <c r="D163" s="3" t="str">
        <f ca="1">IFERROR(__xludf.DUMMYFUNCTION("""COMPUTED_VALUE"""),"RB")</f>
        <v>RB</v>
      </c>
    </row>
    <row r="164" spans="1:4" ht="13" x14ac:dyDescent="0.15">
      <c r="A164" s="16"/>
      <c r="B164" s="3">
        <f ca="1">IFERROR(__xludf.DUMMYFUNCTION("""COMPUTED_VALUE"""),461)</f>
        <v>461</v>
      </c>
      <c r="C164" s="3" t="str">
        <f ca="1">IFERROR(__xludf.DUMMYFUNCTION("""COMPUTED_VALUE"""),"Mack Brown")</f>
        <v>Mack Brown</v>
      </c>
      <c r="D164" s="3" t="str">
        <f ca="1">IFERROR(__xludf.DUMMYFUNCTION("""COMPUTED_VALUE"""),"RB")</f>
        <v>RB</v>
      </c>
    </row>
    <row r="165" spans="1:4" ht="13" x14ac:dyDescent="0.15">
      <c r="A165" s="16"/>
      <c r="B165" s="3">
        <f ca="1">IFERROR(__xludf.DUMMYFUNCTION("""COMPUTED_VALUE"""),464)</f>
        <v>464</v>
      </c>
      <c r="C165" s="3" t="str">
        <f ca="1">IFERROR(__xludf.DUMMYFUNCTION("""COMPUTED_VALUE"""),"Patrick DiMarco")</f>
        <v>Patrick DiMarco</v>
      </c>
      <c r="D165" s="3" t="str">
        <f ca="1">IFERROR(__xludf.DUMMYFUNCTION("""COMPUTED_VALUE"""),"RB")</f>
        <v>RB</v>
      </c>
    </row>
    <row r="166" spans="1:4" ht="13" x14ac:dyDescent="0.15">
      <c r="A166" s="16"/>
      <c r="B166" s="3">
        <f ca="1">IFERROR(__xludf.DUMMYFUNCTION("""COMPUTED_VALUE"""),466)</f>
        <v>466</v>
      </c>
      <c r="C166" s="3" t="str">
        <f ca="1">IFERROR(__xludf.DUMMYFUNCTION("""COMPUTED_VALUE"""),"Keith Smith")</f>
        <v>Keith Smith</v>
      </c>
      <c r="D166" s="3" t="str">
        <f ca="1">IFERROR(__xludf.DUMMYFUNCTION("""COMPUTED_VALUE"""),"RB")</f>
        <v>RB</v>
      </c>
    </row>
    <row r="167" spans="1:4" ht="13" x14ac:dyDescent="0.15">
      <c r="A167" s="16"/>
      <c r="B167" s="3">
        <f ca="1">IFERROR(__xludf.DUMMYFUNCTION("""COMPUTED_VALUE"""),468)</f>
        <v>468</v>
      </c>
      <c r="C167" s="3" t="str">
        <f ca="1">IFERROR(__xludf.DUMMYFUNCTION("""COMPUTED_VALUE"""),"Jay Prosch")</f>
        <v>Jay Prosch</v>
      </c>
      <c r="D167" s="3" t="str">
        <f ca="1">IFERROR(__xludf.DUMMYFUNCTION("""COMPUTED_VALUE"""),"RB")</f>
        <v>RB</v>
      </c>
    </row>
    <row r="168" spans="1:4" ht="13" x14ac:dyDescent="0.15">
      <c r="A168" s="16"/>
      <c r="B168" s="3">
        <f ca="1">IFERROR(__xludf.DUMMYFUNCTION("""COMPUTED_VALUE"""),470)</f>
        <v>470</v>
      </c>
      <c r="C168" s="3" t="str">
        <f ca="1">IFERROR(__xludf.DUMMYFUNCTION("""COMPUTED_VALUE"""),"De'Veon Smith")</f>
        <v>De'Veon Smith</v>
      </c>
      <c r="D168" s="3" t="str">
        <f ca="1">IFERROR(__xludf.DUMMYFUNCTION("""COMPUTED_VALUE"""),"RB")</f>
        <v>RB</v>
      </c>
    </row>
    <row r="169" spans="1:4" ht="13" x14ac:dyDescent="0.15">
      <c r="A169" s="16"/>
      <c r="B169" s="3">
        <f ca="1">IFERROR(__xludf.DUMMYFUNCTION("""COMPUTED_VALUE"""),473)</f>
        <v>473</v>
      </c>
      <c r="C169" s="3" t="str">
        <f ca="1">IFERROR(__xludf.DUMMYFUNCTION("""COMPUTED_VALUE"""),"Fitzgerald Toussaint")</f>
        <v>Fitzgerald Toussaint</v>
      </c>
      <c r="D169" s="3" t="str">
        <f ca="1">IFERROR(__xludf.DUMMYFUNCTION("""COMPUTED_VALUE"""),"RB")</f>
        <v>RB</v>
      </c>
    </row>
    <row r="170" spans="1:4" ht="13" x14ac:dyDescent="0.15">
      <c r="A170" s="16"/>
      <c r="B170" s="3">
        <f ca="1">IFERROR(__xludf.DUMMYFUNCTION("""COMPUTED_VALUE"""),476)</f>
        <v>476</v>
      </c>
      <c r="C170" s="3" t="str">
        <f ca="1">IFERROR(__xludf.DUMMYFUNCTION("""COMPUTED_VALUE"""),"Derrick Coleman")</f>
        <v>Derrick Coleman</v>
      </c>
      <c r="D170" s="3" t="str">
        <f ca="1">IFERROR(__xludf.DUMMYFUNCTION("""COMPUTED_VALUE"""),"RB")</f>
        <v>RB</v>
      </c>
    </row>
    <row r="171" spans="1:4" ht="13" x14ac:dyDescent="0.15">
      <c r="A171" s="16"/>
      <c r="B171" s="3">
        <f ca="1">IFERROR(__xludf.DUMMYFUNCTION("""COMPUTED_VALUE"""),479)</f>
        <v>479</v>
      </c>
      <c r="C171" s="3" t="str">
        <f ca="1">IFERROR(__xludf.DUMMYFUNCTION("""COMPUTED_VALUE"""),"Senorise Perry")</f>
        <v>Senorise Perry</v>
      </c>
      <c r="D171" s="3" t="str">
        <f ca="1">IFERROR(__xludf.DUMMYFUNCTION("""COMPUTED_VALUE"""),"RB")</f>
        <v>RB</v>
      </c>
    </row>
    <row r="172" spans="1:4" ht="13" x14ac:dyDescent="0.15">
      <c r="A172" s="16"/>
      <c r="B172" s="3">
        <f ca="1">IFERROR(__xludf.DUMMYFUNCTION("""COMPUTED_VALUE"""),483)</f>
        <v>483</v>
      </c>
      <c r="C172" s="3" t="str">
        <f ca="1">IFERROR(__xludf.DUMMYFUNCTION("""COMPUTED_VALUE"""),"Andre Williams")</f>
        <v>Andre Williams</v>
      </c>
      <c r="D172" s="3" t="str">
        <f ca="1">IFERROR(__xludf.DUMMYFUNCTION("""COMPUTED_VALUE"""),"RB")</f>
        <v>RB</v>
      </c>
    </row>
    <row r="173" spans="1:4" ht="13" x14ac:dyDescent="0.15">
      <c r="A173" s="16"/>
      <c r="B173" s="3">
        <f ca="1">IFERROR(__xludf.DUMMYFUNCTION("""COMPUTED_VALUE"""),484)</f>
        <v>484</v>
      </c>
      <c r="C173" s="3" t="str">
        <f ca="1">IFERROR(__xludf.DUMMYFUNCTION("""COMPUTED_VALUE"""),"Bobby Rainey")</f>
        <v>Bobby Rainey</v>
      </c>
      <c r="D173" s="3" t="str">
        <f ca="1">IFERROR(__xludf.DUMMYFUNCTION("""COMPUTED_VALUE"""),"RB")</f>
        <v>RB</v>
      </c>
    </row>
    <row r="174" spans="1:4" ht="13" x14ac:dyDescent="0.15">
      <c r="A174" s="16"/>
      <c r="B174" s="3">
        <f ca="1">IFERROR(__xludf.DUMMYFUNCTION("""COMPUTED_VALUE"""),487)</f>
        <v>487</v>
      </c>
      <c r="C174" s="3" t="str">
        <f ca="1">IFERROR(__xludf.DUMMYFUNCTION("""COMPUTED_VALUE"""),"Josh Ferguson")</f>
        <v>Josh Ferguson</v>
      </c>
      <c r="D174" s="3" t="str">
        <f ca="1">IFERROR(__xludf.DUMMYFUNCTION("""COMPUTED_VALUE"""),"RB")</f>
        <v>RB</v>
      </c>
    </row>
    <row r="175" spans="1:4" ht="13" x14ac:dyDescent="0.15">
      <c r="A175" s="16"/>
      <c r="B175" s="3">
        <f ca="1">IFERROR(__xludf.DUMMYFUNCTION("""COMPUTED_VALUE"""),488)</f>
        <v>488</v>
      </c>
      <c r="C175" s="3" t="str">
        <f ca="1">IFERROR(__xludf.DUMMYFUNCTION("""COMPUTED_VALUE"""),"Dan Vitale")</f>
        <v>Dan Vitale</v>
      </c>
      <c r="D175" s="3" t="str">
        <f ca="1">IFERROR(__xludf.DUMMYFUNCTION("""COMPUTED_VALUE"""),"RB")</f>
        <v>RB</v>
      </c>
    </row>
    <row r="176" spans="1:4" ht="13" x14ac:dyDescent="0.15">
      <c r="A176" s="16"/>
      <c r="B176" s="3">
        <f ca="1">IFERROR(__xludf.DUMMYFUNCTION("""COMPUTED_VALUE"""),489)</f>
        <v>489</v>
      </c>
      <c r="C176" s="3" t="str">
        <f ca="1">IFERROR(__xludf.DUMMYFUNCTION("""COMPUTED_VALUE"""),"Ryan Hewitt")</f>
        <v>Ryan Hewitt</v>
      </c>
      <c r="D176" s="3" t="str">
        <f ca="1">IFERROR(__xludf.DUMMYFUNCTION("""COMPUTED_VALUE"""),"RB")</f>
        <v>RB</v>
      </c>
    </row>
    <row r="177" spans="1:4" ht="13" x14ac:dyDescent="0.15">
      <c r="A177" s="16"/>
      <c r="B177" s="3">
        <f ca="1">IFERROR(__xludf.DUMMYFUNCTION("""COMPUTED_VALUE"""),491)</f>
        <v>491</v>
      </c>
      <c r="C177" s="3" t="str">
        <f ca="1">IFERROR(__xludf.DUMMYFUNCTION("""COMPUTED_VALUE"""),"Michael Burton")</f>
        <v>Michael Burton</v>
      </c>
      <c r="D177" s="3" t="str">
        <f ca="1">IFERROR(__xludf.DUMMYFUNCTION("""COMPUTED_VALUE"""),"RB")</f>
        <v>RB</v>
      </c>
    </row>
    <row r="178" spans="1:4" ht="13" x14ac:dyDescent="0.15">
      <c r="A178" s="16"/>
      <c r="B178" s="3">
        <f ca="1">IFERROR(__xludf.DUMMYFUNCTION("""COMPUTED_VALUE"""),497)</f>
        <v>497</v>
      </c>
      <c r="C178" s="3" t="str">
        <f ca="1">IFERROR(__xludf.DUMMYFUNCTION("""COMPUTED_VALUE"""),"David Fluellen")</f>
        <v>David Fluellen</v>
      </c>
      <c r="D178" s="3" t="str">
        <f ca="1">IFERROR(__xludf.DUMMYFUNCTION("""COMPUTED_VALUE"""),"RB")</f>
        <v>RB</v>
      </c>
    </row>
    <row r="179" spans="1:4" ht="13" x14ac:dyDescent="0.15">
      <c r="A179" s="16"/>
      <c r="B179" s="3">
        <f ca="1">IFERROR(__xludf.DUMMYFUNCTION("""COMPUTED_VALUE"""),504)</f>
        <v>504</v>
      </c>
      <c r="C179" s="3" t="str">
        <f ca="1">IFERROR(__xludf.DUMMYFUNCTION("""COMPUTED_VALUE"""),"Taiwan Jones")</f>
        <v>Taiwan Jones</v>
      </c>
      <c r="D179" s="3" t="str">
        <f ca="1">IFERROR(__xludf.DUMMYFUNCTION("""COMPUTED_VALUE"""),"RB")</f>
        <v>RB</v>
      </c>
    </row>
    <row r="180" spans="1:4" ht="13" x14ac:dyDescent="0.15">
      <c r="A180" s="16"/>
      <c r="B180" s="3">
        <f ca="1">IFERROR(__xludf.DUMMYFUNCTION("""COMPUTED_VALUE"""),511)</f>
        <v>511</v>
      </c>
      <c r="C180" s="3" t="str">
        <f ca="1">IFERROR(__xludf.DUMMYFUNCTION("""COMPUTED_VALUE"""),"LeShun Daniels")</f>
        <v>LeShun Daniels</v>
      </c>
      <c r="D180" s="3" t="str">
        <f ca="1">IFERROR(__xludf.DUMMYFUNCTION("""COMPUTED_VALUE"""),"RB")</f>
        <v>RB</v>
      </c>
    </row>
    <row r="181" spans="1:4" ht="13" x14ac:dyDescent="0.15">
      <c r="A181" s="16"/>
      <c r="B181" s="3">
        <f ca="1">IFERROR(__xludf.DUMMYFUNCTION("""COMPUTED_VALUE"""),512)</f>
        <v>512</v>
      </c>
      <c r="C181" s="3" t="str">
        <f ca="1">IFERROR(__xludf.DUMMYFUNCTION("""COMPUTED_VALUE"""),"Matt Jones")</f>
        <v>Matt Jones</v>
      </c>
      <c r="D181" s="3" t="str">
        <f ca="1">IFERROR(__xludf.DUMMYFUNCTION("""COMPUTED_VALUE"""),"RB")</f>
        <v>RB</v>
      </c>
    </row>
    <row r="182" spans="1:4" ht="13" x14ac:dyDescent="0.15">
      <c r="A182" s="16"/>
      <c r="B182" s="3">
        <f ca="1">IFERROR(__xludf.DUMMYFUNCTION("""COMPUTED_VALUE"""),513)</f>
        <v>513</v>
      </c>
      <c r="C182" s="3" t="str">
        <f ca="1">IFERROR(__xludf.DUMMYFUNCTION("""COMPUTED_VALUE"""),"Terrell Watson")</f>
        <v>Terrell Watson</v>
      </c>
      <c r="D182" s="3" t="str">
        <f ca="1">IFERROR(__xludf.DUMMYFUNCTION("""COMPUTED_VALUE"""),"RB")</f>
        <v>RB</v>
      </c>
    </row>
    <row r="183" spans="1:4" ht="13" x14ac:dyDescent="0.15">
      <c r="A183" s="16"/>
      <c r="B183" s="3">
        <f ca="1">IFERROR(__xludf.DUMMYFUNCTION("""COMPUTED_VALUE"""),550)</f>
        <v>550</v>
      </c>
      <c r="C183" s="3" t="str">
        <f ca="1">IFERROR(__xludf.DUMMYFUNCTION("""COMPUTED_VALUE"""),"Josh Adams")</f>
        <v>Josh Adams</v>
      </c>
      <c r="D183" s="3" t="str">
        <f ca="1">IFERROR(__xludf.DUMMYFUNCTION("""COMPUTED_VALUE"""),"RB")</f>
        <v>RB</v>
      </c>
    </row>
    <row r="184" spans="1:4" ht="13" x14ac:dyDescent="0.15">
      <c r="A184" s="16"/>
      <c r="B184" s="3">
        <f ca="1">IFERROR(__xludf.DUMMYFUNCTION("""COMPUTED_VALUE"""),562)</f>
        <v>562</v>
      </c>
      <c r="C184" s="3" t="str">
        <f ca="1">IFERROR(__xludf.DUMMYFUNCTION("""COMPUTED_VALUE"""),"Spencer Ware")</f>
        <v>Spencer Ware</v>
      </c>
      <c r="D184" s="3" t="str">
        <f ca="1">IFERROR(__xludf.DUMMYFUNCTION("""COMPUTED_VALUE"""),"RB")</f>
        <v>RB</v>
      </c>
    </row>
    <row r="185" spans="1:4" ht="13" x14ac:dyDescent="0.15">
      <c r="A185" s="16"/>
      <c r="B185" s="3">
        <f ca="1">IFERROR(__xludf.DUMMYFUNCTION("""COMPUTED_VALUE"""),567)</f>
        <v>567</v>
      </c>
      <c r="C185" s="3" t="str">
        <f ca="1">IFERROR(__xludf.DUMMYFUNCTION("""COMPUTED_VALUE"""),"Kenneth Dixon")</f>
        <v>Kenneth Dixon</v>
      </c>
      <c r="D185" s="3" t="str">
        <f ca="1">IFERROR(__xludf.DUMMYFUNCTION("""COMPUTED_VALUE"""),"RB")</f>
        <v>RB</v>
      </c>
    </row>
    <row r="186" spans="1:4" ht="13" x14ac:dyDescent="0.15">
      <c r="A186" s="16"/>
      <c r="B186" s="3">
        <f ca="1">IFERROR(__xludf.DUMMYFUNCTION("""COMPUTED_VALUE"""),573)</f>
        <v>573</v>
      </c>
      <c r="C186" s="3" t="str">
        <f ca="1">IFERROR(__xludf.DUMMYFUNCTION("""COMPUTED_VALUE"""),"Jordan Wilkins")</f>
        <v>Jordan Wilkins</v>
      </c>
      <c r="D186" s="3" t="str">
        <f ca="1">IFERROR(__xludf.DUMMYFUNCTION("""COMPUTED_VALUE"""),"RB")</f>
        <v>RB</v>
      </c>
    </row>
    <row r="187" spans="1:4" ht="13" x14ac:dyDescent="0.15">
      <c r="A187" s="16"/>
      <c r="B187" s="3">
        <f ca="1">IFERROR(__xludf.DUMMYFUNCTION("""COMPUTED_VALUE"""),582)</f>
        <v>582</v>
      </c>
      <c r="C187" s="3" t="str">
        <f ca="1">IFERROR(__xludf.DUMMYFUNCTION("""COMPUTED_VALUE"""),"Trenton Cannon")</f>
        <v>Trenton Cannon</v>
      </c>
      <c r="D187" s="3" t="str">
        <f ca="1">IFERROR(__xludf.DUMMYFUNCTION("""COMPUTED_VALUE"""),"RB")</f>
        <v>RB</v>
      </c>
    </row>
    <row r="188" spans="1:4" ht="13" x14ac:dyDescent="0.15">
      <c r="A188" s="16"/>
      <c r="B188" s="3">
        <f ca="1">IFERROR(__xludf.DUMMYFUNCTION("""COMPUTED_VALUE"""),583)</f>
        <v>583</v>
      </c>
      <c r="C188" s="3" t="str">
        <f ca="1">IFERROR(__xludf.DUMMYFUNCTION("""COMPUTED_VALUE"""),"Jeff Wilson")</f>
        <v>Jeff Wilson</v>
      </c>
      <c r="D188" s="3" t="str">
        <f ca="1">IFERROR(__xludf.DUMMYFUNCTION("""COMPUTED_VALUE"""),"RB")</f>
        <v>RB</v>
      </c>
    </row>
    <row r="189" spans="1:4" ht="13" x14ac:dyDescent="0.15">
      <c r="A189" s="16"/>
      <c r="B189" s="3">
        <f ca="1">IFERROR(__xludf.DUMMYFUNCTION("""COMPUTED_VALUE"""),584)</f>
        <v>584</v>
      </c>
      <c r="C189" s="3" t="str">
        <f ca="1">IFERROR(__xludf.DUMMYFUNCTION("""COMPUTED_VALUE"""),"James Develin")</f>
        <v>James Develin</v>
      </c>
      <c r="D189" s="3" t="str">
        <f ca="1">IFERROR(__xludf.DUMMYFUNCTION("""COMPUTED_VALUE"""),"RB")</f>
        <v>RB</v>
      </c>
    </row>
    <row r="190" spans="1:4" ht="13" x14ac:dyDescent="0.15">
      <c r="A190" s="16"/>
      <c r="B190" s="3">
        <f ca="1">IFERROR(__xludf.DUMMYFUNCTION("""COMPUTED_VALUE"""),616)</f>
        <v>616</v>
      </c>
      <c r="C190" s="3" t="str">
        <f ca="1">IFERROR(__xludf.DUMMYFUNCTION("""COMPUTED_VALUE"""),"Taquan Mizzell")</f>
        <v>Taquan Mizzell</v>
      </c>
      <c r="D190" s="3" t="str">
        <f ca="1">IFERROR(__xludf.DUMMYFUNCTION("""COMPUTED_VALUE"""),"RB")</f>
        <v>RB</v>
      </c>
    </row>
    <row r="191" spans="1:4" ht="13" x14ac:dyDescent="0.15">
      <c r="A191" s="16"/>
      <c r="B191" s="3">
        <f ca="1">IFERROR(__xludf.DUMMYFUNCTION("""COMPUTED_VALUE"""),620)</f>
        <v>620</v>
      </c>
      <c r="C191" s="3" t="str">
        <f ca="1">IFERROR(__xludf.DUMMYFUNCTION("""COMPUTED_VALUE"""),"Alex Armah")</f>
        <v>Alex Armah</v>
      </c>
      <c r="D191" s="3" t="str">
        <f ca="1">IFERROR(__xludf.DUMMYFUNCTION("""COMPUTED_VALUE"""),"RB")</f>
        <v>RB</v>
      </c>
    </row>
    <row r="192" spans="1:4" ht="13" x14ac:dyDescent="0.15">
      <c r="A192" s="16"/>
      <c r="B192" s="3">
        <f ca="1">IFERROR(__xludf.DUMMYFUNCTION("""COMPUTED_VALUE"""),632)</f>
        <v>632</v>
      </c>
      <c r="C192" s="3" t="str">
        <f ca="1">IFERROR(__xludf.DUMMYFUNCTION("""COMPUTED_VALUE"""),"Keith Ford")</f>
        <v>Keith Ford</v>
      </c>
      <c r="D192" s="3" t="str">
        <f ca="1">IFERROR(__xludf.DUMMYFUNCTION("""COMPUTED_VALUE"""),"RB")</f>
        <v>RB</v>
      </c>
    </row>
    <row r="193" spans="1:4" ht="13" x14ac:dyDescent="0.15">
      <c r="A193" s="16"/>
      <c r="B193" s="3">
        <f ca="1">IFERROR(__xludf.DUMMYFUNCTION("""COMPUTED_VALUE"""),633)</f>
        <v>633</v>
      </c>
      <c r="C193" s="3" t="str">
        <f ca="1">IFERROR(__xludf.DUMMYFUNCTION("""COMPUTED_VALUE"""),"John Kelly")</f>
        <v>John Kelly</v>
      </c>
      <c r="D193" s="3" t="str">
        <f ca="1">IFERROR(__xludf.DUMMYFUNCTION("""COMPUTED_VALUE"""),"RB")</f>
        <v>RB</v>
      </c>
    </row>
    <row r="194" spans="1:4" ht="13" x14ac:dyDescent="0.15">
      <c r="A194" s="16"/>
      <c r="B194" s="3">
        <f ca="1">IFERROR(__xludf.DUMMYFUNCTION("""COMPUTED_VALUE"""),642)</f>
        <v>642</v>
      </c>
      <c r="C194" s="3" t="str">
        <f ca="1">IFERROR(__xludf.DUMMYFUNCTION("""COMPUTED_VALUE"""),"Mark Walton")</f>
        <v>Mark Walton</v>
      </c>
      <c r="D194" s="3" t="str">
        <f ca="1">IFERROR(__xludf.DUMMYFUNCTION("""COMPUTED_VALUE"""),"RB")</f>
        <v>RB</v>
      </c>
    </row>
    <row r="195" spans="1:4" ht="13" x14ac:dyDescent="0.15">
      <c r="A195" s="16"/>
      <c r="B195" s="3">
        <f ca="1">IFERROR(__xludf.DUMMYFUNCTION("""COMPUTED_VALUE"""),644)</f>
        <v>644</v>
      </c>
      <c r="C195" s="3" t="str">
        <f ca="1">IFERROR(__xludf.DUMMYFUNCTION("""COMPUTED_VALUE"""),"Detrez Newsome")</f>
        <v>Detrez Newsome</v>
      </c>
      <c r="D195" s="3" t="str">
        <f ca="1">IFERROR(__xludf.DUMMYFUNCTION("""COMPUTED_VALUE"""),"RB")</f>
        <v>RB</v>
      </c>
    </row>
    <row r="196" spans="1:4" ht="13" x14ac:dyDescent="0.15">
      <c r="A196" s="16"/>
      <c r="B196" s="3">
        <f ca="1">IFERROR(__xludf.DUMMYFUNCTION("""COMPUTED_VALUE"""),649)</f>
        <v>649</v>
      </c>
      <c r="C196" s="3" t="str">
        <f ca="1">IFERROR(__xludf.DUMMYFUNCTION("""COMPUTED_VALUE"""),"Bradley Sowell")</f>
        <v>Bradley Sowell</v>
      </c>
      <c r="D196" s="3" t="str">
        <f ca="1">IFERROR(__xludf.DUMMYFUNCTION("""COMPUTED_VALUE"""),"RB")</f>
        <v>RB</v>
      </c>
    </row>
    <row r="197" spans="1:4" ht="13" x14ac:dyDescent="0.15">
      <c r="A197" s="16"/>
      <c r="B197" s="3">
        <f ca="1">IFERROR(__xludf.DUMMYFUNCTION("""COMPUTED_VALUE"""),652)</f>
        <v>652</v>
      </c>
      <c r="C197" s="3" t="str">
        <f ca="1">IFERROR(__xludf.DUMMYFUNCTION("""COMPUTED_VALUE"""),"Mike Boone")</f>
        <v>Mike Boone</v>
      </c>
      <c r="D197" s="3" t="str">
        <f ca="1">IFERROR(__xludf.DUMMYFUNCTION("""COMPUTED_VALUE"""),"RB")</f>
        <v>RB</v>
      </c>
    </row>
    <row r="198" spans="1:4" ht="13" x14ac:dyDescent="0.15">
      <c r="A198" s="16"/>
      <c r="B198" s="3">
        <f ca="1">IFERROR(__xludf.DUMMYFUNCTION("""COMPUTED_VALUE"""),657)</f>
        <v>657</v>
      </c>
      <c r="C198" s="3" t="str">
        <f ca="1">IFERROR(__xludf.DUMMYFUNCTION("""COMPUTED_VALUE"""),"Roc Thomas")</f>
        <v>Roc Thomas</v>
      </c>
      <c r="D198" s="3" t="str">
        <f ca="1">IFERROR(__xludf.DUMMYFUNCTION("""COMPUTED_VALUE"""),"RB")</f>
        <v>RB</v>
      </c>
    </row>
    <row r="199" spans="1:4" ht="13" x14ac:dyDescent="0.15">
      <c r="A199" s="16"/>
      <c r="B199" s="3">
        <f ca="1">IFERROR(__xludf.DUMMYFUNCTION("""COMPUTED_VALUE"""),663)</f>
        <v>663</v>
      </c>
      <c r="C199" s="3" t="str">
        <f ca="1">IFERROR(__xludf.DUMMYFUNCTION("""COMPUTED_VALUE"""),"T.J. Logan")</f>
        <v>T.J. Logan</v>
      </c>
      <c r="D199" s="3" t="str">
        <f ca="1">IFERROR(__xludf.DUMMYFUNCTION("""COMPUTED_VALUE"""),"RB")</f>
        <v>RB</v>
      </c>
    </row>
    <row r="200" spans="1:4" ht="13" x14ac:dyDescent="0.15">
      <c r="A200" s="16"/>
      <c r="B200" s="3">
        <f ca="1">IFERROR(__xludf.DUMMYFUNCTION("""COMPUTED_VALUE"""),667)</f>
        <v>667</v>
      </c>
      <c r="C200" s="3" t="str">
        <f ca="1">IFERROR(__xludf.DUMMYFUNCTION("""COMPUTED_VALUE"""),"David Williams")</f>
        <v>David Williams</v>
      </c>
      <c r="D200" s="3" t="str">
        <f ca="1">IFERROR(__xludf.DUMMYFUNCTION("""COMPUTED_VALUE"""),"RB")</f>
        <v>RB</v>
      </c>
    </row>
    <row r="201" spans="1:4" ht="13" x14ac:dyDescent="0.15">
      <c r="A201" s="16"/>
      <c r="B201" s="3">
        <f ca="1">IFERROR(__xludf.DUMMYFUNCTION("""COMPUTED_VALUE"""),668)</f>
        <v>668</v>
      </c>
      <c r="C201" s="3" t="str">
        <f ca="1">IFERROR(__xludf.DUMMYFUNCTION("""COMPUTED_VALUE"""),"Jeremy Langford")</f>
        <v>Jeremy Langford</v>
      </c>
      <c r="D201" s="3" t="str">
        <f ca="1">IFERROR(__xludf.DUMMYFUNCTION("""COMPUTED_VALUE"""),"RB")</f>
        <v>RB</v>
      </c>
    </row>
    <row r="202" spans="1:4" ht="13" x14ac:dyDescent="0.15">
      <c r="A202" s="16"/>
      <c r="B202" s="3">
        <f ca="1">IFERROR(__xludf.DUMMYFUNCTION("""COMPUTED_VALUE"""),671)</f>
        <v>671</v>
      </c>
      <c r="C202" s="3" t="str">
        <f ca="1">IFERROR(__xludf.DUMMYFUNCTION("""COMPUTED_VALUE"""),"Shaun Wilson")</f>
        <v>Shaun Wilson</v>
      </c>
      <c r="D202" s="3" t="str">
        <f ca="1">IFERROR(__xludf.DUMMYFUNCTION("""COMPUTED_VALUE"""),"RB")</f>
        <v>RB</v>
      </c>
    </row>
    <row r="203" spans="1:4" ht="13" x14ac:dyDescent="0.15">
      <c r="A203" s="16"/>
      <c r="B203" s="3">
        <f ca="1">IFERROR(__xludf.DUMMYFUNCTION("""COMPUTED_VALUE"""),673)</f>
        <v>673</v>
      </c>
      <c r="C203" s="3" t="str">
        <f ca="1">IFERROR(__xludf.DUMMYFUNCTION("""COMPUTED_VALUE"""),"Nick Bellore")</f>
        <v>Nick Bellore</v>
      </c>
      <c r="D203" s="3" t="str">
        <f ca="1">IFERROR(__xludf.DUMMYFUNCTION("""COMPUTED_VALUE"""),"RB")</f>
        <v>RB</v>
      </c>
    </row>
    <row r="204" spans="1:4" ht="13" x14ac:dyDescent="0.15">
      <c r="A204" s="16"/>
      <c r="B204" s="3">
        <f ca="1">IFERROR(__xludf.DUMMYFUNCTION("""COMPUTED_VALUE"""),676)</f>
        <v>676</v>
      </c>
      <c r="C204" s="3" t="str">
        <f ca="1">IFERROR(__xludf.DUMMYFUNCTION("""COMPUTED_VALUE"""),"Justin Davis")</f>
        <v>Justin Davis</v>
      </c>
      <c r="D204" s="3" t="str">
        <f ca="1">IFERROR(__xludf.DUMMYFUNCTION("""COMPUTED_VALUE"""),"RB")</f>
        <v>RB</v>
      </c>
    </row>
    <row r="205" spans="1:4" ht="13" x14ac:dyDescent="0.15">
      <c r="A205" s="16"/>
      <c r="B205" s="3">
        <f ca="1">IFERROR(__xludf.DUMMYFUNCTION("""COMPUTED_VALUE"""),680)</f>
        <v>680</v>
      </c>
      <c r="C205" s="3" t="str">
        <f ca="1">IFERROR(__xludf.DUMMYFUNCTION("""COMPUTED_VALUE"""),"Darius Jackson")</f>
        <v>Darius Jackson</v>
      </c>
      <c r="D205" s="3" t="str">
        <f ca="1">IFERROR(__xludf.DUMMYFUNCTION("""COMPUTED_VALUE"""),"RB")</f>
        <v>RB</v>
      </c>
    </row>
    <row r="206" spans="1:4" ht="13" x14ac:dyDescent="0.15">
      <c r="A206" s="16"/>
      <c r="B206" s="3">
        <f ca="1">IFERROR(__xludf.DUMMYFUNCTION("""COMPUTED_VALUE"""),683)</f>
        <v>683</v>
      </c>
      <c r="C206" s="3" t="str">
        <f ca="1">IFERROR(__xludf.DUMMYFUNCTION("""COMPUTED_VALUE"""),"De'Lance Turner")</f>
        <v>De'Lance Turner</v>
      </c>
      <c r="D206" s="3" t="str">
        <f ca="1">IFERROR(__xludf.DUMMYFUNCTION("""COMPUTED_VALUE"""),"RB")</f>
        <v>RB</v>
      </c>
    </row>
    <row r="207" spans="1:4" ht="13" x14ac:dyDescent="0.15">
      <c r="A207" s="16"/>
      <c r="B207" s="3">
        <f ca="1">IFERROR(__xludf.DUMMYFUNCTION("""COMPUTED_VALUE"""),685)</f>
        <v>685</v>
      </c>
      <c r="C207" s="3" t="str">
        <f ca="1">IFERROR(__xludf.DUMMYFUNCTION("""COMPUTED_VALUE"""),"Brandon Wilds")</f>
        <v>Brandon Wilds</v>
      </c>
      <c r="D207" s="3" t="str">
        <f ca="1">IFERROR(__xludf.DUMMYFUNCTION("""COMPUTED_VALUE"""),"RB")</f>
        <v>RB</v>
      </c>
    </row>
    <row r="208" spans="1:4" ht="13" x14ac:dyDescent="0.15">
      <c r="A208" s="16"/>
      <c r="B208" s="3">
        <f ca="1">IFERROR(__xludf.DUMMYFUNCTION("""COMPUTED_VALUE"""),698)</f>
        <v>698</v>
      </c>
      <c r="C208" s="3" t="str">
        <f ca="1">IFERROR(__xludf.DUMMYFUNCTION("""COMPUTED_VALUE"""),"Jeremy McNichols")</f>
        <v>Jeremy McNichols</v>
      </c>
      <c r="D208" s="3" t="str">
        <f ca="1">IFERROR(__xludf.DUMMYFUNCTION("""COMPUTED_VALUE"""),"RB")</f>
        <v>RB</v>
      </c>
    </row>
    <row r="209" spans="1:4" ht="13" x14ac:dyDescent="0.15">
      <c r="A209" s="16"/>
      <c r="B209" s="3">
        <f ca="1">IFERROR(__xludf.DUMMYFUNCTION("""COMPUTED_VALUE"""),699)</f>
        <v>699</v>
      </c>
      <c r="C209" s="3" t="str">
        <f ca="1">IFERROR(__xludf.DUMMYFUNCTION("""COMPUTED_VALUE"""),"Christine Michael")</f>
        <v>Christine Michael</v>
      </c>
      <c r="D209" s="3" t="str">
        <f ca="1">IFERROR(__xludf.DUMMYFUNCTION("""COMPUTED_VALUE"""),"RB")</f>
        <v>RB</v>
      </c>
    </row>
    <row r="210" spans="1:4" ht="13" x14ac:dyDescent="0.15">
      <c r="A210" s="16"/>
      <c r="B210" s="3">
        <f ca="1">IFERROR(__xludf.DUMMYFUNCTION("""COMPUTED_VALUE"""),701)</f>
        <v>701</v>
      </c>
      <c r="C210" s="3" t="str">
        <f ca="1">IFERROR(__xludf.DUMMYFUNCTION("""COMPUTED_VALUE"""),"Ricky Ortiz")</f>
        <v>Ricky Ortiz</v>
      </c>
      <c r="D210" s="3" t="str">
        <f ca="1">IFERROR(__xludf.DUMMYFUNCTION("""COMPUTED_VALUE"""),"RB")</f>
        <v>RB</v>
      </c>
    </row>
    <row r="211" spans="1:4" ht="13" x14ac:dyDescent="0.15">
      <c r="A211" s="16"/>
      <c r="B211" s="3">
        <f ca="1">IFERROR(__xludf.DUMMYFUNCTION("""COMPUTED_VALUE"""),736)</f>
        <v>736</v>
      </c>
      <c r="C211" s="3" t="str">
        <f ca="1">IFERROR(__xludf.DUMMYFUNCTION("""COMPUTED_VALUE"""),"Bryce Love")</f>
        <v>Bryce Love</v>
      </c>
      <c r="D211" s="3" t="str">
        <f ca="1">IFERROR(__xludf.DUMMYFUNCTION("""COMPUTED_VALUE"""),"RB")</f>
        <v>RB</v>
      </c>
    </row>
    <row r="212" spans="1:4" ht="13" x14ac:dyDescent="0.15">
      <c r="A212" s="16"/>
      <c r="B212" s="3">
        <f ca="1">IFERROR(__xludf.DUMMYFUNCTION("""COMPUTED_VALUE"""),744)</f>
        <v>744</v>
      </c>
      <c r="C212" s="3" t="str">
        <f ca="1">IFERROR(__xludf.DUMMYFUNCTION("""COMPUTED_VALUE"""),"Jordan Scarlett")</f>
        <v>Jordan Scarlett</v>
      </c>
      <c r="D212" s="3" t="str">
        <f ca="1">IFERROR(__xludf.DUMMYFUNCTION("""COMPUTED_VALUE"""),"RB")</f>
        <v>RB</v>
      </c>
    </row>
    <row r="213" spans="1:4" ht="13" x14ac:dyDescent="0.15">
      <c r="A213" s="16"/>
      <c r="B213" s="3">
        <f ca="1">IFERROR(__xludf.DUMMYFUNCTION("""COMPUTED_VALUE"""),745)</f>
        <v>745</v>
      </c>
      <c r="C213" s="3" t="str">
        <f ca="1">IFERROR(__xludf.DUMMYFUNCTION("""COMPUTED_VALUE"""),"Qadree Ollison")</f>
        <v>Qadree Ollison</v>
      </c>
      <c r="D213" s="3" t="str">
        <f ca="1">IFERROR(__xludf.DUMMYFUNCTION("""COMPUTED_VALUE"""),"RB")</f>
        <v>RB</v>
      </c>
    </row>
    <row r="214" spans="1:4" ht="13" x14ac:dyDescent="0.15">
      <c r="A214" s="16"/>
      <c r="B214" s="3">
        <f ca="1">IFERROR(__xludf.DUMMYFUNCTION("""COMPUTED_VALUE"""),746)</f>
        <v>746</v>
      </c>
      <c r="C214" s="3" t="str">
        <f ca="1">IFERROR(__xludf.DUMMYFUNCTION("""COMPUTED_VALUE"""),"Benny Snell Jr.")</f>
        <v>Benny Snell Jr.</v>
      </c>
      <c r="D214" s="3" t="str">
        <f ca="1">IFERROR(__xludf.DUMMYFUNCTION("""COMPUTED_VALUE"""),"RB")</f>
        <v>RB</v>
      </c>
    </row>
    <row r="215" spans="1:4" ht="13" x14ac:dyDescent="0.15">
      <c r="A215" s="16"/>
      <c r="B215" s="3">
        <f ca="1">IFERROR(__xludf.DUMMYFUNCTION("""COMPUTED_VALUE"""),754)</f>
        <v>754</v>
      </c>
      <c r="C215" s="3" t="str">
        <f ca="1">IFERROR(__xludf.DUMMYFUNCTION("""COMPUTED_VALUE"""),"Trayveon Williams")</f>
        <v>Trayveon Williams</v>
      </c>
      <c r="D215" s="3" t="str">
        <f ca="1">IFERROR(__xludf.DUMMYFUNCTION("""COMPUTED_VALUE"""),"RB")</f>
        <v>RB</v>
      </c>
    </row>
    <row r="216" spans="1:4" ht="13" x14ac:dyDescent="0.15">
      <c r="A216" s="16"/>
      <c r="B216" s="3">
        <f ca="1">IFERROR(__xludf.DUMMYFUNCTION("""COMPUTED_VALUE"""),755)</f>
        <v>755</v>
      </c>
      <c r="C216" s="3" t="str">
        <f ca="1">IFERROR(__xludf.DUMMYFUNCTION("""COMPUTED_VALUE"""),"Dexter Williams")</f>
        <v>Dexter Williams</v>
      </c>
      <c r="D216" s="3" t="str">
        <f ca="1">IFERROR(__xludf.DUMMYFUNCTION("""COMPUTED_VALUE"""),"RB")</f>
        <v>RB</v>
      </c>
    </row>
    <row r="217" spans="1:4" ht="13" x14ac:dyDescent="0.15">
      <c r="A217" s="16"/>
      <c r="B217" s="3">
        <f ca="1">IFERROR(__xludf.DUMMYFUNCTION("""COMPUTED_VALUE"""),760)</f>
        <v>760</v>
      </c>
      <c r="C217" s="3" t="str">
        <f ca="1">IFERROR(__xludf.DUMMYFUNCTION("""COMPUTED_VALUE"""),"Travis Homer")</f>
        <v>Travis Homer</v>
      </c>
      <c r="D217" s="3" t="str">
        <f ca="1">IFERROR(__xludf.DUMMYFUNCTION("""COMPUTED_VALUE"""),"RB")</f>
        <v>RB</v>
      </c>
    </row>
    <row r="218" spans="1:4" ht="13" x14ac:dyDescent="0.15">
      <c r="A218" s="16"/>
      <c r="B218" s="3">
        <f ca="1">IFERROR(__xludf.DUMMYFUNCTION("""COMPUTED_VALUE"""),761)</f>
        <v>761</v>
      </c>
      <c r="C218" s="3" t="str">
        <f ca="1">IFERROR(__xludf.DUMMYFUNCTION("""COMPUTED_VALUE"""),"Mike Weber")</f>
        <v>Mike Weber</v>
      </c>
      <c r="D218" s="3" t="str">
        <f ca="1">IFERROR(__xludf.DUMMYFUNCTION("""COMPUTED_VALUE"""),"RB")</f>
        <v>RB</v>
      </c>
    </row>
    <row r="219" spans="1:4" ht="13" x14ac:dyDescent="0.15">
      <c r="A219" s="16"/>
      <c r="B219" s="3">
        <f ca="1">IFERROR(__xludf.DUMMYFUNCTION("""COMPUTED_VALUE"""),764)</f>
        <v>764</v>
      </c>
      <c r="C219" s="3" t="str">
        <f ca="1">IFERROR(__xludf.DUMMYFUNCTION("""COMPUTED_VALUE"""),"Ty Johnson")</f>
        <v>Ty Johnson</v>
      </c>
      <c r="D219" s="3" t="str">
        <f ca="1">IFERROR(__xludf.DUMMYFUNCTION("""COMPUTED_VALUE"""),"RB")</f>
        <v>RB</v>
      </c>
    </row>
    <row r="220" spans="1:4" ht="13" x14ac:dyDescent="0.15">
      <c r="A220" s="16"/>
      <c r="B220" s="3">
        <f ca="1">IFERROR(__xludf.DUMMYFUNCTION("""COMPUTED_VALUE"""),765)</f>
        <v>765</v>
      </c>
      <c r="C220" s="3" t="str">
        <f ca="1">IFERROR(__xludf.DUMMYFUNCTION("""COMPUTED_VALUE"""),"Myles Gaskin")</f>
        <v>Myles Gaskin</v>
      </c>
      <c r="D220" s="3" t="str">
        <f ca="1">IFERROR(__xludf.DUMMYFUNCTION("""COMPUTED_VALUE"""),"RB")</f>
        <v>RB</v>
      </c>
    </row>
    <row r="221" spans="1:4" ht="13" x14ac:dyDescent="0.15">
      <c r="A221" s="16"/>
      <c r="B221" s="3">
        <f ca="1">IFERROR(__xludf.DUMMYFUNCTION("""COMPUTED_VALUE"""),766)</f>
        <v>766</v>
      </c>
      <c r="C221" s="3" t="str">
        <f ca="1">IFERROR(__xludf.DUMMYFUNCTION("""COMPUTED_VALUE"""),"Rodney Anderson")</f>
        <v>Rodney Anderson</v>
      </c>
      <c r="D221" s="3" t="str">
        <f ca="1">IFERROR(__xludf.DUMMYFUNCTION("""COMPUTED_VALUE"""),"RB")</f>
        <v>RB</v>
      </c>
    </row>
    <row r="222" spans="1:4" ht="13" x14ac:dyDescent="0.15">
      <c r="A222" s="16"/>
      <c r="B222" s="3">
        <f ca="1">IFERROR(__xludf.DUMMYFUNCTION("""COMPUTED_VALUE"""),771)</f>
        <v>771</v>
      </c>
      <c r="C222" s="3" t="str">
        <f ca="1">IFERROR(__xludf.DUMMYFUNCTION("""COMPUTED_VALUE"""),"Elijah Holyfield")</f>
        <v>Elijah Holyfield</v>
      </c>
      <c r="D222" s="3" t="str">
        <f ca="1">IFERROR(__xludf.DUMMYFUNCTION("""COMPUTED_VALUE"""),"RB")</f>
        <v>RB</v>
      </c>
    </row>
    <row r="223" spans="1:4" ht="13" x14ac:dyDescent="0.15">
      <c r="A223" s="16"/>
      <c r="B223" s="3">
        <f ca="1">IFERROR(__xludf.DUMMYFUNCTION("""COMPUTED_VALUE"""),772)</f>
        <v>772</v>
      </c>
      <c r="C223" s="3" t="str">
        <f ca="1">IFERROR(__xludf.DUMMYFUNCTION("""COMPUTED_VALUE"""),"Damarea Crockett")</f>
        <v>Damarea Crockett</v>
      </c>
      <c r="D223" s="3" t="str">
        <f ca="1">IFERROR(__xludf.DUMMYFUNCTION("""COMPUTED_VALUE"""),"RB")</f>
        <v>RB</v>
      </c>
    </row>
    <row r="224" spans="1:4" ht="13" x14ac:dyDescent="0.15">
      <c r="A224" s="16"/>
      <c r="B224" s="3">
        <f ca="1">IFERROR(__xludf.DUMMYFUNCTION("""COMPUTED_VALUE"""),787)</f>
        <v>787</v>
      </c>
      <c r="C224" s="3" t="str">
        <f ca="1">IFERROR(__xludf.DUMMYFUNCTION("""COMPUTED_VALUE"""),"Karan Higdon")</f>
        <v>Karan Higdon</v>
      </c>
      <c r="D224" s="3" t="str">
        <f ca="1">IFERROR(__xludf.DUMMYFUNCTION("""COMPUTED_VALUE"""),"RB")</f>
        <v>RB</v>
      </c>
    </row>
    <row r="225" spans="1:5" ht="13" x14ac:dyDescent="0.15">
      <c r="A225" s="16"/>
      <c r="B225" s="3">
        <f ca="1">IFERROR(__xludf.DUMMYFUNCTION("""COMPUTED_VALUE"""),788)</f>
        <v>788</v>
      </c>
      <c r="C225" s="3" t="str">
        <f ca="1">IFERROR(__xludf.DUMMYFUNCTION("""COMPUTED_VALUE"""),"Devine Ozigbo")</f>
        <v>Devine Ozigbo</v>
      </c>
      <c r="D225" s="3" t="str">
        <f ca="1">IFERROR(__xludf.DUMMYFUNCTION("""COMPUTED_VALUE"""),"RB")</f>
        <v>RB</v>
      </c>
    </row>
    <row r="226" spans="1:5" ht="15.75" customHeight="1" x14ac:dyDescent="0.15">
      <c r="B226" s="3">
        <f ca="1">IFERROR(__xludf.DUMMYFUNCTION("""COMPUTED_VALUE"""),781)</f>
        <v>781</v>
      </c>
      <c r="C226" s="3" t="str">
        <f ca="1">IFERROR(__xludf.DUMMYFUNCTION("""COMPUTED_VALUE"""),"Jonathan Williams")</f>
        <v>Jonathan Williams</v>
      </c>
      <c r="D226" s="3" t="str">
        <f ca="1">IFERROR(__xludf.DUMMYFUNCTION("""COMPUTED_VALUE"""),"RB")</f>
        <v>RB</v>
      </c>
      <c r="E226">
        <v>1</v>
      </c>
    </row>
  </sheetData>
  <conditionalFormatting sqref="B2 B7:B75 B78:D78 B4 A82:D225 A76:D77 A2:A76 A78:A81 D2:D75 C2:C23 C34:C75">
    <cfRule type="expression" dxfId="100" priority="18">
      <formula>E2=1</formula>
    </cfRule>
  </conditionalFormatting>
  <conditionalFormatting sqref="C2 C7:C74 C78:D78 B2:B75 B78:B81 C75:D75 C4 B82:D225 B76:D77 D2:D23 D34:D74">
    <cfRule type="expression" dxfId="99" priority="17">
      <formula>E2=1</formula>
    </cfRule>
  </conditionalFormatting>
  <conditionalFormatting sqref="C2:C225">
    <cfRule type="expression" dxfId="98" priority="16">
      <formula>E2=1</formula>
    </cfRule>
  </conditionalFormatting>
  <conditionalFormatting sqref="D2:D225">
    <cfRule type="expression" dxfId="97" priority="15">
      <formula>E2=1</formula>
    </cfRule>
  </conditionalFormatting>
  <conditionalFormatting sqref="B79:D79">
    <cfRule type="expression" dxfId="96" priority="35">
      <formula>G1=1</formula>
    </cfRule>
  </conditionalFormatting>
  <conditionalFormatting sqref="C79:D79">
    <cfRule type="expression" dxfId="95" priority="37">
      <formula>G1=1</formula>
    </cfRule>
  </conditionalFormatting>
  <conditionalFormatting sqref="B80:D80">
    <cfRule type="expression" dxfId="94" priority="39">
      <formula>J1=1</formula>
    </cfRule>
  </conditionalFormatting>
  <conditionalFormatting sqref="C80:D80">
    <cfRule type="expression" dxfId="93" priority="41">
      <formula>J1=1</formula>
    </cfRule>
  </conditionalFormatting>
  <conditionalFormatting sqref="B81:D81">
    <cfRule type="expression" dxfId="92" priority="43">
      <formula>M1=1</formula>
    </cfRule>
  </conditionalFormatting>
  <conditionalFormatting sqref="C81:D81">
    <cfRule type="expression" dxfId="91" priority="45">
      <formula>M1=1</formula>
    </cfRule>
  </conditionalFormatting>
  <conditionalFormatting sqref="B3 B5">
    <cfRule type="expression" dxfId="90" priority="204">
      <formula>#REF!=1</formula>
    </cfRule>
  </conditionalFormatting>
  <conditionalFormatting sqref="C3 C5">
    <cfRule type="expression" dxfId="89" priority="207">
      <formula>#REF!=1</formula>
    </cfRule>
  </conditionalFormatting>
  <conditionalFormatting sqref="A75:B75 A76:A77">
    <cfRule type="expression" dxfId="88" priority="322">
      <formula>#REF!=1</formula>
    </cfRule>
  </conditionalFormatting>
  <conditionalFormatting sqref="A76:B77">
    <cfRule type="expression" dxfId="87" priority="323">
      <formula>E180=1</formula>
    </cfRule>
  </conditionalFormatting>
  <conditionalFormatting sqref="B75">
    <cfRule type="expression" dxfId="86" priority="324">
      <formula>#REF!=1</formula>
    </cfRule>
  </conditionalFormatting>
  <conditionalFormatting sqref="B76:B77">
    <cfRule type="expression" dxfId="85" priority="325">
      <formula>E180=1</formula>
    </cfRule>
  </conditionalFormatting>
  <conditionalFormatting sqref="B6">
    <cfRule type="expression" dxfId="84" priority="526">
      <formula>#REF!=1</formula>
    </cfRule>
  </conditionalFormatting>
  <conditionalFormatting sqref="C6">
    <cfRule type="expression" dxfId="83" priority="527">
      <formula>#REF!=1</formula>
    </cfRule>
  </conditionalFormatting>
  <conditionalFormatting sqref="C24:C30">
    <cfRule type="expression" dxfId="82" priority="930">
      <formula>G27=1</formula>
    </cfRule>
  </conditionalFormatting>
  <conditionalFormatting sqref="C31:C33">
    <cfRule type="expression" dxfId="81" priority="931">
      <formula>#REF!=1</formula>
    </cfRule>
  </conditionalFormatting>
  <conditionalFormatting sqref="D24:D30">
    <cfRule type="expression" dxfId="80" priority="933">
      <formula>G27=1</formula>
    </cfRule>
  </conditionalFormatting>
  <conditionalFormatting sqref="D31:D33">
    <cfRule type="expression" dxfId="79" priority="934">
      <formula>#REF!=1</formula>
    </cfRule>
  </conditionalFormatting>
  <conditionalFormatting sqref="J5">
    <cfRule type="expression" dxfId="78" priority="7">
      <formula>N5=1</formula>
    </cfRule>
  </conditionalFormatting>
  <conditionalFormatting sqref="J5">
    <cfRule type="expression" dxfId="77" priority="6">
      <formula>M5=1</formula>
    </cfRule>
  </conditionalFormatting>
  <conditionalFormatting sqref="J5">
    <cfRule type="expression" dxfId="76" priority="5">
      <formula>L5=1</formula>
    </cfRule>
  </conditionalFormatting>
  <conditionalFormatting sqref="B226:D226">
    <cfRule type="expression" dxfId="75" priority="4">
      <formula>F226=1</formula>
    </cfRule>
  </conditionalFormatting>
  <conditionalFormatting sqref="B226:D226">
    <cfRule type="expression" dxfId="74" priority="3">
      <formula>E226=1</formula>
    </cfRule>
  </conditionalFormatting>
  <conditionalFormatting sqref="C226">
    <cfRule type="expression" dxfId="73" priority="2">
      <formula>E226=1</formula>
    </cfRule>
  </conditionalFormatting>
  <conditionalFormatting sqref="D226">
    <cfRule type="expression" dxfId="72" priority="1">
      <formula>E226=1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07"/>
  <sheetViews>
    <sheetView showGridLines="0" zoomScale="90" zoomScaleNormal="90" workbookViewId="0">
      <pane ySplit="1" topLeftCell="A2" activePane="bottomLeft" state="frozen"/>
      <selection pane="bottomLeft" activeCell="B18" sqref="B18:C18"/>
    </sheetView>
  </sheetViews>
  <sheetFormatPr baseColWidth="10" defaultColWidth="14.5" defaultRowHeight="15.75" customHeight="1" x14ac:dyDescent="0.15"/>
  <cols>
    <col min="3" max="3" width="22.5" bestFit="1" customWidth="1"/>
    <col min="5" max="5" width="14.5" style="6"/>
    <col min="6" max="9" width="14.5" style="24"/>
    <col min="10" max="10" width="17.5" style="24" bestFit="1" customWidth="1"/>
    <col min="11" max="13" width="14.5" style="24"/>
  </cols>
  <sheetData>
    <row r="1" spans="1:12" ht="13" x14ac:dyDescent="0.15">
      <c r="A1" s="20" t="s">
        <v>860</v>
      </c>
      <c r="B1" s="8" t="s">
        <v>0</v>
      </c>
      <c r="C1" s="8" t="s">
        <v>1</v>
      </c>
      <c r="D1" s="8" t="s">
        <v>2</v>
      </c>
      <c r="E1" s="15" t="s">
        <v>861</v>
      </c>
    </row>
    <row r="2" spans="1:12" ht="13" x14ac:dyDescent="0.15">
      <c r="A2" s="11">
        <v>1</v>
      </c>
      <c r="B2" s="3">
        <f ca="1">IFERROR(__xludf.DUMMYFUNCTION("""COMPUTED_VALUE"""),138)</f>
        <v>138</v>
      </c>
      <c r="C2" s="3" t="str">
        <f ca="1">IFERROR(__xludf.DUMMYFUNCTION("""COMPUTED_VALUE"""),"DeAndre Hopkins")</f>
        <v>DeAndre Hopkins</v>
      </c>
      <c r="D2" s="3" t="str">
        <f ca="1">IFERROR(__xludf.DUMMYFUNCTION("""COMPUTED_VALUE"""),"WR")</f>
        <v>WR</v>
      </c>
      <c r="E2" s="80">
        <v>1</v>
      </c>
      <c r="F2" s="28"/>
      <c r="G2" s="61"/>
      <c r="H2" s="77"/>
      <c r="J2" s="77"/>
      <c r="K2" s="28"/>
    </row>
    <row r="3" spans="1:12" ht="13" x14ac:dyDescent="0.15">
      <c r="A3" s="16">
        <f>+A2+1</f>
        <v>2</v>
      </c>
      <c r="B3" s="3">
        <f ca="1">IFERROR(__xludf.DUMMYFUNCTION("""COMPUTED_VALUE"""),135)</f>
        <v>135</v>
      </c>
      <c r="C3" s="3" t="str">
        <f ca="1">IFERROR(__xludf.DUMMYFUNCTION("""COMPUTED_VALUE"""),"Davante Adams")</f>
        <v>Davante Adams</v>
      </c>
      <c r="D3" s="3" t="str">
        <f ca="1">IFERROR(__xludf.DUMMYFUNCTION("""COMPUTED_VALUE"""),"WR")</f>
        <v>WR</v>
      </c>
      <c r="E3" s="30">
        <v>1</v>
      </c>
      <c r="F3" s="78"/>
      <c r="G3" s="28"/>
      <c r="J3" s="77"/>
      <c r="K3" s="28"/>
    </row>
    <row r="4" spans="1:12" ht="13" x14ac:dyDescent="0.15">
      <c r="A4" s="16">
        <f t="shared" ref="A4:A67" si="0">+A3+1</f>
        <v>3</v>
      </c>
      <c r="B4" s="3">
        <f ca="1">IFERROR(__xludf.DUMMYFUNCTION("""COMPUTED_VALUE"""),226)</f>
        <v>226</v>
      </c>
      <c r="C4" s="3" t="str">
        <f ca="1">IFERROR(__xludf.DUMMYFUNCTION("""COMPUTED_VALUE"""),"Julio Jones")</f>
        <v>Julio Jones</v>
      </c>
      <c r="D4" s="3" t="str">
        <f ca="1">IFERROR(__xludf.DUMMYFUNCTION("""COMPUTED_VALUE"""),"WR")</f>
        <v>WR</v>
      </c>
      <c r="E4" s="80"/>
      <c r="F4" s="28"/>
      <c r="G4" s="61"/>
      <c r="I4" s="28"/>
      <c r="J4" s="28"/>
      <c r="K4" s="28"/>
    </row>
    <row r="5" spans="1:12" ht="13" x14ac:dyDescent="0.15">
      <c r="A5" s="16">
        <f t="shared" si="0"/>
        <v>4</v>
      </c>
      <c r="B5" s="3">
        <f ca="1">IFERROR(__xludf.DUMMYFUNCTION("""COMPUTED_VALUE"""),326)</f>
        <v>326</v>
      </c>
      <c r="C5" s="3" t="str">
        <f ca="1">IFERROR(__xludf.DUMMYFUNCTION("""COMPUTED_VALUE"""),"Odell Beckham")</f>
        <v>Odell Beckham</v>
      </c>
      <c r="D5" s="3" t="str">
        <f ca="1">IFERROR(__xludf.DUMMYFUNCTION("""COMPUTED_VALUE"""),"WR")</f>
        <v>WR</v>
      </c>
      <c r="E5" s="30">
        <v>1</v>
      </c>
      <c r="F5" s="78"/>
      <c r="G5" s="28"/>
    </row>
    <row r="6" spans="1:12" ht="13" x14ac:dyDescent="0.15">
      <c r="A6" s="16">
        <f t="shared" si="0"/>
        <v>5</v>
      </c>
      <c r="B6" s="3">
        <f ca="1">IFERROR(__xludf.DUMMYFUNCTION("""COMPUTED_VALUE"""),294)</f>
        <v>294</v>
      </c>
      <c r="C6" s="3" t="str">
        <f ca="1">IFERROR(__xludf.DUMMYFUNCTION("""COMPUTED_VALUE"""),"Michael Thomas")</f>
        <v>Michael Thomas</v>
      </c>
      <c r="D6" s="3" t="str">
        <f ca="1">IFERROR(__xludf.DUMMYFUNCTION("""COMPUTED_VALUE"""),"WR")</f>
        <v>WR</v>
      </c>
      <c r="E6" s="30"/>
      <c r="F6" s="78"/>
      <c r="G6" s="28"/>
    </row>
    <row r="7" spans="1:12" ht="13" x14ac:dyDescent="0.15">
      <c r="A7" s="16">
        <f t="shared" si="0"/>
        <v>6</v>
      </c>
      <c r="B7" s="3">
        <f ca="1">IFERROR(__xludf.DUMMYFUNCTION("""COMPUTED_VALUE"""),296)</f>
        <v>296</v>
      </c>
      <c r="C7" s="3" t="str">
        <f ca="1">IFERROR(__xludf.DUMMYFUNCTION("""COMPUTED_VALUE"""),"Mike Evans")</f>
        <v>Mike Evans</v>
      </c>
      <c r="D7" s="3" t="str">
        <f ca="1">IFERROR(__xludf.DUMMYFUNCTION("""COMPUTED_VALUE"""),"WR")</f>
        <v>WR</v>
      </c>
      <c r="E7" s="30">
        <v>1</v>
      </c>
      <c r="F7" s="78"/>
    </row>
    <row r="8" spans="1:12" ht="13" x14ac:dyDescent="0.15">
      <c r="A8" s="16">
        <f t="shared" si="0"/>
        <v>7</v>
      </c>
      <c r="B8" s="3">
        <f ca="1">IFERROR(__xludf.DUMMYFUNCTION("""COMPUTED_VALUE"""),425)</f>
        <v>425</v>
      </c>
      <c r="C8" s="3" t="str">
        <f ca="1">IFERROR(__xludf.DUMMYFUNCTION("""COMPUTED_VALUE"""),"Tyreek Hill")</f>
        <v>Tyreek Hill</v>
      </c>
      <c r="D8" s="3" t="str">
        <f ca="1">IFERROR(__xludf.DUMMYFUNCTION("""COMPUTED_VALUE"""),"WR")</f>
        <v>WR</v>
      </c>
      <c r="E8" s="30">
        <v>1</v>
      </c>
      <c r="F8" s="78"/>
    </row>
    <row r="9" spans="1:12" ht="13" x14ac:dyDescent="0.15">
      <c r="A9" s="16">
        <f t="shared" si="0"/>
        <v>8</v>
      </c>
      <c r="B9" s="3">
        <f ca="1">IFERROR(__xludf.DUMMYFUNCTION("""COMPUTED_VALUE"""),225)</f>
        <v>225</v>
      </c>
      <c r="C9" s="3" t="str">
        <f ca="1">IFERROR(__xludf.DUMMYFUNCTION("""COMPUTED_VALUE"""),"JuJu Smith-Schuster")</f>
        <v>JuJu Smith-Schuster</v>
      </c>
      <c r="D9" s="3" t="str">
        <f ca="1">IFERROR(__xludf.DUMMYFUNCTION("""COMPUTED_VALUE"""),"WR")</f>
        <v>WR</v>
      </c>
      <c r="E9" s="30"/>
      <c r="F9" s="78"/>
    </row>
    <row r="10" spans="1:12" ht="13" x14ac:dyDescent="0.15">
      <c r="A10" s="16">
        <f t="shared" si="0"/>
        <v>9</v>
      </c>
      <c r="B10" s="3">
        <f ca="1">IFERROR(__xludf.DUMMYFUNCTION("""COMPUTED_VALUE"""),100)</f>
        <v>100</v>
      </c>
      <c r="C10" s="3" t="str">
        <f ca="1">IFERROR(__xludf.DUMMYFUNCTION("""COMPUTED_VALUE"""),"Antonio Brown")</f>
        <v>Antonio Brown</v>
      </c>
      <c r="D10" s="3" t="str">
        <f ca="1">IFERROR(__xludf.DUMMYFUNCTION("""COMPUTED_VALUE"""),"WR")</f>
        <v>WR</v>
      </c>
      <c r="E10" s="6">
        <v>1</v>
      </c>
    </row>
    <row r="11" spans="1:12" ht="13" x14ac:dyDescent="0.15">
      <c r="A11" s="16">
        <f t="shared" si="0"/>
        <v>10</v>
      </c>
      <c r="B11" s="3">
        <f ca="1">IFERROR(__xludf.DUMMYFUNCTION("""COMPUTED_VALUE"""),234)</f>
        <v>234</v>
      </c>
      <c r="C11" s="3" t="str">
        <f ca="1">IFERROR(__xludf.DUMMYFUNCTION("""COMPUTED_VALUE"""),"Keenan Allen")</f>
        <v>Keenan Allen</v>
      </c>
      <c r="D11" s="3" t="str">
        <f ca="1">IFERROR(__xludf.DUMMYFUNCTION("""COMPUTED_VALUE"""),"WR")</f>
        <v>WR</v>
      </c>
      <c r="E11" s="80">
        <v>1</v>
      </c>
    </row>
    <row r="12" spans="1:12" ht="13" x14ac:dyDescent="0.15">
      <c r="A12" s="16">
        <f t="shared" si="0"/>
        <v>11</v>
      </c>
      <c r="B12" s="3">
        <f ca="1">IFERROR(__xludf.DUMMYFUNCTION("""COMPUTED_VALUE"""),614)</f>
        <v>614</v>
      </c>
      <c r="C12" s="3" t="str">
        <f ca="1">IFERROR(__xludf.DUMMYFUNCTION("""COMPUTED_VALUE"""),"DJ Chark")</f>
        <v>DJ Chark</v>
      </c>
      <c r="D12" s="3" t="str">
        <f ca="1">IFERROR(__xludf.DUMMYFUNCTION("""COMPUTED_VALUE"""),"WR")</f>
        <v>WR</v>
      </c>
      <c r="E12" s="30">
        <v>1</v>
      </c>
      <c r="F12" s="78"/>
      <c r="I12" s="79"/>
      <c r="J12" s="17"/>
      <c r="K12" s="17"/>
      <c r="L12" s="17"/>
    </row>
    <row r="13" spans="1:12" ht="13" x14ac:dyDescent="0.15">
      <c r="A13" s="16">
        <f t="shared" si="0"/>
        <v>12</v>
      </c>
      <c r="B13" s="3">
        <f ca="1">IFERROR(__xludf.DUMMYFUNCTION("""COMPUTED_VALUE"""),84)</f>
        <v>84</v>
      </c>
      <c r="C13" s="3" t="str">
        <f ca="1">IFERROR(__xludf.DUMMYFUNCTION("""COMPUTED_VALUE"""),"Adam Thielen")</f>
        <v>Adam Thielen</v>
      </c>
      <c r="D13" s="3" t="str">
        <f ca="1">IFERROR(__xludf.DUMMYFUNCTION("""COMPUTED_VALUE"""),"WR")</f>
        <v>WR</v>
      </c>
      <c r="J13" s="28"/>
      <c r="K13" s="28"/>
      <c r="L13" s="28"/>
    </row>
    <row r="14" spans="1:12" ht="13" x14ac:dyDescent="0.15">
      <c r="A14" s="16">
        <f t="shared" si="0"/>
        <v>13</v>
      </c>
      <c r="B14" s="3">
        <f ca="1">IFERROR(__xludf.DUMMYFUNCTION("""COMPUTED_VALUE"""),81)</f>
        <v>81</v>
      </c>
      <c r="C14" s="3" t="str">
        <f ca="1">IFERROR(__xludf.DUMMYFUNCTION("""COMPUTED_VALUE"""),"A.J. Green")</f>
        <v>A.J. Green</v>
      </c>
      <c r="D14" s="3" t="str">
        <f ca="1">IFERROR(__xludf.DUMMYFUNCTION("""COMPUTED_VALUE"""),"WR")</f>
        <v>WR</v>
      </c>
      <c r="J14" s="28"/>
      <c r="K14" s="28"/>
      <c r="L14" s="28"/>
    </row>
    <row r="15" spans="1:12" ht="13" x14ac:dyDescent="0.15">
      <c r="A15" s="16">
        <f t="shared" si="0"/>
        <v>14</v>
      </c>
      <c r="B15" s="3">
        <f ca="1">IFERROR(__xludf.DUMMYFUNCTION("""COMPUTED_VALUE"""),368)</f>
        <v>368</v>
      </c>
      <c r="C15" s="3" t="str">
        <f ca="1">IFERROR(__xludf.DUMMYFUNCTION("""COMPUTED_VALUE"""),"Stefon Diggs")</f>
        <v>Stefon Diggs</v>
      </c>
      <c r="D15" s="3" t="str">
        <f ca="1">IFERROR(__xludf.DUMMYFUNCTION("""COMPUTED_VALUE"""),"WR")</f>
        <v>WR</v>
      </c>
      <c r="E15" s="6">
        <v>1</v>
      </c>
      <c r="J15" s="28"/>
      <c r="K15" s="28"/>
      <c r="L15" s="28"/>
    </row>
    <row r="16" spans="1:12" ht="13" x14ac:dyDescent="0.15">
      <c r="A16" s="16">
        <f t="shared" si="0"/>
        <v>15</v>
      </c>
      <c r="B16" s="3">
        <f ca="1">IFERROR(__xludf.DUMMYFUNCTION("""COMPUTED_VALUE"""),97)</f>
        <v>97</v>
      </c>
      <c r="C16" s="3" t="str">
        <f ca="1">IFERROR(__xludf.DUMMYFUNCTION("""COMPUTED_VALUE"""),"Amari Cooper")</f>
        <v>Amari Cooper</v>
      </c>
      <c r="D16" s="3" t="str">
        <f ca="1">IFERROR(__xludf.DUMMYFUNCTION("""COMPUTED_VALUE"""),"WR")</f>
        <v>WR</v>
      </c>
      <c r="E16" s="80">
        <v>1</v>
      </c>
      <c r="G16" s="61"/>
      <c r="J16" s="28"/>
      <c r="K16" s="28"/>
      <c r="L16" s="28"/>
    </row>
    <row r="17" spans="1:13" ht="13" x14ac:dyDescent="0.15">
      <c r="A17" s="16">
        <f t="shared" si="0"/>
        <v>16</v>
      </c>
      <c r="B17" s="3">
        <f ca="1">IFERROR(__xludf.DUMMYFUNCTION("""COMPUTED_VALUE"""),111)</f>
        <v>111</v>
      </c>
      <c r="C17" s="3" t="str">
        <f ca="1">IFERROR(__xludf.DUMMYFUNCTION("""COMPUTED_VALUE"""),"Brandin Cooks")</f>
        <v>Brandin Cooks</v>
      </c>
      <c r="D17" s="3" t="str">
        <f ca="1">IFERROR(__xludf.DUMMYFUNCTION("""COMPUTED_VALUE"""),"WR")</f>
        <v>WR</v>
      </c>
      <c r="J17" s="28"/>
      <c r="K17" s="28"/>
      <c r="L17" s="28"/>
    </row>
    <row r="18" spans="1:13" ht="13" x14ac:dyDescent="0.15">
      <c r="A18" s="16">
        <f t="shared" si="0"/>
        <v>17</v>
      </c>
      <c r="B18" s="3">
        <f ca="1">IFERROR(__xludf.DUMMYFUNCTION("""COMPUTED_VALUE"""),111)</f>
        <v>111</v>
      </c>
      <c r="C18" s="3" t="str">
        <f ca="1">IFERROR(__xludf.DUMMYFUNCTION("""COMPUTED_VALUE"""),"Robert Woods")</f>
        <v>Robert Woods</v>
      </c>
      <c r="D18" s="3" t="str">
        <f ca="1">IFERROR(__xludf.DUMMYFUNCTION("""COMPUTED_VALUE"""),"WR")</f>
        <v>WR</v>
      </c>
    </row>
    <row r="19" spans="1:13" ht="13" x14ac:dyDescent="0.15">
      <c r="A19" s="16">
        <f t="shared" si="0"/>
        <v>18</v>
      </c>
      <c r="B19" s="3">
        <f ca="1">IFERROR(__xludf.DUMMYFUNCTION("""COMPUTED_VALUE"""),535)</f>
        <v>535</v>
      </c>
      <c r="C19" s="3" t="str">
        <f ca="1">IFERROR(__xludf.DUMMYFUNCTION("""COMPUTED_VALUE"""),"Julian Edelman")</f>
        <v>Julian Edelman</v>
      </c>
      <c r="D19" s="3" t="str">
        <f ca="1">IFERROR(__xludf.DUMMYFUNCTION("""COMPUTED_VALUE"""),"WR")</f>
        <v>WR</v>
      </c>
      <c r="E19" s="6">
        <v>1</v>
      </c>
      <c r="I19" s="79"/>
      <c r="J19" s="17"/>
      <c r="K19" s="17"/>
      <c r="L19" s="17"/>
    </row>
    <row r="20" spans="1:13" ht="13" x14ac:dyDescent="0.15">
      <c r="A20" s="16">
        <f t="shared" si="0"/>
        <v>19</v>
      </c>
      <c r="B20" s="3">
        <f ca="1">IFERROR(__xludf.DUMMYFUNCTION("""COMPUTED_VALUE"""),335)</f>
        <v>335</v>
      </c>
      <c r="C20" s="3" t="str">
        <f ca="1">IFERROR(__xludf.DUMMYFUNCTION("""COMPUTED_VALUE"""),"Tyler Lockett")</f>
        <v>Tyler Lockett</v>
      </c>
      <c r="D20" s="3" t="str">
        <f ca="1">IFERROR(__xludf.DUMMYFUNCTION("""COMPUTED_VALUE"""),"WR")</f>
        <v>WR</v>
      </c>
      <c r="E20" s="30">
        <v>1</v>
      </c>
      <c r="I20" s="17"/>
      <c r="J20" s="17"/>
      <c r="K20" s="17"/>
      <c r="L20" s="17"/>
      <c r="M20" s="81"/>
    </row>
    <row r="21" spans="1:13" ht="13" x14ac:dyDescent="0.15">
      <c r="A21" s="16">
        <f t="shared" si="0"/>
        <v>20</v>
      </c>
      <c r="B21" s="3">
        <f ca="1">IFERROR(__xludf.DUMMYFUNCTION("""COMPUTED_VALUE"""),236)</f>
        <v>236</v>
      </c>
      <c r="C21" s="3" t="str">
        <f ca="1">IFERROR(__xludf.DUMMYFUNCTION("""COMPUTED_VALUE"""),"Kenny Golladay")</f>
        <v>Kenny Golladay</v>
      </c>
      <c r="D21" s="3" t="str">
        <f ca="1">IFERROR(__xludf.DUMMYFUNCTION("""COMPUTED_VALUE"""),"WR")</f>
        <v>WR</v>
      </c>
      <c r="E21" s="30">
        <v>1</v>
      </c>
      <c r="F21" s="78"/>
      <c r="J21" s="28"/>
      <c r="K21" s="28"/>
      <c r="L21" s="28"/>
    </row>
    <row r="22" spans="1:13" ht="13" x14ac:dyDescent="0.15">
      <c r="A22" s="16">
        <f t="shared" si="0"/>
        <v>21</v>
      </c>
      <c r="B22" s="3">
        <f ca="1">IFERROR(__xludf.DUMMYFUNCTION("""COMPUTED_VALUE"""),383)</f>
        <v>383</v>
      </c>
      <c r="C22" s="3" t="str">
        <f ca="1">IFERROR(__xludf.DUMMYFUNCTION("""COMPUTED_VALUE"""),"T.Y. Hilton")</f>
        <v>T.Y. Hilton</v>
      </c>
      <c r="D22" s="3" t="str">
        <f ca="1">IFERROR(__xludf.DUMMYFUNCTION("""COMPUTED_VALUE"""),"WR")</f>
        <v>WR</v>
      </c>
      <c r="E22" s="30"/>
      <c r="F22" s="78"/>
      <c r="J22" s="28"/>
      <c r="K22" s="28"/>
      <c r="L22" s="28"/>
    </row>
    <row r="23" spans="1:13" ht="13" x14ac:dyDescent="0.15">
      <c r="A23" s="16">
        <f t="shared" si="0"/>
        <v>22</v>
      </c>
      <c r="B23" s="3">
        <f ca="1">IFERROR(__xludf.DUMMYFUNCTION("""COMPUTED_VALUE"""),19)</f>
        <v>19</v>
      </c>
      <c r="C23" s="3" t="str">
        <f ca="1">IFERROR(__xludf.DUMMYFUNCTION("""COMPUTED_VALUE"""),"Chris Godwin")</f>
        <v>Chris Godwin</v>
      </c>
      <c r="D23" s="3" t="str">
        <f ca="1">IFERROR(__xludf.DUMMYFUNCTION("""COMPUTED_VALUE"""),"WR")</f>
        <v>WR</v>
      </c>
      <c r="E23" s="30">
        <v>1</v>
      </c>
      <c r="F23" s="78"/>
      <c r="J23" s="28"/>
      <c r="K23" s="28"/>
      <c r="L23" s="28"/>
      <c r="M23" s="78"/>
    </row>
    <row r="24" spans="1:13" ht="13" x14ac:dyDescent="0.15">
      <c r="A24" s="16">
        <f t="shared" si="0"/>
        <v>23</v>
      </c>
      <c r="B24" s="3">
        <f ca="1">IFERROR(__xludf.DUMMYFUNCTION("""COMPUTED_VALUE"""),322)</f>
        <v>322</v>
      </c>
      <c r="C24" s="3" t="str">
        <f ca="1">IFERROR(__xludf.DUMMYFUNCTION("""COMPUTED_VALUE"""),"Tyler Boyd")</f>
        <v>Tyler Boyd</v>
      </c>
      <c r="D24" s="3" t="str">
        <f ca="1">IFERROR(__xludf.DUMMYFUNCTION("""COMPUTED_VALUE"""),"WR")</f>
        <v>WR</v>
      </c>
      <c r="E24" s="6">
        <v>1</v>
      </c>
      <c r="J24" s="28"/>
      <c r="K24" s="28"/>
      <c r="L24" s="28"/>
    </row>
    <row r="25" spans="1:13" ht="13" x14ac:dyDescent="0.15">
      <c r="A25" s="16">
        <f t="shared" si="0"/>
        <v>24</v>
      </c>
      <c r="B25" s="3">
        <f ca="1">IFERROR(__xludf.DUMMYFUNCTION("""COMPUTED_VALUE"""),129)</f>
        <v>129</v>
      </c>
      <c r="C25" s="3" t="str">
        <f ca="1">IFERROR(__xludf.DUMMYFUNCTION("""COMPUTED_VALUE"""),"Cooper Kupp")</f>
        <v>Cooper Kupp</v>
      </c>
      <c r="D25" s="3" t="str">
        <f ca="1">IFERROR(__xludf.DUMMYFUNCTION("""COMPUTED_VALUE"""),"WR")</f>
        <v>WR</v>
      </c>
      <c r="E25" s="6">
        <v>1</v>
      </c>
    </row>
    <row r="26" spans="1:13" ht="13" x14ac:dyDescent="0.15">
      <c r="A26" s="16">
        <f t="shared" si="0"/>
        <v>25</v>
      </c>
      <c r="B26" s="3">
        <f ca="1">IFERROR(__xludf.DUMMYFUNCTION("""COMPUTED_VALUE"""),496)</f>
        <v>496</v>
      </c>
      <c r="C26" s="3" t="str">
        <f ca="1">IFERROR(__xludf.DUMMYFUNCTION("""COMPUTED_VALUE"""),"Allen Robinson")</f>
        <v>Allen Robinson</v>
      </c>
      <c r="D26" s="3" t="str">
        <f ca="1">IFERROR(__xludf.DUMMYFUNCTION("""COMPUTED_VALUE"""),"WR")</f>
        <v>WR</v>
      </c>
      <c r="E26" s="6">
        <v>1</v>
      </c>
      <c r="I26" s="79"/>
      <c r="J26" s="17"/>
      <c r="K26" s="17"/>
      <c r="L26" s="17"/>
    </row>
    <row r="27" spans="1:13" ht="13" x14ac:dyDescent="0.15">
      <c r="A27" s="16">
        <f t="shared" si="0"/>
        <v>26</v>
      </c>
      <c r="B27" s="3">
        <f ca="1">IFERROR(__xludf.DUMMYFUNCTION("""COMPUTED_VALUE"""),92)</f>
        <v>92</v>
      </c>
      <c r="C27" s="3" t="str">
        <f ca="1">IFERROR(__xludf.DUMMYFUNCTION("""COMPUTED_VALUE"""),"Alshon Jeffery")</f>
        <v>Alshon Jeffery</v>
      </c>
      <c r="D27" s="3" t="str">
        <f ca="1">IFERROR(__xludf.DUMMYFUNCTION("""COMPUTED_VALUE"""),"WR")</f>
        <v>WR</v>
      </c>
      <c r="J27" s="28"/>
      <c r="K27" s="28"/>
    </row>
    <row r="28" spans="1:13" ht="13" x14ac:dyDescent="0.15">
      <c r="A28" s="16">
        <f t="shared" si="0"/>
        <v>27</v>
      </c>
      <c r="B28" s="3">
        <f ca="1">IFERROR(__xludf.DUMMYFUNCTION("""COMPUTED_VALUE"""),540)</f>
        <v>540</v>
      </c>
      <c r="C28" s="3" t="str">
        <f ca="1">IFERROR(__xludf.DUMMYFUNCTION("""COMPUTED_VALUE"""),"D.J. Moore")</f>
        <v>D.J. Moore</v>
      </c>
      <c r="D28" s="3" t="str">
        <f ca="1">IFERROR(__xludf.DUMMYFUNCTION("""COMPUTED_VALUE"""),"WR")</f>
        <v>WR</v>
      </c>
      <c r="E28" s="6">
        <v>1</v>
      </c>
      <c r="J28" s="28"/>
      <c r="K28" s="28"/>
    </row>
    <row r="29" spans="1:13" ht="13" x14ac:dyDescent="0.15">
      <c r="A29" s="16">
        <f t="shared" si="0"/>
        <v>28</v>
      </c>
      <c r="B29" s="3">
        <f ca="1">IFERROR(__xludf.DUMMYFUNCTION("""COMPUTED_VALUE"""),223)</f>
        <v>223</v>
      </c>
      <c r="C29" s="3" t="str">
        <f ca="1">IFERROR(__xludf.DUMMYFUNCTION("""COMPUTED_VALUE"""),"Josh Gordon")</f>
        <v>Josh Gordon</v>
      </c>
      <c r="D29" s="3" t="str">
        <f ca="1">IFERROR(__xludf.DUMMYFUNCTION("""COMPUTED_VALUE"""),"WR")</f>
        <v>WR</v>
      </c>
      <c r="E29" s="6">
        <v>1</v>
      </c>
      <c r="J29" s="28"/>
      <c r="K29" s="28"/>
      <c r="L29" s="28"/>
    </row>
    <row r="30" spans="1:13" ht="13" x14ac:dyDescent="0.15">
      <c r="A30" s="16">
        <f t="shared" si="0"/>
        <v>29</v>
      </c>
      <c r="B30" s="3">
        <f ca="1">IFERROR(__xludf.DUMMYFUNCTION("""COMPUTED_VALUE"""),192)</f>
        <v>192</v>
      </c>
      <c r="C30" s="3" t="str">
        <f ca="1">IFERROR(__xludf.DUMMYFUNCTION("""COMPUTED_VALUE"""),"Jarvis Landry")</f>
        <v>Jarvis Landry</v>
      </c>
      <c r="D30" s="3" t="str">
        <f ca="1">IFERROR(__xludf.DUMMYFUNCTION("""COMPUTED_VALUE"""),"WR")</f>
        <v>WR</v>
      </c>
      <c r="E30" s="6">
        <v>1</v>
      </c>
      <c r="J30" s="28"/>
      <c r="K30" s="28"/>
      <c r="L30" s="28"/>
    </row>
    <row r="31" spans="1:13" ht="13" x14ac:dyDescent="0.15">
      <c r="A31" s="16">
        <f t="shared" si="0"/>
        <v>30</v>
      </c>
      <c r="B31" s="3">
        <f ca="1">IFERROR(__xludf.DUMMYFUNCTION("""COMPUTED_VALUE"""),533)</f>
        <v>533</v>
      </c>
      <c r="C31" s="3" t="str">
        <f ca="1">IFERROR(__xludf.DUMMYFUNCTION("""COMPUTED_VALUE"""),"Calvin Ridley")</f>
        <v>Calvin Ridley</v>
      </c>
      <c r="D31" s="3" t="str">
        <f ca="1">IFERROR(__xludf.DUMMYFUNCTION("""COMPUTED_VALUE"""),"WR")</f>
        <v>WR</v>
      </c>
      <c r="E31" s="6">
        <v>1</v>
      </c>
    </row>
    <row r="32" spans="1:13" ht="13" x14ac:dyDescent="0.15">
      <c r="A32" s="16">
        <f t="shared" si="0"/>
        <v>31</v>
      </c>
      <c r="B32" s="3">
        <f ca="1">IFERROR(__xludf.DUMMYFUNCTION("""COMPUTED_VALUE"""),366)</f>
        <v>366</v>
      </c>
      <c r="C32" s="3" t="str">
        <f ca="1">IFERROR(__xludf.DUMMYFUNCTION("""COMPUTED_VALUE"""),"Sammy Watkins")</f>
        <v>Sammy Watkins</v>
      </c>
      <c r="D32" s="3" t="str">
        <f ca="1">IFERROR(__xludf.DUMMYFUNCTION("""COMPUTED_VALUE"""),"WR")</f>
        <v>WR</v>
      </c>
    </row>
    <row r="33" spans="1:5" ht="13" x14ac:dyDescent="0.15">
      <c r="A33" s="16">
        <f t="shared" si="0"/>
        <v>32</v>
      </c>
      <c r="B33" s="3">
        <f ca="1">IFERROR(__xludf.DUMMYFUNCTION("""COMPUTED_VALUE"""),343)</f>
        <v>343</v>
      </c>
      <c r="C33" s="3" t="str">
        <f ca="1">IFERROR(__xludf.DUMMYFUNCTION("""COMPUTED_VALUE"""),"Robby Anderson")</f>
        <v>Robby Anderson</v>
      </c>
      <c r="D33" s="3" t="str">
        <f ca="1">IFERROR(__xludf.DUMMYFUNCTION("""COMPUTED_VALUE"""),"WR")</f>
        <v>WR</v>
      </c>
      <c r="E33" s="6">
        <v>1</v>
      </c>
    </row>
    <row r="34" spans="1:5" ht="13" x14ac:dyDescent="0.15">
      <c r="A34" s="16">
        <f t="shared" si="0"/>
        <v>33</v>
      </c>
      <c r="B34" s="3">
        <f ca="1">IFERROR(__xludf.DUMMYFUNCTION("""COMPUTED_VALUE"""),28)</f>
        <v>28</v>
      </c>
      <c r="C34" s="3" t="str">
        <f ca="1">IFERROR(__xludf.DUMMYFUNCTION("""COMPUTED_VALUE"""),"Corey Davis")</f>
        <v>Corey Davis</v>
      </c>
      <c r="D34" s="3" t="str">
        <f ca="1">IFERROR(__xludf.DUMMYFUNCTION("""COMPUTED_VALUE"""),"WR")</f>
        <v>WR</v>
      </c>
      <c r="E34" s="6">
        <v>1</v>
      </c>
    </row>
    <row r="35" spans="1:5" ht="13" x14ac:dyDescent="0.15">
      <c r="A35" s="16">
        <f t="shared" si="0"/>
        <v>34</v>
      </c>
      <c r="B35" s="3">
        <f ca="1">IFERROR(__xludf.DUMMYFUNCTION("""COMPUTED_VALUE"""),140)</f>
        <v>140</v>
      </c>
      <c r="C35" s="3" t="str">
        <f ca="1">IFERROR(__xludf.DUMMYFUNCTION("""COMPUTED_VALUE"""),"Dede Westbrook")</f>
        <v>Dede Westbrook</v>
      </c>
      <c r="D35" s="3" t="str">
        <f ca="1">IFERROR(__xludf.DUMMYFUNCTION("""COMPUTED_VALUE"""),"WR")</f>
        <v>WR</v>
      </c>
      <c r="E35" s="6">
        <v>1</v>
      </c>
    </row>
    <row r="36" spans="1:5" ht="13" x14ac:dyDescent="0.15">
      <c r="A36" s="16">
        <f t="shared" si="0"/>
        <v>35</v>
      </c>
      <c r="B36" s="3">
        <f ca="1">IFERROR(__xludf.DUMMYFUNCTION("""COMPUTED_VALUE"""),278)</f>
        <v>278</v>
      </c>
      <c r="C36" s="3" t="str">
        <f ca="1">IFERROR(__xludf.DUMMYFUNCTION("""COMPUTED_VALUE"""),"Marvin Jones")</f>
        <v>Marvin Jones</v>
      </c>
      <c r="D36" s="3" t="str">
        <f ca="1">IFERROR(__xludf.DUMMYFUNCTION("""COMPUTED_VALUE"""),"WR")</f>
        <v>WR</v>
      </c>
      <c r="E36" s="6">
        <v>1</v>
      </c>
    </row>
    <row r="37" spans="1:5" ht="13" x14ac:dyDescent="0.15">
      <c r="A37" s="16">
        <f t="shared" si="0"/>
        <v>36</v>
      </c>
      <c r="B37" s="3">
        <f ca="1">IFERROR(__xludf.DUMMYFUNCTION("""COMPUTED_VALUE"""),255)</f>
        <v>255</v>
      </c>
      <c r="C37" s="3" t="str">
        <f ca="1">IFERROR(__xludf.DUMMYFUNCTION("""COMPUTED_VALUE"""),"Curtis Samuel")</f>
        <v>Curtis Samuel</v>
      </c>
      <c r="D37" s="3" t="str">
        <f ca="1">IFERROR(__xludf.DUMMYFUNCTION("""COMPUTED_VALUE"""),"WR")</f>
        <v>WR</v>
      </c>
      <c r="E37" s="6">
        <v>1</v>
      </c>
    </row>
    <row r="38" spans="1:5" ht="13" x14ac:dyDescent="0.15">
      <c r="A38" s="16">
        <f t="shared" si="0"/>
        <v>37</v>
      </c>
      <c r="B38" s="3">
        <f ca="1">IFERROR(__xludf.DUMMYFUNCTION("""COMPUTED_VALUE"""),361)</f>
        <v>361</v>
      </c>
      <c r="C38" s="3" t="str">
        <f ca="1">IFERROR(__xludf.DUMMYFUNCTION("""COMPUTED_VALUE"""),"Mike Williams")</f>
        <v>Mike Williams</v>
      </c>
      <c r="D38" s="3" t="str">
        <f ca="1">IFERROR(__xludf.DUMMYFUNCTION("""COMPUTED_VALUE"""),"WR")</f>
        <v>WR</v>
      </c>
      <c r="E38" s="6">
        <v>1</v>
      </c>
    </row>
    <row r="39" spans="1:5" ht="13" x14ac:dyDescent="0.15">
      <c r="A39" s="16">
        <f t="shared" si="0"/>
        <v>38</v>
      </c>
      <c r="B39" s="3">
        <f ca="1">IFERROR(__xludf.DUMMYFUNCTION("""COMPUTED_VALUE"""),248)</f>
        <v>248</v>
      </c>
      <c r="C39" s="3" t="str">
        <f ca="1">IFERROR(__xludf.DUMMYFUNCTION("""COMPUTED_VALUE"""),"Larry Fitzgerald")</f>
        <v>Larry Fitzgerald</v>
      </c>
      <c r="D39" s="3" t="str">
        <f ca="1">IFERROR(__xludf.DUMMYFUNCTION("""COMPUTED_VALUE"""),"WR")</f>
        <v>WR</v>
      </c>
      <c r="E39" s="6">
        <v>1</v>
      </c>
    </row>
    <row r="40" spans="1:5" ht="13" x14ac:dyDescent="0.15">
      <c r="A40" s="16">
        <f t="shared" si="0"/>
        <v>39</v>
      </c>
      <c r="B40" s="3">
        <f ca="1">IFERROR(__xludf.DUMMYFUNCTION("""COMPUTED_VALUE"""),548)</f>
        <v>548</v>
      </c>
      <c r="C40" s="3" t="str">
        <f ca="1">IFERROR(__xludf.DUMMYFUNCTION("""COMPUTED_VALUE"""),"Christian Kirk")</f>
        <v>Christian Kirk</v>
      </c>
      <c r="D40" s="3" t="str">
        <f ca="1">IFERROR(__xludf.DUMMYFUNCTION("""COMPUTED_VALUE"""),"WR")</f>
        <v>WR</v>
      </c>
      <c r="E40" s="6">
        <v>1</v>
      </c>
    </row>
    <row r="41" spans="1:5" ht="13" x14ac:dyDescent="0.15">
      <c r="A41" s="16">
        <f t="shared" si="0"/>
        <v>40</v>
      </c>
      <c r="B41" s="3">
        <f ca="1">IFERROR(__xludf.DUMMYFUNCTION("""COMPUTED_VALUE"""),370)</f>
        <v>370</v>
      </c>
      <c r="C41" s="3" t="str">
        <f ca="1">IFERROR(__xludf.DUMMYFUNCTION("""COMPUTED_VALUE"""),"Sterling Shepard")</f>
        <v>Sterling Shepard</v>
      </c>
      <c r="D41" s="3" t="str">
        <f ca="1">IFERROR(__xludf.DUMMYFUNCTION("""COMPUTED_VALUE"""),"WR")</f>
        <v>WR</v>
      </c>
    </row>
    <row r="42" spans="1:5" ht="13" x14ac:dyDescent="0.15">
      <c r="A42" s="16">
        <f t="shared" si="0"/>
        <v>41</v>
      </c>
      <c r="B42" s="3">
        <f ca="1">IFERROR(__xludf.DUMMYFUNCTION("""COMPUTED_VALUE"""),436)</f>
        <v>436</v>
      </c>
      <c r="C42" s="3" t="str">
        <f ca="1">IFERROR(__xludf.DUMMYFUNCTION("""COMPUTED_VALUE"""),"Will Fuller")</f>
        <v>Will Fuller</v>
      </c>
      <c r="D42" s="3" t="str">
        <f ca="1">IFERROR(__xludf.DUMMYFUNCTION("""COMPUTED_VALUE"""),"WR")</f>
        <v>WR</v>
      </c>
    </row>
    <row r="43" spans="1:5" ht="13" x14ac:dyDescent="0.15">
      <c r="A43" s="16">
        <f t="shared" si="0"/>
        <v>42</v>
      </c>
      <c r="B43" s="3">
        <f ca="1">IFERROR(__xludf.DUMMYFUNCTION("""COMPUTED_VALUE"""),170)</f>
        <v>170</v>
      </c>
      <c r="C43" s="3" t="str">
        <f ca="1">IFERROR(__xludf.DUMMYFUNCTION("""COMPUTED_VALUE"""),"Emmanuel Sanders")</f>
        <v>Emmanuel Sanders</v>
      </c>
      <c r="D43" s="3" t="str">
        <f ca="1">IFERROR(__xludf.DUMMYFUNCTION("""COMPUTED_VALUE"""),"WR")</f>
        <v>WR</v>
      </c>
      <c r="E43" s="30"/>
    </row>
    <row r="44" spans="1:5" ht="13" x14ac:dyDescent="0.15">
      <c r="A44" s="16">
        <f t="shared" si="0"/>
        <v>43</v>
      </c>
      <c r="B44" s="3">
        <f ca="1">IFERROR(__xludf.DUMMYFUNCTION("""COMPUTED_VALUE"""),542)</f>
        <v>542</v>
      </c>
      <c r="C44" s="3" t="str">
        <f ca="1">IFERROR(__xludf.DUMMYFUNCTION("""COMPUTED_VALUE"""),"Courtland Sutton")</f>
        <v>Courtland Sutton</v>
      </c>
      <c r="D44" s="3" t="str">
        <f ca="1">IFERROR(__xludf.DUMMYFUNCTION("""COMPUTED_VALUE"""),"WR")</f>
        <v>WR</v>
      </c>
    </row>
    <row r="45" spans="1:5" ht="13" x14ac:dyDescent="0.15">
      <c r="A45" s="16">
        <f t="shared" si="0"/>
        <v>44</v>
      </c>
      <c r="B45" s="3">
        <f ca="1">IFERROR(__xludf.DUMMYFUNCTION("""COMPUTED_VALUE"""),549)</f>
        <v>549</v>
      </c>
      <c r="C45" s="3" t="str">
        <f ca="1">IFERROR(__xludf.DUMMYFUNCTION("""COMPUTED_VALUE"""),"Dante Pettis")</f>
        <v>Dante Pettis</v>
      </c>
      <c r="D45" s="3" t="str">
        <f ca="1">IFERROR(__xludf.DUMMYFUNCTION("""COMPUTED_VALUE"""),"WR")</f>
        <v>WR</v>
      </c>
    </row>
    <row r="46" spans="1:5" ht="13" x14ac:dyDescent="0.15">
      <c r="A46" s="16">
        <f t="shared" si="0"/>
        <v>45</v>
      </c>
      <c r="B46" s="3">
        <f ca="1">IFERROR(__xludf.DUMMYFUNCTION("""COMPUTED_VALUE"""),578)</f>
        <v>578</v>
      </c>
      <c r="C46" s="3" t="str">
        <f ca="1">IFERROR(__xludf.DUMMYFUNCTION("""COMPUTED_VALUE"""),"Keke Coutee")</f>
        <v>Keke Coutee</v>
      </c>
      <c r="D46" s="3" t="str">
        <f ca="1">IFERROR(__xludf.DUMMYFUNCTION("""COMPUTED_VALUE"""),"WR")</f>
        <v>WR</v>
      </c>
    </row>
    <row r="47" spans="1:5" ht="13" x14ac:dyDescent="0.15">
      <c r="A47" s="16">
        <f t="shared" si="0"/>
        <v>46</v>
      </c>
      <c r="B47" s="3">
        <f ca="1">IFERROR(__xludf.DUMMYFUNCTION("""COMPUTED_VALUE"""),555)</f>
        <v>555</v>
      </c>
      <c r="C47" s="3" t="str">
        <f ca="1">IFERROR(__xludf.DUMMYFUNCTION("""COMPUTED_VALUE"""),"Marquez Valdes-Scantling")</f>
        <v>Marquez Valdes-Scantling</v>
      </c>
      <c r="D47" s="3" t="str">
        <f ca="1">IFERROR(__xludf.DUMMYFUNCTION("""COMPUTED_VALUE"""),"WR")</f>
        <v>WR</v>
      </c>
      <c r="E47" s="6">
        <v>1</v>
      </c>
    </row>
    <row r="48" spans="1:5" ht="13" x14ac:dyDescent="0.15">
      <c r="A48" s="16">
        <f t="shared" si="0"/>
        <v>47</v>
      </c>
      <c r="B48" s="3">
        <f ca="1">IFERROR(__xludf.DUMMYFUNCTION("""COMPUTED_VALUE"""),148)</f>
        <v>148</v>
      </c>
      <c r="C48" s="3" t="str">
        <f ca="1">IFERROR(__xludf.DUMMYFUNCTION("""COMPUTED_VALUE"""),"DeSean Jackson")</f>
        <v>DeSean Jackson</v>
      </c>
      <c r="D48" s="3" t="str">
        <f ca="1">IFERROR(__xludf.DUMMYFUNCTION("""COMPUTED_VALUE"""),"WR")</f>
        <v>WR</v>
      </c>
      <c r="E48" s="6">
        <v>1</v>
      </c>
    </row>
    <row r="49" spans="1:5" ht="13" x14ac:dyDescent="0.15">
      <c r="A49" s="16">
        <f t="shared" si="0"/>
        <v>48</v>
      </c>
      <c r="B49" s="3">
        <f ca="1">IFERROR(__xludf.DUMMYFUNCTION("""COMPUTED_VALUE"""),180)</f>
        <v>180</v>
      </c>
      <c r="C49" s="3" t="str">
        <f ca="1">IFERROR(__xludf.DUMMYFUNCTION("""COMPUTED_VALUE"""),"Golden Tate")</f>
        <v>Golden Tate</v>
      </c>
      <c r="D49" s="3" t="str">
        <f ca="1">IFERROR(__xludf.DUMMYFUNCTION("""COMPUTED_VALUE"""),"WR")</f>
        <v>WR</v>
      </c>
      <c r="E49" s="30"/>
    </row>
    <row r="50" spans="1:5" ht="13" x14ac:dyDescent="0.15">
      <c r="A50" s="16">
        <f t="shared" si="0"/>
        <v>49</v>
      </c>
      <c r="B50" s="3">
        <f ca="1">IFERROR(__xludf.DUMMYFUNCTION("""COMPUTED_VALUE"""),218)</f>
        <v>218</v>
      </c>
      <c r="C50" s="3" t="str">
        <f ca="1">IFERROR(__xludf.DUMMYFUNCTION("""COMPUTED_VALUE"""),"Geronimo Allison")</f>
        <v>Geronimo Allison</v>
      </c>
      <c r="D50" s="3" t="str">
        <f ca="1">IFERROR(__xludf.DUMMYFUNCTION("""COMPUTED_VALUE"""),"WR")</f>
        <v>WR</v>
      </c>
    </row>
    <row r="51" spans="1:5" ht="13" x14ac:dyDescent="0.15">
      <c r="A51" s="16">
        <f t="shared" si="0"/>
        <v>50</v>
      </c>
      <c r="B51" s="3">
        <f ca="1">IFERROR(__xludf.DUMMYFUNCTION("""COMPUTED_VALUE"""),36)</f>
        <v>36</v>
      </c>
      <c r="C51" s="3" t="str">
        <f ca="1">IFERROR(__xludf.DUMMYFUNCTION("""COMPUTED_VALUE"""),"Donte Moncrief")</f>
        <v>Donte Moncrief</v>
      </c>
      <c r="D51" s="3" t="str">
        <f ca="1">IFERROR(__xludf.DUMMYFUNCTION("""COMPUTED_VALUE"""),"WR")</f>
        <v>WR</v>
      </c>
    </row>
    <row r="52" spans="1:5" ht="13" x14ac:dyDescent="0.15">
      <c r="A52" s="16">
        <f t="shared" si="0"/>
        <v>51</v>
      </c>
      <c r="B52" s="3">
        <f ca="1">IFERROR(__xludf.DUMMYFUNCTION("""COMPUTED_VALUE"""),190)</f>
        <v>190</v>
      </c>
      <c r="C52" s="3" t="str">
        <f ca="1">IFERROR(__xludf.DUMMYFUNCTION("""COMPUTED_VALUE"""),"Jamison Crowder")</f>
        <v>Jamison Crowder</v>
      </c>
      <c r="D52" s="3" t="str">
        <f ca="1">IFERROR(__xludf.DUMMYFUNCTION("""COMPUTED_VALUE"""),"WR")</f>
        <v>WR</v>
      </c>
      <c r="E52" s="6">
        <v>1</v>
      </c>
    </row>
    <row r="53" spans="1:5" ht="13" x14ac:dyDescent="0.15">
      <c r="A53" s="16">
        <f t="shared" si="0"/>
        <v>52</v>
      </c>
      <c r="B53" s="3">
        <f ca="1">IFERROR(__xludf.DUMMYFUNCTION("""COMPUTED_VALUE"""),433)</f>
        <v>433</v>
      </c>
      <c r="C53" s="3" t="str">
        <f ca="1">IFERROR(__xludf.DUMMYFUNCTION("""COMPUTED_VALUE"""),"Tyrell Williams")</f>
        <v>Tyrell Williams</v>
      </c>
      <c r="D53" s="3" t="str">
        <f ca="1">IFERROR(__xludf.DUMMYFUNCTION("""COMPUTED_VALUE"""),"WR")</f>
        <v>WR</v>
      </c>
      <c r="E53" s="6">
        <v>1</v>
      </c>
    </row>
    <row r="54" spans="1:5" ht="13" x14ac:dyDescent="0.15">
      <c r="A54" s="16">
        <f t="shared" si="0"/>
        <v>53</v>
      </c>
      <c r="B54" s="3">
        <f ca="1">IFERROR(__xludf.DUMMYFUNCTION("""COMPUTED_VALUE"""),546)</f>
        <v>546</v>
      </c>
      <c r="C54" s="3" t="str">
        <f ca="1">IFERROR(__xludf.DUMMYFUNCTION("""COMPUTED_VALUE"""),"Anthony Miller")</f>
        <v>Anthony Miller</v>
      </c>
      <c r="D54" s="3" t="str">
        <f ca="1">IFERROR(__xludf.DUMMYFUNCTION("""COMPUTED_VALUE"""),"WR")</f>
        <v>WR</v>
      </c>
    </row>
    <row r="55" spans="1:5" ht="13" x14ac:dyDescent="0.15">
      <c r="A55" s="16">
        <f t="shared" si="0"/>
        <v>54</v>
      </c>
      <c r="B55" s="3">
        <f ca="1">IFERROR(__xludf.DUMMYFUNCTION("""COMPUTED_VALUE"""),209)</f>
        <v>209</v>
      </c>
      <c r="C55" s="3" t="str">
        <f ca="1">IFERROR(__xludf.DUMMYFUNCTION("""COMPUTED_VALUE"""),"John Brown")</f>
        <v>John Brown</v>
      </c>
      <c r="D55" s="3" t="str">
        <f ca="1">IFERROR(__xludf.DUMMYFUNCTION("""COMPUTED_VALUE"""),"WR")</f>
        <v>WR</v>
      </c>
      <c r="E55" s="6">
        <v>1</v>
      </c>
    </row>
    <row r="56" spans="1:5" ht="13" x14ac:dyDescent="0.15">
      <c r="A56" s="16">
        <f t="shared" si="0"/>
        <v>55</v>
      </c>
      <c r="B56" s="3">
        <f ca="1">IFERROR(__xludf.DUMMYFUNCTION("""COMPUTED_VALUE"""),558)</f>
        <v>558</v>
      </c>
      <c r="C56" s="3" t="str">
        <f ca="1">IFERROR(__xludf.DUMMYFUNCTION("""COMPUTED_VALUE"""),"Michael Gallup")</f>
        <v>Michael Gallup</v>
      </c>
      <c r="D56" s="3" t="str">
        <f ca="1">IFERROR(__xludf.DUMMYFUNCTION("""COMPUTED_VALUE"""),"WR")</f>
        <v>WR</v>
      </c>
      <c r="E56" s="6">
        <v>1</v>
      </c>
    </row>
    <row r="57" spans="1:5" ht="13" x14ac:dyDescent="0.15">
      <c r="A57" s="16">
        <f t="shared" si="0"/>
        <v>56</v>
      </c>
      <c r="B57" s="3">
        <f ca="1">IFERROR(__xludf.DUMMYFUNCTION("""COMPUTED_VALUE"""),153)</f>
        <v>153</v>
      </c>
      <c r="C57" s="3" t="str">
        <f ca="1">IFERROR(__xludf.DUMMYFUNCTION("""COMPUTED_VALUE"""),"Devin Funchess")</f>
        <v>Devin Funchess</v>
      </c>
      <c r="D57" s="3" t="str">
        <f ca="1">IFERROR(__xludf.DUMMYFUNCTION("""COMPUTED_VALUE"""),"WR")</f>
        <v>WR</v>
      </c>
    </row>
    <row r="58" spans="1:5" ht="13" x14ac:dyDescent="0.15">
      <c r="A58" s="16">
        <f t="shared" si="0"/>
        <v>57</v>
      </c>
      <c r="B58" s="3">
        <f ca="1">IFERROR(__xludf.DUMMYFUNCTION("""COMPUTED_VALUE"""),592)</f>
        <v>592</v>
      </c>
      <c r="C58" s="3" t="str">
        <f ca="1">IFERROR(__xludf.DUMMYFUNCTION("""COMPUTED_VALUE"""),"James Washington")</f>
        <v>James Washington</v>
      </c>
      <c r="D58" s="3" t="str">
        <f ca="1">IFERROR(__xludf.DUMMYFUNCTION("""COMPUTED_VALUE"""),"WR")</f>
        <v>WR</v>
      </c>
      <c r="E58" s="6">
        <v>1</v>
      </c>
    </row>
    <row r="59" spans="1:5" ht="13" x14ac:dyDescent="0.15">
      <c r="A59" s="16">
        <f t="shared" si="0"/>
        <v>58</v>
      </c>
      <c r="B59" s="3">
        <f ca="1">IFERROR(__xludf.DUMMYFUNCTION("""COMPUTED_VALUE"""),88)</f>
        <v>88</v>
      </c>
      <c r="C59" s="3" t="str">
        <f ca="1">IFERROR(__xludf.DUMMYFUNCTION("""COMPUTED_VALUE"""),"Albert Wilson")</f>
        <v>Albert Wilson</v>
      </c>
      <c r="D59" s="3" t="str">
        <f ca="1">IFERROR(__xludf.DUMMYFUNCTION("""COMPUTED_VALUE"""),"WR")</f>
        <v>WR</v>
      </c>
    </row>
    <row r="60" spans="1:5" ht="13" x14ac:dyDescent="0.15">
      <c r="A60" s="16">
        <f t="shared" si="0"/>
        <v>59</v>
      </c>
      <c r="B60" s="3">
        <f ca="1">IFERROR(__xludf.DUMMYFUNCTION("""COMPUTED_VALUE"""),310)</f>
        <v>310</v>
      </c>
      <c r="C60" s="3" t="str">
        <f ca="1">IFERROR(__xludf.DUMMYFUNCTION("""COMPUTED_VALUE"""),"Mohamed Sanu")</f>
        <v>Mohamed Sanu</v>
      </c>
      <c r="D60" s="3" t="str">
        <f ca="1">IFERROR(__xludf.DUMMYFUNCTION("""COMPUTED_VALUE"""),"WR")</f>
        <v>WR</v>
      </c>
    </row>
    <row r="61" spans="1:5" ht="13" x14ac:dyDescent="0.15">
      <c r="A61" s="16">
        <f t="shared" si="0"/>
        <v>60</v>
      </c>
      <c r="B61" s="3">
        <f ca="1">IFERROR(__xludf.DUMMYFUNCTION("FILTER(All_Players!A2:C866, All_Players!C2:All_Players!C866= ""WR"")"),2)</f>
        <v>2</v>
      </c>
      <c r="C61" s="3" t="str">
        <f ca="1">IFERROR(__xludf.DUMMYFUNCTION("""COMPUTED_VALUE"""),"Adam Humphries")</f>
        <v>Adam Humphries</v>
      </c>
      <c r="D61" s="3" t="str">
        <f ca="1">IFERROR(__xludf.DUMMYFUNCTION("""COMPUTED_VALUE"""),"WR")</f>
        <v>WR</v>
      </c>
    </row>
    <row r="62" spans="1:5" ht="13" x14ac:dyDescent="0.15">
      <c r="A62" s="16">
        <f t="shared" si="0"/>
        <v>61</v>
      </c>
      <c r="B62" s="3">
        <f ca="1">IFERROR(__xludf.DUMMYFUNCTION("""COMPUTED_VALUE"""),719)</f>
        <v>719</v>
      </c>
      <c r="C62" s="3" t="str">
        <f ca="1">IFERROR(__xludf.DUMMYFUNCTION("""COMPUTED_VALUE"""),"Marquise Brown")</f>
        <v>Marquise Brown</v>
      </c>
      <c r="D62" s="3" t="str">
        <f ca="1">IFERROR(__xludf.DUMMYFUNCTION("""COMPUTED_VALUE"""),"WR")</f>
        <v>WR</v>
      </c>
    </row>
    <row r="63" spans="1:5" ht="13" x14ac:dyDescent="0.15">
      <c r="A63" s="16">
        <f t="shared" si="0"/>
        <v>62</v>
      </c>
      <c r="B63" s="3">
        <f ca="1">IFERROR(__xludf.DUMMYFUNCTION("""COMPUTED_VALUE"""),387)</f>
        <v>387</v>
      </c>
      <c r="C63" s="3" t="str">
        <f ca="1">IFERROR(__xludf.DUMMYFUNCTION("""COMPUTED_VALUE"""),"Ted Ginn")</f>
        <v>Ted Ginn</v>
      </c>
      <c r="D63" s="3" t="str">
        <f ca="1">IFERROR(__xludf.DUMMYFUNCTION("""COMPUTED_VALUE"""),"WR")</f>
        <v>WR</v>
      </c>
    </row>
    <row r="64" spans="1:5" ht="13" x14ac:dyDescent="0.15">
      <c r="A64" s="16">
        <f t="shared" si="0"/>
        <v>63</v>
      </c>
      <c r="B64" s="3">
        <f ca="1">IFERROR(__xludf.DUMMYFUNCTION("""COMPUTED_VALUE"""),715)</f>
        <v>715</v>
      </c>
      <c r="C64" s="3" t="str">
        <f ca="1">IFERROR(__xludf.DUMMYFUNCTION("""COMPUTED_VALUE"""),"DK Metcalf")</f>
        <v>DK Metcalf</v>
      </c>
      <c r="D64" s="3" t="str">
        <f ca="1">IFERROR(__xludf.DUMMYFUNCTION("""COMPUTED_VALUE"""),"WR")</f>
        <v>WR</v>
      </c>
      <c r="E64" s="6">
        <v>1</v>
      </c>
    </row>
    <row r="65" spans="1:6" ht="13" x14ac:dyDescent="0.15">
      <c r="A65" s="16">
        <f t="shared" si="0"/>
        <v>64</v>
      </c>
      <c r="B65" s="3">
        <f ca="1">IFERROR(__xludf.DUMMYFUNCTION("""COMPUTED_VALUE"""),720)</f>
        <v>720</v>
      </c>
      <c r="C65" s="3" t="str">
        <f ca="1">IFERROR(__xludf.DUMMYFUNCTION("""COMPUTED_VALUE"""),"Deebo Samuel")</f>
        <v>Deebo Samuel</v>
      </c>
      <c r="D65" s="3" t="str">
        <f ca="1">IFERROR(__xludf.DUMMYFUNCTION("""COMPUTED_VALUE"""),"WR")</f>
        <v>WR</v>
      </c>
    </row>
    <row r="66" spans="1:6" ht="13" x14ac:dyDescent="0.15">
      <c r="A66" s="16">
        <f t="shared" si="0"/>
        <v>65</v>
      </c>
      <c r="B66" s="3">
        <f ca="1">IFERROR(__xludf.DUMMYFUNCTION("""COMPUTED_VALUE"""),624)</f>
        <v>624</v>
      </c>
      <c r="C66" s="3" t="str">
        <f ca="1">IFERROR(__xludf.DUMMYFUNCTION("""COMPUTED_VALUE"""),"Trey Quinn")</f>
        <v>Trey Quinn</v>
      </c>
      <c r="D66" s="3" t="str">
        <f ca="1">IFERROR(__xludf.DUMMYFUNCTION("""COMPUTED_VALUE"""),"WR")</f>
        <v>WR</v>
      </c>
    </row>
    <row r="67" spans="1:6" ht="13" x14ac:dyDescent="0.15">
      <c r="A67" s="16">
        <f t="shared" si="0"/>
        <v>66</v>
      </c>
      <c r="B67" s="3">
        <f ca="1">IFERROR(__xludf.DUMMYFUNCTION("""COMPUTED_VALUE"""),565)</f>
        <v>565</v>
      </c>
      <c r="C67" s="3" t="str">
        <f ca="1">IFERROR(__xludf.DUMMYFUNCTION("""COMPUTED_VALUE"""),"Quincy Enunwa")</f>
        <v>Quincy Enunwa</v>
      </c>
      <c r="D67" s="3" t="str">
        <f ca="1">IFERROR(__xludf.DUMMYFUNCTION("""COMPUTED_VALUE"""),"WR")</f>
        <v>WR</v>
      </c>
    </row>
    <row r="68" spans="1:6" ht="13" x14ac:dyDescent="0.15">
      <c r="A68" s="16">
        <f t="shared" ref="A68:A94" si="1">+A67+1</f>
        <v>67</v>
      </c>
      <c r="B68" s="3">
        <f ca="1">IFERROR(__xludf.DUMMYFUNCTION("""COMPUTED_VALUE"""),25)</f>
        <v>25</v>
      </c>
      <c r="C68" s="3" t="str">
        <f ca="1">IFERROR(__xludf.DUMMYFUNCTION("""COMPUTED_VALUE"""),"Cole Beasley")</f>
        <v>Cole Beasley</v>
      </c>
      <c r="D68" s="3" t="str">
        <f ca="1">IFERROR(__xludf.DUMMYFUNCTION("""COMPUTED_VALUE"""),"WR")</f>
        <v>WR</v>
      </c>
      <c r="E68" s="6">
        <v>1</v>
      </c>
    </row>
    <row r="69" spans="1:6" ht="13" x14ac:dyDescent="0.15">
      <c r="A69" s="16">
        <f t="shared" si="1"/>
        <v>68</v>
      </c>
      <c r="B69" s="3">
        <f ca="1">IFERROR(__xludf.DUMMYFUNCTION("""COMPUTED_VALUE"""),271)</f>
        <v>271</v>
      </c>
      <c r="C69" s="3" t="str">
        <f ca="1">IFERROR(__xludf.DUMMYFUNCTION("""COMPUTED_VALUE"""),"Marquise Goodwin")</f>
        <v>Marquise Goodwin</v>
      </c>
      <c r="D69" s="3" t="str">
        <f ca="1">IFERROR(__xludf.DUMMYFUNCTION("""COMPUTED_VALUE"""),"WR")</f>
        <v>WR</v>
      </c>
      <c r="E69" s="6">
        <v>1</v>
      </c>
    </row>
    <row r="70" spans="1:6" ht="13" x14ac:dyDescent="0.15">
      <c r="A70" s="16">
        <f t="shared" si="1"/>
        <v>69</v>
      </c>
      <c r="B70" s="3">
        <f ca="1">IFERROR(__xludf.DUMMYFUNCTION("""COMPUTED_VALUE"""),237)</f>
        <v>237</v>
      </c>
      <c r="C70" s="3" t="str">
        <f ca="1">IFERROR(__xludf.DUMMYFUNCTION("""COMPUTED_VALUE"""),"Kenny Stills")</f>
        <v>Kenny Stills</v>
      </c>
      <c r="D70" s="3" t="str">
        <f ca="1">IFERROR(__xludf.DUMMYFUNCTION("""COMPUTED_VALUE"""),"WR")</f>
        <v>WR</v>
      </c>
      <c r="E70" s="6">
        <v>1</v>
      </c>
    </row>
    <row r="71" spans="1:6" ht="13" x14ac:dyDescent="0.15">
      <c r="A71" s="16">
        <f t="shared" si="1"/>
        <v>70</v>
      </c>
      <c r="B71" s="3">
        <f ca="1">IFERROR(__xludf.DUMMYFUNCTION("""COMPUTED_VALUE"""),554)</f>
        <v>554</v>
      </c>
      <c r="C71" s="3" t="str">
        <f ca="1">IFERROR(__xludf.DUMMYFUNCTION("""COMPUTED_VALUE"""),"Tre'Quan Smith")</f>
        <v>Tre'Quan Smith</v>
      </c>
      <c r="D71" s="3" t="str">
        <f ca="1">IFERROR(__xludf.DUMMYFUNCTION("""COMPUTED_VALUE"""),"WR")</f>
        <v>WR</v>
      </c>
    </row>
    <row r="72" spans="1:6" ht="13" x14ac:dyDescent="0.15">
      <c r="A72" s="16">
        <f t="shared" si="1"/>
        <v>71</v>
      </c>
      <c r="B72" s="3">
        <f ca="1">IFERROR(__xludf.DUMMYFUNCTION("""COMPUTED_VALUE"""),577)</f>
        <v>577</v>
      </c>
      <c r="C72" s="3" t="str">
        <f ca="1">IFERROR(__xludf.DUMMYFUNCTION("""COMPUTED_VALUE"""),"DaeSean Hamilton")</f>
        <v>DaeSean Hamilton</v>
      </c>
      <c r="D72" s="3" t="str">
        <f ca="1">IFERROR(__xludf.DUMMYFUNCTION("""COMPUTED_VALUE"""),"WR")</f>
        <v>WR</v>
      </c>
    </row>
    <row r="73" spans="1:6" ht="13" x14ac:dyDescent="0.15">
      <c r="A73" s="16">
        <f t="shared" si="1"/>
        <v>72</v>
      </c>
      <c r="B73" s="3">
        <f ca="1">IFERROR(__xludf.DUMMYFUNCTION("""COMPUTED_VALUE"""),334)</f>
        <v>334</v>
      </c>
      <c r="C73" s="3" t="str">
        <f ca="1">IFERROR(__xludf.DUMMYFUNCTION("""COMPUTED_VALUE"""),"Paul Richardson")</f>
        <v>Paul Richardson</v>
      </c>
      <c r="D73" s="3" t="str">
        <f ca="1">IFERROR(__xludf.DUMMYFUNCTION("""COMPUTED_VALUE"""),"WR")</f>
        <v>WR</v>
      </c>
    </row>
    <row r="74" spans="1:6" ht="13" x14ac:dyDescent="0.15">
      <c r="A74" s="16">
        <f t="shared" si="1"/>
        <v>73</v>
      </c>
      <c r="B74" s="3">
        <f ca="1">IFERROR(__xludf.DUMMYFUNCTION("""COMPUTED_VALUE"""),732)</f>
        <v>732</v>
      </c>
      <c r="C74" s="3" t="str">
        <f ca="1">IFERROR(__xludf.DUMMYFUNCTION("""COMPUTED_VALUE"""),"Miles Boykin")</f>
        <v>Miles Boykin</v>
      </c>
      <c r="D74" s="3" t="str">
        <f ca="1">IFERROR(__xludf.DUMMYFUNCTION("""COMPUTED_VALUE"""),"WR")</f>
        <v>WR</v>
      </c>
    </row>
    <row r="75" spans="1:6" ht="13" x14ac:dyDescent="0.15">
      <c r="A75" s="16">
        <f t="shared" si="1"/>
        <v>74</v>
      </c>
      <c r="B75" s="3">
        <f ca="1">IFERROR(__xludf.DUMMYFUNCTION("""COMPUTED_VALUE"""),72)</f>
        <v>72</v>
      </c>
      <c r="C75" s="3" t="str">
        <f ca="1">IFERROR(__xludf.DUMMYFUNCTION("""COMPUTED_VALUE"""),"Rashard Higgins")</f>
        <v>Rashard Higgins</v>
      </c>
      <c r="D75" s="3" t="str">
        <f ca="1">IFERROR(__xludf.DUMMYFUNCTION("""COMPUTED_VALUE"""),"WR")</f>
        <v>WR</v>
      </c>
    </row>
    <row r="76" spans="1:6" ht="13" x14ac:dyDescent="0.15">
      <c r="A76" s="16">
        <f t="shared" si="1"/>
        <v>75</v>
      </c>
      <c r="B76" s="3">
        <f ca="1">IFERROR(__xludf.DUMMYFUNCTION("""COMPUTED_VALUE"""),713)</f>
        <v>713</v>
      </c>
      <c r="C76" s="3" t="str">
        <f ca="1">IFERROR(__xludf.DUMMYFUNCTION("""COMPUTED_VALUE"""),"AJ Brown")</f>
        <v>AJ Brown</v>
      </c>
      <c r="D76" s="3" t="str">
        <f ca="1">IFERROR(__xludf.DUMMYFUNCTION("""COMPUTED_VALUE"""),"WR")</f>
        <v>WR</v>
      </c>
      <c r="F76" s="61"/>
    </row>
    <row r="77" spans="1:6" ht="13" x14ac:dyDescent="0.15">
      <c r="A77" s="16">
        <f t="shared" si="1"/>
        <v>76</v>
      </c>
      <c r="B77" s="3">
        <f ca="1">IFERROR(__xludf.DUMMYFUNCTION("""COMPUTED_VALUE"""),723)</f>
        <v>723</v>
      </c>
      <c r="C77" s="3" t="str">
        <f ca="1">IFERROR(__xludf.DUMMYFUNCTION("""COMPUTED_VALUE"""),"Parris Campbell")</f>
        <v>Parris Campbell</v>
      </c>
      <c r="D77" s="3" t="str">
        <f ca="1">IFERROR(__xludf.DUMMYFUNCTION("""COMPUTED_VALUE"""),"WR")</f>
        <v>WR</v>
      </c>
    </row>
    <row r="78" spans="1:6" ht="13" x14ac:dyDescent="0.15">
      <c r="A78" s="16">
        <f t="shared" si="1"/>
        <v>77</v>
      </c>
      <c r="B78" s="3">
        <f ca="1">IFERROR(__xludf.DUMMYFUNCTION("""COMPUTED_VALUE"""),339)</f>
        <v>339</v>
      </c>
      <c r="C78" s="3" t="str">
        <f ca="1">IFERROR(__xludf.DUMMYFUNCTION("""COMPUTED_VALUE"""),"Randall Cobb")</f>
        <v>Randall Cobb</v>
      </c>
      <c r="D78" s="3" t="str">
        <f ca="1">IFERROR(__xludf.DUMMYFUNCTION("""COMPUTED_VALUE"""),"WR")</f>
        <v>WR</v>
      </c>
    </row>
    <row r="79" spans="1:6" ht="13" x14ac:dyDescent="0.15">
      <c r="A79" s="16">
        <f t="shared" si="1"/>
        <v>78</v>
      </c>
      <c r="B79" s="3">
        <f ca="1">IFERROR(__xludf.DUMMYFUNCTION("""COMPUTED_VALUE"""),710)</f>
        <v>710</v>
      </c>
      <c r="C79" s="3" t="str">
        <f ca="1">IFERROR(__xludf.DUMMYFUNCTION("""COMPUTED_VALUE"""),"N'Keal Harry")</f>
        <v>N'Keal Harry</v>
      </c>
      <c r="D79" s="3" t="str">
        <f ca="1">IFERROR(__xludf.DUMMYFUNCTION("""COMPUTED_VALUE"""),"WR")</f>
        <v>WR</v>
      </c>
    </row>
    <row r="80" spans="1:6" ht="13" x14ac:dyDescent="0.15">
      <c r="A80" s="16">
        <f t="shared" si="1"/>
        <v>79</v>
      </c>
      <c r="B80" s="3">
        <f ca="1">IFERROR(__xludf.DUMMYFUNCTION("""COMPUTED_VALUE"""),323)</f>
        <v>323</v>
      </c>
      <c r="C80" s="3" t="str">
        <f ca="1">IFERROR(__xludf.DUMMYFUNCTION("""COMPUTED_VALUE"""),"Nelson Agholor")</f>
        <v>Nelson Agholor</v>
      </c>
      <c r="D80" s="3" t="str">
        <f ca="1">IFERROR(__xludf.DUMMYFUNCTION("""COMPUTED_VALUE"""),"WR")</f>
        <v>WR</v>
      </c>
      <c r="E80" s="6">
        <v>1</v>
      </c>
    </row>
    <row r="81" spans="1:5" ht="13" x14ac:dyDescent="0.15">
      <c r="A81" s="16">
        <f t="shared" si="1"/>
        <v>80</v>
      </c>
      <c r="B81" s="3">
        <f ca="1">IFERROR(__xludf.DUMMYFUNCTION("""COMPUTED_VALUE"""),721)</f>
        <v>721</v>
      </c>
      <c r="C81" s="3" t="str">
        <f ca="1">IFERROR(__xludf.DUMMYFUNCTION("""COMPUTED_VALUE"""),"Mecole Hardman")</f>
        <v>Mecole Hardman</v>
      </c>
      <c r="D81" s="3" t="str">
        <f ca="1">IFERROR(__xludf.DUMMYFUNCTION("""COMPUTED_VALUE"""),"WR")</f>
        <v>WR</v>
      </c>
    </row>
    <row r="82" spans="1:5" ht="13" x14ac:dyDescent="0.15">
      <c r="A82" s="16">
        <f t="shared" si="1"/>
        <v>81</v>
      </c>
      <c r="B82" s="3">
        <f ca="1">IFERROR(__xludf.DUMMYFUNCTION("""COMPUTED_VALUE"""),68)</f>
        <v>68</v>
      </c>
      <c r="C82" s="3" t="str">
        <f ca="1">IFERROR(__xludf.DUMMYFUNCTION("""COMPUTED_VALUE"""),"Zay Jones")</f>
        <v>Zay Jones</v>
      </c>
      <c r="D82" s="3" t="str">
        <f ca="1">IFERROR(__xludf.DUMMYFUNCTION("""COMPUTED_VALUE"""),"WR")</f>
        <v>WR</v>
      </c>
    </row>
    <row r="83" spans="1:5" ht="13" x14ac:dyDescent="0.15">
      <c r="A83" s="16">
        <f t="shared" si="1"/>
        <v>82</v>
      </c>
      <c r="B83" s="3">
        <f ca="1">IFERROR(__xludf.DUMMYFUNCTION("""COMPUTED_VALUE"""),152)</f>
        <v>152</v>
      </c>
      <c r="C83" s="3" t="str">
        <f ca="1">IFERROR(__xludf.DUMMYFUNCTION("""COMPUTED_VALUE"""),"DeVante Parker")</f>
        <v>DeVante Parker</v>
      </c>
      <c r="D83" s="3" t="str">
        <f ca="1">IFERROR(__xludf.DUMMYFUNCTION("""COMPUTED_VALUE"""),"WR")</f>
        <v>WR</v>
      </c>
      <c r="E83" s="6">
        <v>1</v>
      </c>
    </row>
    <row r="84" spans="1:5" ht="13" x14ac:dyDescent="0.15">
      <c r="A84" s="16">
        <f t="shared" si="1"/>
        <v>83</v>
      </c>
      <c r="B84" s="3">
        <f ca="1">IFERROR(__xludf.DUMMYFUNCTION("""COMPUTED_VALUE"""),270)</f>
        <v>270</v>
      </c>
      <c r="C84" s="3" t="str">
        <f ca="1">IFERROR(__xludf.DUMMYFUNCTION("""COMPUTED_VALUE"""),"Marqise Lee")</f>
        <v>Marqise Lee</v>
      </c>
      <c r="D84" s="3" t="str">
        <f ca="1">IFERROR(__xludf.DUMMYFUNCTION("""COMPUTED_VALUE"""),"WR")</f>
        <v>WR</v>
      </c>
    </row>
    <row r="85" spans="1:5" ht="13" x14ac:dyDescent="0.15">
      <c r="A85" s="16">
        <f t="shared" si="1"/>
        <v>84</v>
      </c>
      <c r="B85" s="3">
        <f ca="1">IFERROR(__xludf.DUMMYFUNCTION("""COMPUTED_VALUE"""),752)</f>
        <v>752</v>
      </c>
      <c r="C85" s="3" t="str">
        <f ca="1">IFERROR(__xludf.DUMMYFUNCTION("""COMPUTED_VALUE"""),"Preston Williams")</f>
        <v>Preston Williams</v>
      </c>
      <c r="D85" s="3" t="str">
        <f ca="1">IFERROR(__xludf.DUMMYFUNCTION("""COMPUTED_VALUE"""),"WR")</f>
        <v>WR</v>
      </c>
    </row>
    <row r="86" spans="1:5" ht="13" x14ac:dyDescent="0.15">
      <c r="A86" s="16">
        <f t="shared" si="1"/>
        <v>85</v>
      </c>
      <c r="B86" s="3">
        <f ca="1">IFERROR(__xludf.DUMMYFUNCTION("""COMPUTED_VALUE"""),718)</f>
        <v>718</v>
      </c>
      <c r="C86" s="3" t="str">
        <f ca="1">IFERROR(__xludf.DUMMYFUNCTION("""COMPUTED_VALUE"""),"Andy Isabella")</f>
        <v>Andy Isabella</v>
      </c>
      <c r="D86" s="3" t="str">
        <f ca="1">IFERROR(__xludf.DUMMYFUNCTION("""COMPUTED_VALUE"""),"WR")</f>
        <v>WR</v>
      </c>
    </row>
    <row r="87" spans="1:5" ht="13" x14ac:dyDescent="0.15">
      <c r="A87" s="16">
        <f t="shared" si="1"/>
        <v>86</v>
      </c>
      <c r="B87" s="3">
        <f ca="1">IFERROR(__xludf.DUMMYFUNCTION("""COMPUTED_VALUE"""),750)</f>
        <v>750</v>
      </c>
      <c r="C87" s="3" t="str">
        <f ca="1">IFERROR(__xludf.DUMMYFUNCTION("""COMPUTED_VALUE"""),"Jakobi Meyers")</f>
        <v>Jakobi Meyers</v>
      </c>
      <c r="D87" s="3" t="str">
        <f ca="1">IFERROR(__xludf.DUMMYFUNCTION("""COMPUTED_VALUE"""),"WR")</f>
        <v>WR</v>
      </c>
    </row>
    <row r="88" spans="1:5" ht="13" x14ac:dyDescent="0.15">
      <c r="A88" s="16">
        <f t="shared" si="1"/>
        <v>87</v>
      </c>
      <c r="B88" s="3">
        <f ca="1">IFERROR(__xludf.DUMMYFUNCTION("""COMPUTED_VALUE"""),551)</f>
        <v>551</v>
      </c>
      <c r="C88" s="3" t="str">
        <f ca="1">IFERROR(__xludf.DUMMYFUNCTION("""COMPUTED_VALUE"""),"David Moore")</f>
        <v>David Moore</v>
      </c>
      <c r="D88" s="3" t="str">
        <f ca="1">IFERROR(__xludf.DUMMYFUNCTION("""COMPUTED_VALUE"""),"WR")</f>
        <v>WR</v>
      </c>
    </row>
    <row r="89" spans="1:5" ht="13" x14ac:dyDescent="0.15">
      <c r="A89" s="16">
        <f t="shared" si="1"/>
        <v>88</v>
      </c>
      <c r="B89" s="3">
        <f ca="1">IFERROR(__xludf.DUMMYFUNCTION("""COMPUTED_VALUE"""),767)</f>
        <v>767</v>
      </c>
      <c r="C89" s="3" t="str">
        <f ca="1">IFERROR(__xludf.DUMMYFUNCTION("""COMPUTED_VALUE"""),"KeeSean Johnson")</f>
        <v>KeeSean Johnson</v>
      </c>
      <c r="D89" s="3" t="str">
        <f ca="1">IFERROR(__xludf.DUMMYFUNCTION("""COMPUTED_VALUE"""),"WR")</f>
        <v>WR</v>
      </c>
    </row>
    <row r="90" spans="1:5" ht="13" x14ac:dyDescent="0.15">
      <c r="A90" s="16">
        <f t="shared" si="1"/>
        <v>89</v>
      </c>
      <c r="B90" s="3">
        <f ca="1">IFERROR(__xludf.DUMMYFUNCTION("""COMPUTED_VALUE"""),279)</f>
        <v>279</v>
      </c>
      <c r="C90" s="3" t="str">
        <f ca="1">IFERROR(__xludf.DUMMYFUNCTION("""COMPUTED_VALUE"""),"Trent Taylor")</f>
        <v>Trent Taylor</v>
      </c>
      <c r="D90" s="3" t="str">
        <f ca="1">IFERROR(__xludf.DUMMYFUNCTION("""COMPUTED_VALUE"""),"WR")</f>
        <v>WR</v>
      </c>
    </row>
    <row r="91" spans="1:5" ht="13" x14ac:dyDescent="0.15">
      <c r="A91" s="16">
        <f t="shared" si="1"/>
        <v>90</v>
      </c>
      <c r="B91" s="3">
        <f ca="1">IFERROR(__xludf.DUMMYFUNCTION("""COMPUTED_VALUE"""),222)</f>
        <v>222</v>
      </c>
      <c r="C91" s="3" t="str">
        <f ca="1">IFERROR(__xludf.DUMMYFUNCTION("""COMPUTED_VALUE"""),"Josh Doctson")</f>
        <v>Josh Doctson</v>
      </c>
      <c r="D91" s="3" t="str">
        <f ca="1">IFERROR(__xludf.DUMMYFUNCTION("""COMPUTED_VALUE"""),"WR")</f>
        <v>WR</v>
      </c>
    </row>
    <row r="92" spans="1:5" ht="13" x14ac:dyDescent="0.15">
      <c r="A92" s="16">
        <f t="shared" si="1"/>
        <v>91</v>
      </c>
      <c r="B92" s="3">
        <f ca="1">IFERROR(__xludf.DUMMYFUNCTION("""COMPUTED_VALUE"""),559)</f>
        <v>559</v>
      </c>
      <c r="C92" s="3" t="str">
        <f ca="1">IFERROR(__xludf.DUMMYFUNCTION("""COMPUTED_VALUE"""),"John Ross")</f>
        <v>John Ross</v>
      </c>
      <c r="D92" s="3" t="str">
        <f ca="1">IFERROR(__xludf.DUMMYFUNCTION("""COMPUTED_VALUE"""),"WR")</f>
        <v>WR</v>
      </c>
    </row>
    <row r="93" spans="1:5" ht="13" x14ac:dyDescent="0.15">
      <c r="A93" s="16">
        <f t="shared" si="1"/>
        <v>92</v>
      </c>
      <c r="B93" s="3">
        <f ca="1">IFERROR(__xludf.DUMMYFUNCTION("""COMPUTED_VALUE"""),408)</f>
        <v>408</v>
      </c>
      <c r="C93" s="3" t="str">
        <f ca="1">IFERROR(__xludf.DUMMYFUNCTION("""COMPUTED_VALUE"""),"Willie Snead")</f>
        <v>Willie Snead</v>
      </c>
      <c r="D93" s="3" t="str">
        <f ca="1">IFERROR(__xludf.DUMMYFUNCTION("""COMPUTED_VALUE"""),"WR")</f>
        <v>WR</v>
      </c>
    </row>
    <row r="94" spans="1:5" ht="15.75" customHeight="1" x14ac:dyDescent="0.15">
      <c r="A94" s="16">
        <f t="shared" si="1"/>
        <v>93</v>
      </c>
      <c r="B94" s="3">
        <v>866</v>
      </c>
      <c r="C94" s="3" t="s">
        <v>902</v>
      </c>
      <c r="D94" s="3" t="s">
        <v>6</v>
      </c>
      <c r="E94" s="6">
        <v>1</v>
      </c>
    </row>
    <row r="95" spans="1:5" ht="13" x14ac:dyDescent="0.15">
      <c r="A95" s="16"/>
      <c r="B95" s="3">
        <f ca="1">IFERROR(__xludf.DUMMYFUNCTION("""COMPUTED_VALUE"""),729)</f>
        <v>729</v>
      </c>
      <c r="C95" s="3" t="str">
        <f ca="1">IFERROR(__xludf.DUMMYFUNCTION("""COMPUTED_VALUE"""),"Terry McLaurin")</f>
        <v>Terry McLaurin</v>
      </c>
      <c r="D95" s="3" t="str">
        <f ca="1">IFERROR(__xludf.DUMMYFUNCTION("""COMPUTED_VALUE"""),"WR")</f>
        <v>WR</v>
      </c>
      <c r="E95" s="6">
        <v>1</v>
      </c>
    </row>
    <row r="96" spans="1:5" ht="13" x14ac:dyDescent="0.15">
      <c r="A96" s="16"/>
      <c r="B96" s="3">
        <f ca="1">IFERROR(__xludf.DUMMYFUNCTION("""COMPUTED_VALUE"""),665)</f>
        <v>665</v>
      </c>
      <c r="C96" s="3" t="str">
        <f ca="1">IFERROR(__xludf.DUMMYFUNCTION("""COMPUTED_VALUE"""),"Auden Tate")</f>
        <v>Auden Tate</v>
      </c>
      <c r="D96" s="3" t="str">
        <f ca="1">IFERROR(__xludf.DUMMYFUNCTION("""COMPUTED_VALUE"""),"WR")</f>
        <v>WR</v>
      </c>
      <c r="E96" s="6">
        <v>1</v>
      </c>
    </row>
    <row r="97" spans="1:5" ht="13" x14ac:dyDescent="0.15">
      <c r="A97" s="17"/>
      <c r="B97" s="10"/>
      <c r="C97" s="10"/>
      <c r="D97" s="10"/>
      <c r="E97" s="15"/>
    </row>
    <row r="98" spans="1:5" ht="13" x14ac:dyDescent="0.15">
      <c r="A98" s="18"/>
      <c r="B98" s="12">
        <f ca="1">IFERROR(__xludf.DUMMYFUNCTION("""COMPUTED_VALUE"""),11)</f>
        <v>11</v>
      </c>
      <c r="C98" s="12" t="str">
        <f ca="1">IFERROR(__xludf.DUMMYFUNCTION("""COMPUTED_VALUE"""),"Bennie Fowler")</f>
        <v>Bennie Fowler</v>
      </c>
      <c r="D98" s="12" t="str">
        <f ca="1">IFERROR(__xludf.DUMMYFUNCTION("""COMPUTED_VALUE"""),"WR")</f>
        <v>WR</v>
      </c>
    </row>
    <row r="99" spans="1:5" ht="13" x14ac:dyDescent="0.15">
      <c r="A99" s="16"/>
      <c r="B99" s="3">
        <f ca="1">IFERROR(__xludf.DUMMYFUNCTION("""COMPUTED_VALUE"""),12)</f>
        <v>12</v>
      </c>
      <c r="C99" s="3" t="str">
        <f ca="1">IFERROR(__xludf.DUMMYFUNCTION("""COMPUTED_VALUE"""),"Brandon Coleman")</f>
        <v>Brandon Coleman</v>
      </c>
      <c r="D99" s="3" t="str">
        <f ca="1">IFERROR(__xludf.DUMMYFUNCTION("""COMPUTED_VALUE"""),"WR")</f>
        <v>WR</v>
      </c>
    </row>
    <row r="100" spans="1:5" ht="13" x14ac:dyDescent="0.15">
      <c r="A100" s="16"/>
      <c r="B100" s="3">
        <f ca="1">IFERROR(__xludf.DUMMYFUNCTION("""COMPUTED_VALUE"""),13)</f>
        <v>13</v>
      </c>
      <c r="C100" s="3" t="str">
        <f ca="1">IFERROR(__xludf.DUMMYFUNCTION("""COMPUTED_VALUE"""),"Brandon LaFell")</f>
        <v>Brandon LaFell</v>
      </c>
      <c r="D100" s="3" t="str">
        <f ca="1">IFERROR(__xludf.DUMMYFUNCTION("""COMPUTED_VALUE"""),"WR")</f>
        <v>WR</v>
      </c>
    </row>
    <row r="101" spans="1:5" ht="13" x14ac:dyDescent="0.15">
      <c r="A101" s="16"/>
      <c r="B101" s="3">
        <f ca="1">IFERROR(__xludf.DUMMYFUNCTION("""COMPUTED_VALUE"""),14)</f>
        <v>14</v>
      </c>
      <c r="C101" s="3" t="str">
        <f ca="1">IFERROR(__xludf.DUMMYFUNCTION("""COMPUTED_VALUE"""),"Brice Butler")</f>
        <v>Brice Butler</v>
      </c>
      <c r="D101" s="3" t="str">
        <f ca="1">IFERROR(__xludf.DUMMYFUNCTION("""COMPUTED_VALUE"""),"WR")</f>
        <v>WR</v>
      </c>
    </row>
    <row r="102" spans="1:5" ht="13" x14ac:dyDescent="0.15">
      <c r="A102" s="16"/>
      <c r="B102" s="3">
        <f ca="1">IFERROR(__xludf.DUMMYFUNCTION("""COMPUTED_VALUE"""),15)</f>
        <v>15</v>
      </c>
      <c r="C102" s="3" t="str">
        <f ca="1">IFERROR(__xludf.DUMMYFUNCTION("""COMPUTED_VALUE"""),"Bruce Ellington")</f>
        <v>Bruce Ellington</v>
      </c>
      <c r="D102" s="3" t="str">
        <f ca="1">IFERROR(__xludf.DUMMYFUNCTION("""COMPUTED_VALUE"""),"WR")</f>
        <v>WR</v>
      </c>
    </row>
    <row r="103" spans="1:5" ht="13" x14ac:dyDescent="0.15">
      <c r="A103" s="16"/>
      <c r="B103" s="3">
        <f ca="1">IFERROR(__xludf.DUMMYFUNCTION("""COMPUTED_VALUE"""),17)</f>
        <v>17</v>
      </c>
      <c r="C103" s="3" t="str">
        <f ca="1">IFERROR(__xludf.DUMMYFUNCTION("""COMPUTED_VALUE"""),"Chester Rogers")</f>
        <v>Chester Rogers</v>
      </c>
      <c r="D103" s="3" t="str">
        <f ca="1">IFERROR(__xludf.DUMMYFUNCTION("""COMPUTED_VALUE"""),"WR")</f>
        <v>WR</v>
      </c>
    </row>
    <row r="104" spans="1:5" ht="13" x14ac:dyDescent="0.15">
      <c r="A104" s="16"/>
      <c r="B104" s="3">
        <f ca="1">IFERROR(__xludf.DUMMYFUNCTION("""COMPUTED_VALUE"""),18)</f>
        <v>18</v>
      </c>
      <c r="C104" s="3" t="str">
        <f ca="1">IFERROR(__xludf.DUMMYFUNCTION("""COMPUTED_VALUE"""),"Chris Conley")</f>
        <v>Chris Conley</v>
      </c>
      <c r="D104" s="3" t="str">
        <f ca="1">IFERROR(__xludf.DUMMYFUNCTION("""COMPUTED_VALUE"""),"WR")</f>
        <v>WR</v>
      </c>
    </row>
    <row r="105" spans="1:5" ht="13" x14ac:dyDescent="0.15">
      <c r="A105" s="16"/>
      <c r="B105" s="3">
        <f ca="1">IFERROR(__xludf.DUMMYFUNCTION("""COMPUTED_VALUE"""),22)</f>
        <v>22</v>
      </c>
      <c r="C105" s="3" t="str">
        <f ca="1">IFERROR(__xludf.DUMMYFUNCTION("""COMPUTED_VALUE"""),"Chris Moore")</f>
        <v>Chris Moore</v>
      </c>
      <c r="D105" s="3" t="str">
        <f ca="1">IFERROR(__xludf.DUMMYFUNCTION("""COMPUTED_VALUE"""),"WR")</f>
        <v>WR</v>
      </c>
    </row>
    <row r="106" spans="1:5" ht="13" x14ac:dyDescent="0.15">
      <c r="A106" s="16"/>
      <c r="B106" s="3">
        <f ca="1">IFERROR(__xludf.DUMMYFUNCTION("""COMPUTED_VALUE"""),23)</f>
        <v>23</v>
      </c>
      <c r="C106" s="3" t="str">
        <f ca="1">IFERROR(__xludf.DUMMYFUNCTION("""COMPUTED_VALUE"""),"Coby Fleener")</f>
        <v>Coby Fleener</v>
      </c>
      <c r="D106" s="3" t="str">
        <f ca="1">IFERROR(__xludf.DUMMYFUNCTION("""COMPUTED_VALUE"""),"WR")</f>
        <v>WR</v>
      </c>
    </row>
    <row r="107" spans="1:5" ht="13" x14ac:dyDescent="0.15">
      <c r="A107" s="16"/>
      <c r="B107" s="3">
        <f ca="1">IFERROR(__xludf.DUMMYFUNCTION("""COMPUTED_VALUE"""),24)</f>
        <v>24</v>
      </c>
      <c r="C107" s="3" t="str">
        <f ca="1">IFERROR(__xludf.DUMMYFUNCTION("""COMPUTED_VALUE"""),"Cody Latimer")</f>
        <v>Cody Latimer</v>
      </c>
      <c r="D107" s="3" t="str">
        <f ca="1">IFERROR(__xludf.DUMMYFUNCTION("""COMPUTED_VALUE"""),"WR")</f>
        <v>WR</v>
      </c>
    </row>
    <row r="108" spans="1:5" ht="13" x14ac:dyDescent="0.15">
      <c r="A108" s="16"/>
      <c r="B108" s="3">
        <f ca="1">IFERROR(__xludf.DUMMYFUNCTION("""COMPUTED_VALUE"""),26)</f>
        <v>26</v>
      </c>
      <c r="C108" s="3" t="str">
        <f ca="1">IFERROR(__xludf.DUMMYFUNCTION("""COMPUTED_VALUE"""),"Cordarrelle Patterson")</f>
        <v>Cordarrelle Patterson</v>
      </c>
      <c r="D108" s="3" t="str">
        <f ca="1">IFERROR(__xludf.DUMMYFUNCTION("""COMPUTED_VALUE"""),"WR")</f>
        <v>WR</v>
      </c>
    </row>
    <row r="109" spans="1:5" ht="13" x14ac:dyDescent="0.15">
      <c r="A109" s="16"/>
      <c r="B109" s="3">
        <f ca="1">IFERROR(__xludf.DUMMYFUNCTION("""COMPUTED_VALUE"""),27)</f>
        <v>27</v>
      </c>
      <c r="C109" s="3" t="str">
        <f ca="1">IFERROR(__xludf.DUMMYFUNCTION("""COMPUTED_VALUE"""),"Corey Coleman")</f>
        <v>Corey Coleman</v>
      </c>
      <c r="D109" s="3" t="str">
        <f ca="1">IFERROR(__xludf.DUMMYFUNCTION("""COMPUTED_VALUE"""),"WR")</f>
        <v>WR</v>
      </c>
    </row>
    <row r="110" spans="1:5" ht="13" x14ac:dyDescent="0.15">
      <c r="A110" s="16"/>
      <c r="B110" s="3">
        <f ca="1">IFERROR(__xludf.DUMMYFUNCTION("""COMPUTED_VALUE"""),34)</f>
        <v>34</v>
      </c>
      <c r="C110" s="3" t="str">
        <f ca="1">IFERROR(__xludf.DUMMYFUNCTION("""COMPUTED_VALUE"""),"Deonte Thompson")</f>
        <v>Deonte Thompson</v>
      </c>
      <c r="D110" s="3" t="str">
        <f ca="1">IFERROR(__xludf.DUMMYFUNCTION("""COMPUTED_VALUE"""),"WR")</f>
        <v>WR</v>
      </c>
    </row>
    <row r="111" spans="1:5" ht="13" x14ac:dyDescent="0.15">
      <c r="A111" s="16"/>
      <c r="B111" s="3">
        <f ca="1">IFERROR(__xludf.DUMMYFUNCTION("""COMPUTED_VALUE"""),37)</f>
        <v>37</v>
      </c>
      <c r="C111" s="3" t="str">
        <f ca="1">IFERROR(__xludf.DUMMYFUNCTION("""COMPUTED_VALUE"""),"Dontrelle Inman")</f>
        <v>Dontrelle Inman</v>
      </c>
      <c r="D111" s="3" t="str">
        <f ca="1">IFERROR(__xludf.DUMMYFUNCTION("""COMPUTED_VALUE"""),"WR")</f>
        <v>WR</v>
      </c>
    </row>
    <row r="112" spans="1:5" ht="13" x14ac:dyDescent="0.15">
      <c r="A112" s="16"/>
      <c r="B112" s="3">
        <f ca="1">IFERROR(__xludf.DUMMYFUNCTION("""COMPUTED_VALUE"""),40)</f>
        <v>40</v>
      </c>
      <c r="C112" s="3" t="str">
        <f ca="1">IFERROR(__xludf.DUMMYFUNCTION("""COMPUTED_VALUE"""),"Eric Decker")</f>
        <v>Eric Decker</v>
      </c>
      <c r="D112" s="3" t="str">
        <f ca="1">IFERROR(__xludf.DUMMYFUNCTION("""COMPUTED_VALUE"""),"WR")</f>
        <v>WR</v>
      </c>
    </row>
    <row r="113" spans="1:4" ht="13" x14ac:dyDescent="0.15">
      <c r="A113" s="16"/>
      <c r="B113" s="3">
        <f ca="1">IFERROR(__xludf.DUMMYFUNCTION("""COMPUTED_VALUE"""),46)</f>
        <v>46</v>
      </c>
      <c r="C113" s="3" t="str">
        <f ca="1">IFERROR(__xludf.DUMMYFUNCTION("""COMPUTED_VALUE"""),"Hunter Sharp")</f>
        <v>Hunter Sharp</v>
      </c>
      <c r="D113" s="3" t="str">
        <f ca="1">IFERROR(__xludf.DUMMYFUNCTION("""COMPUTED_VALUE"""),"WR")</f>
        <v>WR</v>
      </c>
    </row>
    <row r="114" spans="1:4" ht="13" x14ac:dyDescent="0.15">
      <c r="A114" s="16"/>
      <c r="B114" s="3">
        <f ca="1">IFERROR(__xludf.DUMMYFUNCTION("""COMPUTED_VALUE"""),48)</f>
        <v>48</v>
      </c>
      <c r="C114" s="3" t="str">
        <f ca="1">IFERROR(__xludf.DUMMYFUNCTION("""COMPUTED_VALUE"""),"Jaelen Strong")</f>
        <v>Jaelen Strong</v>
      </c>
      <c r="D114" s="3" t="str">
        <f ca="1">IFERROR(__xludf.DUMMYFUNCTION("""COMPUTED_VALUE"""),"WR")</f>
        <v>WR</v>
      </c>
    </row>
    <row r="115" spans="1:4" ht="13" x14ac:dyDescent="0.15">
      <c r="A115" s="16"/>
      <c r="B115" s="3">
        <f ca="1">IFERROR(__xludf.DUMMYFUNCTION("""COMPUTED_VALUE"""),52)</f>
        <v>52</v>
      </c>
      <c r="C115" s="3" t="str">
        <f ca="1">IFERROR(__xludf.DUMMYFUNCTION("""COMPUTED_VALUE"""),"Jaron Brown")</f>
        <v>Jaron Brown</v>
      </c>
      <c r="D115" s="3" t="str">
        <f ca="1">IFERROR(__xludf.DUMMYFUNCTION("""COMPUTED_VALUE"""),"WR")</f>
        <v>WR</v>
      </c>
    </row>
    <row r="116" spans="1:4" ht="13" x14ac:dyDescent="0.15">
      <c r="A116" s="16"/>
      <c r="B116" s="3">
        <f ca="1">IFERROR(__xludf.DUMMYFUNCTION("""COMPUTED_VALUE"""),55)</f>
        <v>55</v>
      </c>
      <c r="C116" s="3" t="str">
        <f ca="1">IFERROR(__xludf.DUMMYFUNCTION("""COMPUTED_VALUE"""),"JJ Nelson")</f>
        <v>JJ Nelson</v>
      </c>
      <c r="D116" s="3" t="str">
        <f ca="1">IFERROR(__xludf.DUMMYFUNCTION("""COMPUTED_VALUE"""),"WR")</f>
        <v>WR</v>
      </c>
    </row>
    <row r="117" spans="1:4" ht="13" x14ac:dyDescent="0.15">
      <c r="A117" s="16"/>
      <c r="B117" s="3">
        <f ca="1">IFERROR(__xludf.DUMMYFUNCTION("""COMPUTED_VALUE"""),56)</f>
        <v>56</v>
      </c>
      <c r="C117" s="3" t="str">
        <f ca="1">IFERROR(__xludf.DUMMYFUNCTION("""COMPUTED_VALUE"""),"Jordan Matthews")</f>
        <v>Jordan Matthews</v>
      </c>
      <c r="D117" s="3" t="str">
        <f ca="1">IFERROR(__xludf.DUMMYFUNCTION("""COMPUTED_VALUE"""),"WR")</f>
        <v>WR</v>
      </c>
    </row>
    <row r="118" spans="1:4" ht="13" x14ac:dyDescent="0.15">
      <c r="A118" s="16"/>
      <c r="B118" s="3">
        <f ca="1">IFERROR(__xludf.DUMMYFUNCTION("""COMPUTED_VALUE"""),58)</f>
        <v>58</v>
      </c>
      <c r="C118" s="3" t="str">
        <f ca="1">IFERROR(__xludf.DUMMYFUNCTION("""COMPUTED_VALUE"""),"Kendall Wright")</f>
        <v>Kendall Wright</v>
      </c>
      <c r="D118" s="3" t="str">
        <f ca="1">IFERROR(__xludf.DUMMYFUNCTION("""COMPUTED_VALUE"""),"WR")</f>
        <v>WR</v>
      </c>
    </row>
    <row r="119" spans="1:4" ht="13" x14ac:dyDescent="0.15">
      <c r="A119" s="16"/>
      <c r="B119" s="3">
        <f ca="1">IFERROR(__xludf.DUMMYFUNCTION("""COMPUTED_VALUE"""),59)</f>
        <v>59</v>
      </c>
      <c r="C119" s="3" t="str">
        <f ca="1">IFERROR(__xludf.DUMMYFUNCTION("""COMPUTED_VALUE"""),"Kenny Britt")</f>
        <v>Kenny Britt</v>
      </c>
      <c r="D119" s="3" t="str">
        <f ca="1">IFERROR(__xludf.DUMMYFUNCTION("""COMPUTED_VALUE"""),"WR")</f>
        <v>WR</v>
      </c>
    </row>
    <row r="120" spans="1:4" ht="13" x14ac:dyDescent="0.15">
      <c r="A120" s="16"/>
      <c r="B120" s="3">
        <f ca="1">IFERROR(__xludf.DUMMYFUNCTION("""COMPUTED_VALUE"""),69)</f>
        <v>69</v>
      </c>
      <c r="C120" s="3" t="str">
        <f ca="1">IFERROR(__xludf.DUMMYFUNCTION("""COMPUTED_VALUE"""),"Josh Bellamy")</f>
        <v>Josh Bellamy</v>
      </c>
      <c r="D120" s="3" t="str">
        <f ca="1">IFERROR(__xludf.DUMMYFUNCTION("""COMPUTED_VALUE"""),"WR")</f>
        <v>WR</v>
      </c>
    </row>
    <row r="121" spans="1:4" ht="13" x14ac:dyDescent="0.15">
      <c r="A121" s="16"/>
      <c r="B121" s="3">
        <f ca="1">IFERROR(__xludf.DUMMYFUNCTION("""COMPUTED_VALUE"""),71)</f>
        <v>71</v>
      </c>
      <c r="C121" s="3" t="str">
        <f ca="1">IFERROR(__xludf.DUMMYFUNCTION("""COMPUTED_VALUE"""),"Roger Lewis")</f>
        <v>Roger Lewis</v>
      </c>
      <c r="D121" s="3" t="str">
        <f ca="1">IFERROR(__xludf.DUMMYFUNCTION("""COMPUTED_VALUE"""),"WR")</f>
        <v>WR</v>
      </c>
    </row>
    <row r="122" spans="1:4" ht="13" x14ac:dyDescent="0.15">
      <c r="A122" s="16"/>
      <c r="B122" s="3">
        <f ca="1">IFERROR(__xludf.DUMMYFUNCTION("""COMPUTED_VALUE"""),78)</f>
        <v>78</v>
      </c>
      <c r="C122" s="3" t="str">
        <f ca="1">IFERROR(__xludf.DUMMYFUNCTION("""COMPUTED_VALUE"""),"Justin Hardy")</f>
        <v>Justin Hardy</v>
      </c>
      <c r="D122" s="3" t="str">
        <f ca="1">IFERROR(__xludf.DUMMYFUNCTION("""COMPUTED_VALUE"""),"WR")</f>
        <v>WR</v>
      </c>
    </row>
    <row r="123" spans="1:4" ht="13" x14ac:dyDescent="0.15">
      <c r="A123" s="16"/>
      <c r="B123" s="3">
        <f ca="1">IFERROR(__xludf.DUMMYFUNCTION("""COMPUTED_VALUE"""),85)</f>
        <v>85</v>
      </c>
      <c r="C123" s="3" t="str">
        <f ca="1">IFERROR(__xludf.DUMMYFUNCTION("""COMPUTED_VALUE"""),"Aldrick Robinson")</f>
        <v>Aldrick Robinson</v>
      </c>
      <c r="D123" s="3" t="str">
        <f ca="1">IFERROR(__xludf.DUMMYFUNCTION("""COMPUTED_VALUE"""),"WR")</f>
        <v>WR</v>
      </c>
    </row>
    <row r="124" spans="1:4" ht="13" x14ac:dyDescent="0.15">
      <c r="A124" s="16"/>
      <c r="B124" s="3">
        <f ca="1">IFERROR(__xludf.DUMMYFUNCTION("""COMPUTED_VALUE"""),91)</f>
        <v>91</v>
      </c>
      <c r="C124" s="3" t="str">
        <f ca="1">IFERROR(__xludf.DUMMYFUNCTION("""COMPUTED_VALUE"""),"Allen Hurns")</f>
        <v>Allen Hurns</v>
      </c>
      <c r="D124" s="3" t="str">
        <f ca="1">IFERROR(__xludf.DUMMYFUNCTION("""COMPUTED_VALUE"""),"WR")</f>
        <v>WR</v>
      </c>
    </row>
    <row r="125" spans="1:4" ht="13" x14ac:dyDescent="0.15">
      <c r="A125" s="16"/>
      <c r="B125" s="3">
        <f ca="1">IFERROR(__xludf.DUMMYFUNCTION("""COMPUTED_VALUE"""),96)</f>
        <v>96</v>
      </c>
      <c r="C125" s="3" t="str">
        <f ca="1">IFERROR(__xludf.DUMMYFUNCTION("""COMPUTED_VALUE"""),"Seth Roberts")</f>
        <v>Seth Roberts</v>
      </c>
      <c r="D125" s="3" t="str">
        <f ca="1">IFERROR(__xludf.DUMMYFUNCTION("""COMPUTED_VALUE"""),"WR")</f>
        <v>WR</v>
      </c>
    </row>
    <row r="126" spans="1:4" ht="13" x14ac:dyDescent="0.15">
      <c r="A126" s="16"/>
      <c r="B126" s="3">
        <f ca="1">IFERROR(__xludf.DUMMYFUNCTION("""COMPUTED_VALUE"""),103)</f>
        <v>103</v>
      </c>
      <c r="C126" s="3" t="str">
        <f ca="1">IFERROR(__xludf.DUMMYFUNCTION("""COMPUTED_VALUE"""),"Ricardo Louis")</f>
        <v>Ricardo Louis</v>
      </c>
      <c r="D126" s="3" t="str">
        <f ca="1">IFERROR(__xludf.DUMMYFUNCTION("""COMPUTED_VALUE"""),"WR")</f>
        <v>WR</v>
      </c>
    </row>
    <row r="127" spans="1:4" ht="13" x14ac:dyDescent="0.15">
      <c r="A127" s="16"/>
      <c r="B127" s="3">
        <f ca="1">IFERROR(__xludf.DUMMYFUNCTION("""COMPUTED_VALUE"""),109)</f>
        <v>109</v>
      </c>
      <c r="C127" s="3" t="str">
        <f ca="1">IFERROR(__xludf.DUMMYFUNCTION("""COMPUTED_VALUE"""),"Johnny Holton")</f>
        <v>Johnny Holton</v>
      </c>
      <c r="D127" s="3" t="str">
        <f ca="1">IFERROR(__xludf.DUMMYFUNCTION("""COMPUTED_VALUE"""),"WR")</f>
        <v>WR</v>
      </c>
    </row>
    <row r="128" spans="1:4" ht="13" x14ac:dyDescent="0.15">
      <c r="A128" s="16"/>
      <c r="B128" s="3">
        <f ca="1">IFERROR(__xludf.DUMMYFUNCTION("""COMPUTED_VALUE"""),126)</f>
        <v>126</v>
      </c>
      <c r="C128" s="3" t="str">
        <f ca="1">IFERROR(__xludf.DUMMYFUNCTION("""COMPUTED_VALUE"""),"Chris Hogan")</f>
        <v>Chris Hogan</v>
      </c>
      <c r="D128" s="3" t="str">
        <f ca="1">IFERROR(__xludf.DUMMYFUNCTION("""COMPUTED_VALUE"""),"WR")</f>
        <v>WR</v>
      </c>
    </row>
    <row r="129" spans="1:4" ht="13" x14ac:dyDescent="0.15">
      <c r="A129" s="16"/>
      <c r="B129" s="3">
        <f ca="1">IFERROR(__xludf.DUMMYFUNCTION("""COMPUTED_VALUE"""),131)</f>
        <v>131</v>
      </c>
      <c r="C129" s="3" t="str">
        <f ca="1">IFERROR(__xludf.DUMMYFUNCTION("""COMPUTED_VALUE"""),"T.J. Jones")</f>
        <v>T.J. Jones</v>
      </c>
      <c r="D129" s="3" t="str">
        <f ca="1">IFERROR(__xludf.DUMMYFUNCTION("""COMPUTED_VALUE"""),"WR")</f>
        <v>WR</v>
      </c>
    </row>
    <row r="130" spans="1:4" ht="13" x14ac:dyDescent="0.15">
      <c r="A130" s="16"/>
      <c r="B130" s="3">
        <f ca="1">IFERROR(__xludf.DUMMYFUNCTION("""COMPUTED_VALUE"""),134)</f>
        <v>134</v>
      </c>
      <c r="C130" s="3" t="str">
        <f ca="1">IFERROR(__xludf.DUMMYFUNCTION("""COMPUTED_VALUE"""),"Danny Amendola")</f>
        <v>Danny Amendola</v>
      </c>
      <c r="D130" s="3" t="str">
        <f ca="1">IFERROR(__xludf.DUMMYFUNCTION("""COMPUTED_VALUE"""),"WR")</f>
        <v>WR</v>
      </c>
    </row>
    <row r="131" spans="1:4" ht="13" x14ac:dyDescent="0.15">
      <c r="A131" s="16"/>
      <c r="B131" s="3">
        <f ca="1">IFERROR(__xludf.DUMMYFUNCTION("""COMPUTED_VALUE"""),139)</f>
        <v>139</v>
      </c>
      <c r="C131" s="3" t="str">
        <f ca="1">IFERROR(__xludf.DUMMYFUNCTION("""COMPUTED_VALUE"""),"Taywan Taylor")</f>
        <v>Taywan Taylor</v>
      </c>
      <c r="D131" s="3" t="str">
        <f ca="1">IFERROR(__xludf.DUMMYFUNCTION("""COMPUTED_VALUE"""),"WR")</f>
        <v>WR</v>
      </c>
    </row>
    <row r="132" spans="1:4" ht="13" x14ac:dyDescent="0.15">
      <c r="A132" s="16"/>
      <c r="B132" s="3">
        <f ca="1">IFERROR(__xludf.DUMMYFUNCTION("""COMPUTED_VALUE"""),143)</f>
        <v>143</v>
      </c>
      <c r="C132" s="3" t="str">
        <f ca="1">IFERROR(__xludf.DUMMYFUNCTION("""COMPUTED_VALUE"""),"Demaryius Thomas")</f>
        <v>Demaryius Thomas</v>
      </c>
      <c r="D132" s="3" t="str">
        <f ca="1">IFERROR(__xludf.DUMMYFUNCTION("""COMPUTED_VALUE"""),"WR")</f>
        <v>WR</v>
      </c>
    </row>
    <row r="133" spans="1:4" ht="13" x14ac:dyDescent="0.15">
      <c r="A133" s="16"/>
      <c r="B133" s="3">
        <f ca="1">IFERROR(__xludf.DUMMYFUNCTION("""COMPUTED_VALUE"""),146)</f>
        <v>146</v>
      </c>
      <c r="C133" s="3" t="str">
        <f ca="1">IFERROR(__xludf.DUMMYFUNCTION("""COMPUTED_VALUE"""),"Jarius Wright")</f>
        <v>Jarius Wright</v>
      </c>
      <c r="D133" s="3" t="str">
        <f ca="1">IFERROR(__xludf.DUMMYFUNCTION("""COMPUTED_VALUE"""),"WR")</f>
        <v>WR</v>
      </c>
    </row>
    <row r="134" spans="1:4" ht="13" x14ac:dyDescent="0.15">
      <c r="A134" s="16"/>
      <c r="B134" s="3">
        <f ca="1">IFERROR(__xludf.DUMMYFUNCTION("""COMPUTED_VALUE"""),147)</f>
        <v>147</v>
      </c>
      <c r="C134" s="3" t="str">
        <f ca="1">IFERROR(__xludf.DUMMYFUNCTION("""COMPUTED_VALUE"""),"Jakeem Grant")</f>
        <v>Jakeem Grant</v>
      </c>
      <c r="D134" s="3" t="str">
        <f ca="1">IFERROR(__xludf.DUMMYFUNCTION("""COMPUTED_VALUE"""),"WR")</f>
        <v>WR</v>
      </c>
    </row>
    <row r="135" spans="1:4" ht="13" x14ac:dyDescent="0.15">
      <c r="A135" s="16"/>
      <c r="B135" s="3">
        <f ca="1">IFERROR(__xludf.DUMMYFUNCTION("""COMPUTED_VALUE"""),155)</f>
        <v>155</v>
      </c>
      <c r="C135" s="3" t="str">
        <f ca="1">IFERROR(__xludf.DUMMYFUNCTION("""COMPUTED_VALUE"""),"Dez Bryant")</f>
        <v>Dez Bryant</v>
      </c>
      <c r="D135" s="3" t="str">
        <f ca="1">IFERROR(__xludf.DUMMYFUNCTION("""COMPUTED_VALUE"""),"WR")</f>
        <v>WR</v>
      </c>
    </row>
    <row r="136" spans="1:4" ht="13" x14ac:dyDescent="0.15">
      <c r="A136" s="16"/>
      <c r="B136" s="3">
        <f ca="1">IFERROR(__xludf.DUMMYFUNCTION("""COMPUTED_VALUE"""),156)</f>
        <v>156</v>
      </c>
      <c r="C136" s="3" t="str">
        <f ca="1">IFERROR(__xludf.DUMMYFUNCTION("""COMPUTED_VALUE"""),"Taylor Gabriel")</f>
        <v>Taylor Gabriel</v>
      </c>
      <c r="D136" s="3" t="str">
        <f ca="1">IFERROR(__xludf.DUMMYFUNCTION("""COMPUTED_VALUE"""),"WR")</f>
        <v>WR</v>
      </c>
    </row>
    <row r="137" spans="1:4" ht="13" x14ac:dyDescent="0.15">
      <c r="A137" s="16"/>
      <c r="B137" s="3">
        <f ca="1">IFERROR(__xludf.DUMMYFUNCTION("""COMPUTED_VALUE"""),157)</f>
        <v>157</v>
      </c>
      <c r="C137" s="3" t="str">
        <f ca="1">IFERROR(__xludf.DUMMYFUNCTION("""COMPUTED_VALUE"""),"Tavon Austin")</f>
        <v>Tavon Austin</v>
      </c>
      <c r="D137" s="3" t="str">
        <f ca="1">IFERROR(__xludf.DUMMYFUNCTION("""COMPUTED_VALUE"""),"WR")</f>
        <v>WR</v>
      </c>
    </row>
    <row r="138" spans="1:4" ht="13" x14ac:dyDescent="0.15">
      <c r="A138" s="16"/>
      <c r="B138" s="3">
        <f ca="1">IFERROR(__xludf.DUMMYFUNCTION("""COMPUTED_VALUE"""),159)</f>
        <v>159</v>
      </c>
      <c r="C138" s="3" t="str">
        <f ca="1">IFERROR(__xludf.DUMMYFUNCTION("""COMPUTED_VALUE"""),"Andre Holmes")</f>
        <v>Andre Holmes</v>
      </c>
      <c r="D138" s="3" t="str">
        <f ca="1">IFERROR(__xludf.DUMMYFUNCTION("""COMPUTED_VALUE"""),"WR")</f>
        <v>WR</v>
      </c>
    </row>
    <row r="139" spans="1:4" ht="13" x14ac:dyDescent="0.15">
      <c r="A139" s="16"/>
      <c r="B139" s="3">
        <f ca="1">IFERROR(__xludf.DUMMYFUNCTION("""COMPUTED_VALUE"""),162)</f>
        <v>162</v>
      </c>
      <c r="C139" s="3" t="str">
        <f ca="1">IFERROR(__xludf.DUMMYFUNCTION("""COMPUTED_VALUE"""),"Doug Baldwin")</f>
        <v>Doug Baldwin</v>
      </c>
      <c r="D139" s="3" t="str">
        <f ca="1">IFERROR(__xludf.DUMMYFUNCTION("""COMPUTED_VALUE"""),"WR")</f>
        <v>WR</v>
      </c>
    </row>
    <row r="140" spans="1:4" ht="13" x14ac:dyDescent="0.15">
      <c r="A140" s="16"/>
      <c r="B140" s="3">
        <f ca="1">IFERROR(__xludf.DUMMYFUNCTION("""COMPUTED_VALUE"""),167)</f>
        <v>167</v>
      </c>
      <c r="C140" s="3" t="str">
        <f ca="1">IFERROR(__xludf.DUMMYFUNCTION("""COMPUTED_VALUE"""),"Mack Hollins")</f>
        <v>Mack Hollins</v>
      </c>
      <c r="D140" s="3" t="str">
        <f ca="1">IFERROR(__xludf.DUMMYFUNCTION("""COMPUTED_VALUE"""),"WR")</f>
        <v>WR</v>
      </c>
    </row>
    <row r="141" spans="1:4" ht="13" x14ac:dyDescent="0.15">
      <c r="A141" s="16"/>
      <c r="B141" s="3">
        <f ca="1">IFERROR(__xludf.DUMMYFUNCTION("""COMPUTED_VALUE"""),172)</f>
        <v>172</v>
      </c>
      <c r="C141" s="3" t="str">
        <f ca="1">IFERROR(__xludf.DUMMYFUNCTION("""COMPUTED_VALUE"""),"Michael Campanaro")</f>
        <v>Michael Campanaro</v>
      </c>
      <c r="D141" s="3" t="str">
        <f ca="1">IFERROR(__xludf.DUMMYFUNCTION("""COMPUTED_VALUE"""),"WR")</f>
        <v>WR</v>
      </c>
    </row>
    <row r="142" spans="1:4" ht="13" x14ac:dyDescent="0.15">
      <c r="A142" s="16"/>
      <c r="B142" s="3">
        <f ca="1">IFERROR(__xludf.DUMMYFUNCTION("""COMPUTED_VALUE"""),174)</f>
        <v>174</v>
      </c>
      <c r="C142" s="3" t="str">
        <f ca="1">IFERROR(__xludf.DUMMYFUNCTION("""COMPUTED_VALUE"""),"Russell Shepard")</f>
        <v>Russell Shepard</v>
      </c>
      <c r="D142" s="3" t="str">
        <f ca="1">IFERROR(__xludf.DUMMYFUNCTION("""COMPUTED_VALUE"""),"WR")</f>
        <v>WR</v>
      </c>
    </row>
    <row r="143" spans="1:4" ht="13" x14ac:dyDescent="0.15">
      <c r="A143" s="16"/>
      <c r="B143" s="3">
        <f ca="1">IFERROR(__xludf.DUMMYFUNCTION("""COMPUTED_VALUE"""),179)</f>
        <v>179</v>
      </c>
      <c r="C143" s="3" t="str">
        <f ca="1">IFERROR(__xludf.DUMMYFUNCTION("""COMPUTED_VALUE"""),"Terrance Williams")</f>
        <v>Terrance Williams</v>
      </c>
      <c r="D143" s="3" t="str">
        <f ca="1">IFERROR(__xludf.DUMMYFUNCTION("""COMPUTED_VALUE"""),"WR")</f>
        <v>WR</v>
      </c>
    </row>
    <row r="144" spans="1:4" ht="13" x14ac:dyDescent="0.15">
      <c r="A144" s="16"/>
      <c r="B144" s="3">
        <f ca="1">IFERROR(__xludf.DUMMYFUNCTION("""COMPUTED_VALUE"""),182)</f>
        <v>182</v>
      </c>
      <c r="C144" s="3" t="str">
        <f ca="1">IFERROR(__xludf.DUMMYFUNCTION("""COMPUTED_VALUE"""),"Terrelle Pryor")</f>
        <v>Terrelle Pryor</v>
      </c>
      <c r="D144" s="3" t="str">
        <f ca="1">IFERROR(__xludf.DUMMYFUNCTION("""COMPUTED_VALUE"""),"WR")</f>
        <v>WR</v>
      </c>
    </row>
    <row r="145" spans="1:4" ht="13" x14ac:dyDescent="0.15">
      <c r="A145" s="16"/>
      <c r="B145" s="3">
        <f ca="1">IFERROR(__xludf.DUMMYFUNCTION("""COMPUTED_VALUE"""),185)</f>
        <v>185</v>
      </c>
      <c r="C145" s="3" t="str">
        <f ca="1">IFERROR(__xludf.DUMMYFUNCTION("""COMPUTED_VALUE"""),"De'Anthony Thomas")</f>
        <v>De'Anthony Thomas</v>
      </c>
      <c r="D145" s="3" t="str">
        <f ca="1">IFERROR(__xludf.DUMMYFUNCTION("""COMPUTED_VALUE"""),"WR")</f>
        <v>WR</v>
      </c>
    </row>
    <row r="146" spans="1:4" ht="13" x14ac:dyDescent="0.15">
      <c r="A146" s="16"/>
      <c r="B146" s="3">
        <f ca="1">IFERROR(__xludf.DUMMYFUNCTION("""COMPUTED_VALUE"""),198)</f>
        <v>198</v>
      </c>
      <c r="C146" s="3" t="str">
        <f ca="1">IFERROR(__xludf.DUMMYFUNCTION("""COMPUTED_VALUE"""),"Kendrick Bourne")</f>
        <v>Kendrick Bourne</v>
      </c>
      <c r="D146" s="3" t="str">
        <f ca="1">IFERROR(__xludf.DUMMYFUNCTION("""COMPUTED_VALUE"""),"WR")</f>
        <v>WR</v>
      </c>
    </row>
    <row r="147" spans="1:4" ht="13" x14ac:dyDescent="0.15">
      <c r="A147" s="16"/>
      <c r="B147" s="3">
        <f ca="1">IFERROR(__xludf.DUMMYFUNCTION("""COMPUTED_VALUE"""),200)</f>
        <v>200</v>
      </c>
      <c r="C147" s="3" t="str">
        <f ca="1">IFERROR(__xludf.DUMMYFUNCTION("""COMPUTED_VALUE"""),"Jeremy Maclin")</f>
        <v>Jeremy Maclin</v>
      </c>
      <c r="D147" s="3" t="str">
        <f ca="1">IFERROR(__xludf.DUMMYFUNCTION("""COMPUTED_VALUE"""),"WR")</f>
        <v>WR</v>
      </c>
    </row>
    <row r="148" spans="1:4" ht="13" x14ac:dyDescent="0.15">
      <c r="A148" s="16"/>
      <c r="B148" s="3">
        <f ca="1">IFERROR(__xludf.DUMMYFUNCTION("""COMPUTED_VALUE"""),202)</f>
        <v>202</v>
      </c>
      <c r="C148" s="3" t="str">
        <f ca="1">IFERROR(__xludf.DUMMYFUNCTION("""COMPUTED_VALUE"""),"Jermaine Kearse")</f>
        <v>Jermaine Kearse</v>
      </c>
      <c r="D148" s="3" t="str">
        <f ca="1">IFERROR(__xludf.DUMMYFUNCTION("""COMPUTED_VALUE"""),"WR")</f>
        <v>WR</v>
      </c>
    </row>
    <row r="149" spans="1:4" ht="13" x14ac:dyDescent="0.15">
      <c r="A149" s="16"/>
      <c r="B149" s="3">
        <f ca="1">IFERROR(__xludf.DUMMYFUNCTION("""COMPUTED_VALUE"""),212)</f>
        <v>212</v>
      </c>
      <c r="C149" s="3" t="str">
        <f ca="1">IFERROR(__xludf.DUMMYFUNCTION("""COMPUTED_VALUE"""),"Jeremy Kerley")</f>
        <v>Jeremy Kerley</v>
      </c>
      <c r="D149" s="3" t="str">
        <f ca="1">IFERROR(__xludf.DUMMYFUNCTION("""COMPUTED_VALUE"""),"WR")</f>
        <v>WR</v>
      </c>
    </row>
    <row r="150" spans="1:4" ht="13" x14ac:dyDescent="0.15">
      <c r="A150" s="16"/>
      <c r="B150" s="3">
        <f ca="1">IFERROR(__xludf.DUMMYFUNCTION("""COMPUTED_VALUE"""),213)</f>
        <v>213</v>
      </c>
      <c r="C150" s="3" t="str">
        <f ca="1">IFERROR(__xludf.DUMMYFUNCTION("""COMPUTED_VALUE"""),"Damiere Byrd")</f>
        <v>Damiere Byrd</v>
      </c>
      <c r="D150" s="3" t="str">
        <f ca="1">IFERROR(__xludf.DUMMYFUNCTION("""COMPUTED_VALUE"""),"WR")</f>
        <v>WR</v>
      </c>
    </row>
    <row r="151" spans="1:4" ht="13" x14ac:dyDescent="0.15">
      <c r="A151" s="16"/>
      <c r="B151" s="3">
        <f ca="1">IFERROR(__xludf.DUMMYFUNCTION("""COMPUTED_VALUE"""),216)</f>
        <v>216</v>
      </c>
      <c r="C151" s="3" t="str">
        <f ca="1">IFERROR(__xludf.DUMMYFUNCTION("""COMPUTED_VALUE"""),"Alex Erickson")</f>
        <v>Alex Erickson</v>
      </c>
      <c r="D151" s="3" t="str">
        <f ca="1">IFERROR(__xludf.DUMMYFUNCTION("""COMPUTED_VALUE"""),"WR")</f>
        <v>WR</v>
      </c>
    </row>
    <row r="152" spans="1:4" ht="13" x14ac:dyDescent="0.15">
      <c r="A152" s="16"/>
      <c r="B152" s="3">
        <f ca="1">IFERROR(__xludf.DUMMYFUNCTION("""COMPUTED_VALUE"""),217)</f>
        <v>217</v>
      </c>
      <c r="C152" s="3" t="str">
        <f ca="1">IFERROR(__xludf.DUMMYFUNCTION("""COMPUTED_VALUE"""),"Jordy Nelson")</f>
        <v>Jordy Nelson</v>
      </c>
      <c r="D152" s="3" t="str">
        <f ca="1">IFERROR(__xludf.DUMMYFUNCTION("""COMPUTED_VALUE"""),"WR")</f>
        <v>WR</v>
      </c>
    </row>
    <row r="153" spans="1:4" ht="13" x14ac:dyDescent="0.15">
      <c r="A153" s="16"/>
      <c r="B153" s="3">
        <f ca="1">IFERROR(__xludf.DUMMYFUNCTION("""COMPUTED_VALUE"""),229)</f>
        <v>229</v>
      </c>
      <c r="C153" s="3" t="str">
        <f ca="1">IFERROR(__xludf.DUMMYFUNCTION("""COMPUTED_VALUE"""),"Keelan Cole")</f>
        <v>Keelan Cole</v>
      </c>
      <c r="D153" s="3" t="str">
        <f ca="1">IFERROR(__xludf.DUMMYFUNCTION("""COMPUTED_VALUE"""),"WR")</f>
        <v>WR</v>
      </c>
    </row>
    <row r="154" spans="1:4" ht="13" x14ac:dyDescent="0.15">
      <c r="A154" s="16"/>
      <c r="B154" s="3">
        <f ca="1">IFERROR(__xludf.DUMMYFUNCTION("""COMPUTED_VALUE"""),231)</f>
        <v>231</v>
      </c>
      <c r="C154" s="3" t="str">
        <f ca="1">IFERROR(__xludf.DUMMYFUNCTION("""COMPUTED_VALUE"""),"Braxton Miller")</f>
        <v>Braxton Miller</v>
      </c>
      <c r="D154" s="3" t="str">
        <f ca="1">IFERROR(__xludf.DUMMYFUNCTION("""COMPUTED_VALUE"""),"WR")</f>
        <v>WR</v>
      </c>
    </row>
    <row r="155" spans="1:4" ht="13" x14ac:dyDescent="0.15">
      <c r="A155" s="16"/>
      <c r="B155" s="3">
        <f ca="1">IFERROR(__xludf.DUMMYFUNCTION("""COMPUTED_VALUE"""),235)</f>
        <v>235</v>
      </c>
      <c r="C155" s="3" t="str">
        <f ca="1">IFERROR(__xludf.DUMMYFUNCTION("""COMPUTED_VALUE"""),"Kelvin Benjamin")</f>
        <v>Kelvin Benjamin</v>
      </c>
      <c r="D155" s="3" t="str">
        <f ca="1">IFERROR(__xludf.DUMMYFUNCTION("""COMPUTED_VALUE"""),"WR")</f>
        <v>WR</v>
      </c>
    </row>
    <row r="156" spans="1:4" ht="13" x14ac:dyDescent="0.15">
      <c r="A156" s="16"/>
      <c r="B156" s="3">
        <f ca="1">IFERROR(__xludf.DUMMYFUNCTION("""COMPUTED_VALUE"""),238)</f>
        <v>238</v>
      </c>
      <c r="C156" s="3" t="str">
        <f ca="1">IFERROR(__xludf.DUMMYFUNCTION("""COMPUTED_VALUE"""),"Demarcus Robinson")</f>
        <v>Demarcus Robinson</v>
      </c>
      <c r="D156" s="3" t="str">
        <f ca="1">IFERROR(__xludf.DUMMYFUNCTION("""COMPUTED_VALUE"""),"WR")</f>
        <v>WR</v>
      </c>
    </row>
    <row r="157" spans="1:4" ht="13" x14ac:dyDescent="0.15">
      <c r="A157" s="16"/>
      <c r="B157" s="3">
        <f ca="1">IFERROR(__xludf.DUMMYFUNCTION("""COMPUTED_VALUE"""),244)</f>
        <v>244</v>
      </c>
      <c r="C157" s="3" t="str">
        <f ca="1">IFERROR(__xludf.DUMMYFUNCTION("""COMPUTED_VALUE"""),"Laquon Treadwell")</f>
        <v>Laquon Treadwell</v>
      </c>
      <c r="D157" s="3" t="str">
        <f ca="1">IFERROR(__xludf.DUMMYFUNCTION("""COMPUTED_VALUE"""),"WR")</f>
        <v>WR</v>
      </c>
    </row>
    <row r="158" spans="1:4" ht="13" x14ac:dyDescent="0.15">
      <c r="A158" s="16"/>
      <c r="B158" s="3">
        <f ca="1">IFERROR(__xludf.DUMMYFUNCTION("""COMPUTED_VALUE"""),245)</f>
        <v>245</v>
      </c>
      <c r="C158" s="3" t="str">
        <f ca="1">IFERROR(__xludf.DUMMYFUNCTION("""COMPUTED_VALUE"""),"Phillip Dorsett")</f>
        <v>Phillip Dorsett</v>
      </c>
      <c r="D158" s="3" t="str">
        <f ca="1">IFERROR(__xludf.DUMMYFUNCTION("""COMPUTED_VALUE"""),"WR")</f>
        <v>WR</v>
      </c>
    </row>
    <row r="159" spans="1:4" ht="13" x14ac:dyDescent="0.15">
      <c r="A159" s="16"/>
      <c r="B159" s="3">
        <f ca="1">IFERROR(__xludf.DUMMYFUNCTION("""COMPUTED_VALUE"""),247)</f>
        <v>247</v>
      </c>
      <c r="C159" s="3" t="str">
        <f ca="1">IFERROR(__xludf.DUMMYFUNCTION("""COMPUTED_VALUE"""),"Torrey Smith")</f>
        <v>Torrey Smith</v>
      </c>
      <c r="D159" s="3" t="str">
        <f ca="1">IFERROR(__xludf.DUMMYFUNCTION("""COMPUTED_VALUE"""),"WR")</f>
        <v>WR</v>
      </c>
    </row>
    <row r="160" spans="1:4" ht="13" x14ac:dyDescent="0.15">
      <c r="A160" s="16"/>
      <c r="B160" s="3">
        <f ca="1">IFERROR(__xludf.DUMMYFUNCTION("""COMPUTED_VALUE"""),249)</f>
        <v>249</v>
      </c>
      <c r="C160" s="3" t="str">
        <f ca="1">IFERROR(__xludf.DUMMYFUNCTION("""COMPUTED_VALUE"""),"Eli Rogers")</f>
        <v>Eli Rogers</v>
      </c>
      <c r="D160" s="3" t="str">
        <f ca="1">IFERROR(__xludf.DUMMYFUNCTION("""COMPUTED_VALUE"""),"WR")</f>
        <v>WR</v>
      </c>
    </row>
    <row r="161" spans="1:4" ht="13" x14ac:dyDescent="0.15">
      <c r="A161" s="16"/>
      <c r="B161" s="3">
        <f ca="1">IFERROR(__xludf.DUMMYFUNCTION("""COMPUTED_VALUE"""),258)</f>
        <v>258</v>
      </c>
      <c r="C161" s="3" t="str">
        <f ca="1">IFERROR(__xludf.DUMMYFUNCTION("""COMPUTED_VALUE"""),"Louis Murphy")</f>
        <v>Louis Murphy</v>
      </c>
      <c r="D161" s="3" t="str">
        <f ca="1">IFERROR(__xludf.DUMMYFUNCTION("""COMPUTED_VALUE"""),"WR")</f>
        <v>WR</v>
      </c>
    </row>
    <row r="162" spans="1:4" ht="13" x14ac:dyDescent="0.15">
      <c r="A162" s="16"/>
      <c r="B162" s="3">
        <f ca="1">IFERROR(__xludf.DUMMYFUNCTION("""COMPUTED_VALUE"""),263)</f>
        <v>263</v>
      </c>
      <c r="C162" s="3" t="str">
        <f ca="1">IFERROR(__xludf.DUMMYFUNCTION("""COMPUTED_VALUE"""),"Tommylee Lewis")</f>
        <v>Tommylee Lewis</v>
      </c>
      <c r="D162" s="3" t="str">
        <f ca="1">IFERROR(__xludf.DUMMYFUNCTION("""COMPUTED_VALUE"""),"WR")</f>
        <v>WR</v>
      </c>
    </row>
    <row r="163" spans="1:4" ht="13" x14ac:dyDescent="0.15">
      <c r="A163" s="16"/>
      <c r="B163" s="3">
        <f ca="1">IFERROR(__xludf.DUMMYFUNCTION("""COMPUTED_VALUE"""),273)</f>
        <v>273</v>
      </c>
      <c r="C163" s="3" t="str">
        <f ca="1">IFERROR(__xludf.DUMMYFUNCTION("""COMPUTED_VALUE"""),"Josh Reynolds")</f>
        <v>Josh Reynolds</v>
      </c>
      <c r="D163" s="3" t="str">
        <f ca="1">IFERROR(__xludf.DUMMYFUNCTION("""COMPUTED_VALUE"""),"WR")</f>
        <v>WR</v>
      </c>
    </row>
    <row r="164" spans="1:4" ht="13" x14ac:dyDescent="0.15">
      <c r="A164" s="16"/>
      <c r="B164" s="3">
        <f ca="1">IFERROR(__xludf.DUMMYFUNCTION("""COMPUTED_VALUE"""),274)</f>
        <v>274</v>
      </c>
      <c r="C164" s="3" t="str">
        <f ca="1">IFERROR(__xludf.DUMMYFUNCTION("""COMPUTED_VALUE"""),"Jaydon Mickens")</f>
        <v>Jaydon Mickens</v>
      </c>
      <c r="D164" s="3" t="str">
        <f ca="1">IFERROR(__xludf.DUMMYFUNCTION("""COMPUTED_VALUE"""),"WR")</f>
        <v>WR</v>
      </c>
    </row>
    <row r="165" spans="1:4" ht="13" x14ac:dyDescent="0.15">
      <c r="A165" s="16"/>
      <c r="B165" s="3">
        <f ca="1">IFERROR(__xludf.DUMMYFUNCTION("""COMPUTED_VALUE"""),276)</f>
        <v>276</v>
      </c>
      <c r="C165" s="3" t="str">
        <f ca="1">IFERROR(__xludf.DUMMYFUNCTION("""COMPUTED_VALUE"""),"Martavis Bryant")</f>
        <v>Martavis Bryant</v>
      </c>
      <c r="D165" s="3" t="str">
        <f ca="1">IFERROR(__xludf.DUMMYFUNCTION("""COMPUTED_VALUE"""),"WR")</f>
        <v>WR</v>
      </c>
    </row>
    <row r="166" spans="1:4" ht="13" x14ac:dyDescent="0.15">
      <c r="A166" s="16"/>
      <c r="B166" s="3">
        <f ca="1">IFERROR(__xludf.DUMMYFUNCTION("""COMPUTED_VALUE"""),283)</f>
        <v>283</v>
      </c>
      <c r="C166" s="3" t="str">
        <f ca="1">IFERROR(__xludf.DUMMYFUNCTION("""COMPUTED_VALUE"""),"Brandon Marshall")</f>
        <v>Brandon Marshall</v>
      </c>
      <c r="D166" s="3" t="str">
        <f ca="1">IFERROR(__xludf.DUMMYFUNCTION("""COMPUTED_VALUE"""),"WR")</f>
        <v>WR</v>
      </c>
    </row>
    <row r="167" spans="1:4" ht="13" x14ac:dyDescent="0.15">
      <c r="A167" s="16"/>
      <c r="B167" s="3">
        <f ca="1">IFERROR(__xludf.DUMMYFUNCTION("""COMPUTED_VALUE"""),293)</f>
        <v>293</v>
      </c>
      <c r="C167" s="3" t="str">
        <f ca="1">IFERROR(__xludf.DUMMYFUNCTION("""COMPUTED_VALUE"""),"Michael Crabtree")</f>
        <v>Michael Crabtree</v>
      </c>
      <c r="D167" s="3" t="str">
        <f ca="1">IFERROR(__xludf.DUMMYFUNCTION("""COMPUTED_VALUE"""),"WR")</f>
        <v>WR</v>
      </c>
    </row>
    <row r="168" spans="1:4" ht="13" x14ac:dyDescent="0.15">
      <c r="A168" s="16"/>
      <c r="B168" s="3">
        <f ca="1">IFERROR(__xludf.DUMMYFUNCTION("""COMPUTED_VALUE"""),298)</f>
        <v>298</v>
      </c>
      <c r="C168" s="3" t="str">
        <f ca="1">IFERROR(__xludf.DUMMYFUNCTION("""COMPUTED_VALUE"""),"Jordan Taylor")</f>
        <v>Jordan Taylor</v>
      </c>
      <c r="D168" s="3" t="str">
        <f ca="1">IFERROR(__xludf.DUMMYFUNCTION("""COMPUTED_VALUE"""),"WR")</f>
        <v>WR</v>
      </c>
    </row>
    <row r="169" spans="1:4" ht="13" x14ac:dyDescent="0.15">
      <c r="A169" s="16"/>
      <c r="B169" s="3">
        <f ca="1">IFERROR(__xludf.DUMMYFUNCTION("""COMPUTED_VALUE"""),299)</f>
        <v>299</v>
      </c>
      <c r="C169" s="3" t="str">
        <f ca="1">IFERROR(__xludf.DUMMYFUNCTION("""COMPUTED_VALUE"""),"Tre McBride")</f>
        <v>Tre McBride</v>
      </c>
      <c r="D169" s="3" t="str">
        <f ca="1">IFERROR(__xludf.DUMMYFUNCTION("""COMPUTED_VALUE"""),"WR")</f>
        <v>WR</v>
      </c>
    </row>
    <row r="170" spans="1:4" ht="13" x14ac:dyDescent="0.15">
      <c r="A170" s="16"/>
      <c r="B170" s="3">
        <f ca="1">IFERROR(__xludf.DUMMYFUNCTION("""COMPUTED_VALUE"""),302)</f>
        <v>302</v>
      </c>
      <c r="C170" s="3" t="str">
        <f ca="1">IFERROR(__xludf.DUMMYFUNCTION("""COMPUTED_VALUE"""),"Brandon Tate")</f>
        <v>Brandon Tate</v>
      </c>
      <c r="D170" s="3" t="str">
        <f ca="1">IFERROR(__xludf.DUMMYFUNCTION("""COMPUTED_VALUE"""),"WR")</f>
        <v>WR</v>
      </c>
    </row>
    <row r="171" spans="1:4" ht="13" x14ac:dyDescent="0.15">
      <c r="A171" s="16"/>
      <c r="B171" s="3">
        <f ca="1">IFERROR(__xludf.DUMMYFUNCTION("""COMPUTED_VALUE"""),305)</f>
        <v>305</v>
      </c>
      <c r="C171" s="3" t="str">
        <f ca="1">IFERROR(__xludf.DUMMYFUNCTION("""COMPUTED_VALUE"""),"Darrius Heyward-Bey")</f>
        <v>Darrius Heyward-Bey</v>
      </c>
      <c r="D171" s="3" t="str">
        <f ca="1">IFERROR(__xludf.DUMMYFUNCTION("""COMPUTED_VALUE"""),"WR")</f>
        <v>WR</v>
      </c>
    </row>
    <row r="172" spans="1:4" ht="13" x14ac:dyDescent="0.15">
      <c r="A172" s="16"/>
      <c r="B172" s="3">
        <f ca="1">IFERROR(__xludf.DUMMYFUNCTION("""COMPUTED_VALUE"""),308)</f>
        <v>308</v>
      </c>
      <c r="C172" s="3" t="str">
        <f ca="1">IFERROR(__xludf.DUMMYFUNCTION("""COMPUTED_VALUE"""),"Mike Wallace")</f>
        <v>Mike Wallace</v>
      </c>
      <c r="D172" s="3" t="str">
        <f ca="1">IFERROR(__xludf.DUMMYFUNCTION("""COMPUTED_VALUE"""),"WR")</f>
        <v>WR</v>
      </c>
    </row>
    <row r="173" spans="1:4" ht="13" x14ac:dyDescent="0.15">
      <c r="A173" s="16"/>
      <c r="B173" s="3">
        <f ca="1">IFERROR(__xludf.DUMMYFUNCTION("""COMPUTED_VALUE"""),312)</f>
        <v>312</v>
      </c>
      <c r="C173" s="3" t="str">
        <f ca="1">IFERROR(__xludf.DUMMYFUNCTION("""COMPUTED_VALUE"""),"Kamar Aiken")</f>
        <v>Kamar Aiken</v>
      </c>
      <c r="D173" s="3" t="str">
        <f ca="1">IFERROR(__xludf.DUMMYFUNCTION("""COMPUTED_VALUE"""),"WR")</f>
        <v>WR</v>
      </c>
    </row>
    <row r="174" spans="1:4" ht="13" x14ac:dyDescent="0.15">
      <c r="A174" s="16"/>
      <c r="B174" s="3">
        <f ca="1">IFERROR(__xludf.DUMMYFUNCTION("""COMPUTED_VALUE"""),314)</f>
        <v>314</v>
      </c>
      <c r="C174" s="3" t="str">
        <f ca="1">IFERROR(__xludf.DUMMYFUNCTION("""COMPUTED_VALUE"""),"Maxx Williams")</f>
        <v>Maxx Williams</v>
      </c>
      <c r="D174" s="3" t="str">
        <f ca="1">IFERROR(__xludf.DUMMYFUNCTION("""COMPUTED_VALUE"""),"WR")</f>
        <v>WR</v>
      </c>
    </row>
    <row r="175" spans="1:4" ht="13" x14ac:dyDescent="0.15">
      <c r="A175" s="16"/>
      <c r="B175" s="3">
        <f ca="1">IFERROR(__xludf.DUMMYFUNCTION("""COMPUTED_VALUE"""),315)</f>
        <v>315</v>
      </c>
      <c r="C175" s="3" t="str">
        <f ca="1">IFERROR(__xludf.DUMMYFUNCTION("""COMPUTED_VALUE"""),"Daniel Brown")</f>
        <v>Daniel Brown</v>
      </c>
      <c r="D175" s="3" t="str">
        <f ca="1">IFERROR(__xludf.DUMMYFUNCTION("""COMPUTED_VALUE"""),"WR")</f>
        <v>WR</v>
      </c>
    </row>
    <row r="176" spans="1:4" ht="13" x14ac:dyDescent="0.15">
      <c r="A176" s="16"/>
      <c r="B176" s="3">
        <f ca="1">IFERROR(__xludf.DUMMYFUNCTION("""COMPUTED_VALUE"""),316)</f>
        <v>316</v>
      </c>
      <c r="C176" s="3" t="str">
        <f ca="1">IFERROR(__xludf.DUMMYFUNCTION("""COMPUTED_VALUE"""),"Brenton Bersin")</f>
        <v>Brenton Bersin</v>
      </c>
      <c r="D176" s="3" t="str">
        <f ca="1">IFERROR(__xludf.DUMMYFUNCTION("""COMPUTED_VALUE"""),"WR")</f>
        <v>WR</v>
      </c>
    </row>
    <row r="177" spans="1:4" ht="13" x14ac:dyDescent="0.15">
      <c r="A177" s="16"/>
      <c r="B177" s="3">
        <f ca="1">IFERROR(__xludf.DUMMYFUNCTION("""COMPUTED_VALUE"""),319)</f>
        <v>319</v>
      </c>
      <c r="C177" s="3" t="str">
        <f ca="1">IFERROR(__xludf.DUMMYFUNCTION("""COMPUTED_VALUE"""),"Josh Malone")</f>
        <v>Josh Malone</v>
      </c>
      <c r="D177" s="3" t="str">
        <f ca="1">IFERROR(__xludf.DUMMYFUNCTION("""COMPUTED_VALUE"""),"WR")</f>
        <v>WR</v>
      </c>
    </row>
    <row r="178" spans="1:4" ht="13" x14ac:dyDescent="0.15">
      <c r="A178" s="16"/>
      <c r="B178" s="3">
        <f ca="1">IFERROR(__xludf.DUMMYFUNCTION("""COMPUTED_VALUE"""),330)</f>
        <v>330</v>
      </c>
      <c r="C178" s="3" t="str">
        <f ca="1">IFERROR(__xludf.DUMMYFUNCTION("""COMPUTED_VALUE"""),"Travis Rudolph")</f>
        <v>Travis Rudolph</v>
      </c>
      <c r="D178" s="3" t="str">
        <f ca="1">IFERROR(__xludf.DUMMYFUNCTION("""COMPUTED_VALUE"""),"WR")</f>
        <v>WR</v>
      </c>
    </row>
    <row r="179" spans="1:4" ht="13" x14ac:dyDescent="0.15">
      <c r="A179" s="16"/>
      <c r="B179" s="3">
        <f ca="1">IFERROR(__xludf.DUMMYFUNCTION("""COMPUTED_VALUE"""),332)</f>
        <v>332</v>
      </c>
      <c r="C179" s="3" t="str">
        <f ca="1">IFERROR(__xludf.DUMMYFUNCTION("""COMPUTED_VALUE"""),"Maurice Harris")</f>
        <v>Maurice Harris</v>
      </c>
      <c r="D179" s="3" t="str">
        <f ca="1">IFERROR(__xludf.DUMMYFUNCTION("""COMPUTED_VALUE"""),"WR")</f>
        <v>WR</v>
      </c>
    </row>
    <row r="180" spans="1:4" ht="13" x14ac:dyDescent="0.15">
      <c r="A180" s="16"/>
      <c r="B180" s="3">
        <f ca="1">IFERROR(__xludf.DUMMYFUNCTION("""COMPUTED_VALUE"""),333)</f>
        <v>333</v>
      </c>
      <c r="C180" s="3" t="str">
        <f ca="1">IFERROR(__xludf.DUMMYFUNCTION("""COMPUTED_VALUE"""),"Marvin Hall")</f>
        <v>Marvin Hall</v>
      </c>
      <c r="D180" s="3" t="str">
        <f ca="1">IFERROR(__xludf.DUMMYFUNCTION("""COMPUTED_VALUE"""),"WR")</f>
        <v>WR</v>
      </c>
    </row>
    <row r="181" spans="1:4" ht="13" x14ac:dyDescent="0.15">
      <c r="A181" s="16"/>
      <c r="B181" s="3">
        <f ca="1">IFERROR(__xludf.DUMMYFUNCTION("""COMPUTED_VALUE"""),338)</f>
        <v>338</v>
      </c>
      <c r="C181" s="3" t="str">
        <f ca="1">IFERROR(__xludf.DUMMYFUNCTION("""COMPUTED_VALUE"""),"Pierre Garcon")</f>
        <v>Pierre Garcon</v>
      </c>
      <c r="D181" s="3" t="str">
        <f ca="1">IFERROR(__xludf.DUMMYFUNCTION("""COMPUTED_VALUE"""),"WR")</f>
        <v>WR</v>
      </c>
    </row>
    <row r="182" spans="1:4" ht="13" x14ac:dyDescent="0.15">
      <c r="A182" s="16"/>
      <c r="B182" s="3">
        <f ca="1">IFERROR(__xludf.DUMMYFUNCTION("""COMPUTED_VALUE"""),341)</f>
        <v>341</v>
      </c>
      <c r="C182" s="3" t="str">
        <f ca="1">IFERROR(__xludf.DUMMYFUNCTION("""COMPUTED_VALUE"""),"Rishard Matthews")</f>
        <v>Rishard Matthews</v>
      </c>
      <c r="D182" s="3" t="str">
        <f ca="1">IFERROR(__xludf.DUMMYFUNCTION("""COMPUTED_VALUE"""),"WR")</f>
        <v>WR</v>
      </c>
    </row>
    <row r="183" spans="1:4" ht="13" x14ac:dyDescent="0.15">
      <c r="A183" s="16"/>
      <c r="B183" s="3">
        <f ca="1">IFERROR(__xludf.DUMMYFUNCTION("""COMPUTED_VALUE"""),347)</f>
        <v>347</v>
      </c>
      <c r="C183" s="3" t="str">
        <f ca="1">IFERROR(__xludf.DUMMYFUNCTION("""COMPUTED_VALUE"""),"ArDarius Stewart")</f>
        <v>ArDarius Stewart</v>
      </c>
      <c r="D183" s="3" t="str">
        <f ca="1">IFERROR(__xludf.DUMMYFUNCTION("""COMPUTED_VALUE"""),"WR")</f>
        <v>WR</v>
      </c>
    </row>
    <row r="184" spans="1:4" ht="13" x14ac:dyDescent="0.15">
      <c r="A184" s="16"/>
      <c r="B184" s="3">
        <f ca="1">IFERROR(__xludf.DUMMYFUNCTION("""COMPUTED_VALUE"""),356)</f>
        <v>356</v>
      </c>
      <c r="C184" s="3" t="str">
        <f ca="1">IFERROR(__xludf.DUMMYFUNCTION("""COMPUTED_VALUE"""),"Ryan Grant")</f>
        <v>Ryan Grant</v>
      </c>
      <c r="D184" s="3" t="str">
        <f ca="1">IFERROR(__xludf.DUMMYFUNCTION("""COMPUTED_VALUE"""),"WR")</f>
        <v>WR</v>
      </c>
    </row>
    <row r="185" spans="1:4" ht="13" x14ac:dyDescent="0.15">
      <c r="A185" s="16"/>
      <c r="B185" s="3">
        <f ca="1">IFERROR(__xludf.DUMMYFUNCTION("""COMPUTED_VALUE"""),359)</f>
        <v>359</v>
      </c>
      <c r="C185" s="3" t="str">
        <f ca="1">IFERROR(__xludf.DUMMYFUNCTION("""COMPUTED_VALUE"""),"Niles Paul")</f>
        <v>Niles Paul</v>
      </c>
      <c r="D185" s="3" t="str">
        <f ca="1">IFERROR(__xludf.DUMMYFUNCTION("""COMPUTED_VALUE"""),"WR")</f>
        <v>WR</v>
      </c>
    </row>
    <row r="186" spans="1:4" ht="13" x14ac:dyDescent="0.15">
      <c r="A186" s="16"/>
      <c r="B186" s="3">
        <f ca="1">IFERROR(__xludf.DUMMYFUNCTION("""COMPUTED_VALUE"""),363)</f>
        <v>363</v>
      </c>
      <c r="C186" s="3" t="str">
        <f ca="1">IFERROR(__xludf.DUMMYFUNCTION("""COMPUTED_VALUE"""),"Freddie Martino")</f>
        <v>Freddie Martino</v>
      </c>
      <c r="D186" s="3" t="str">
        <f ca="1">IFERROR(__xludf.DUMMYFUNCTION("""COMPUTED_VALUE"""),"WR")</f>
        <v>WR</v>
      </c>
    </row>
    <row r="187" spans="1:4" ht="13" x14ac:dyDescent="0.15">
      <c r="A187" s="16"/>
      <c r="B187" s="3">
        <f ca="1">IFERROR(__xludf.DUMMYFUNCTION("""COMPUTED_VALUE"""),374)</f>
        <v>374</v>
      </c>
      <c r="C187" s="3" t="str">
        <f ca="1">IFERROR(__xludf.DUMMYFUNCTION("""COMPUTED_VALUE"""),"Kaelin Clay")</f>
        <v>Kaelin Clay</v>
      </c>
      <c r="D187" s="3" t="str">
        <f ca="1">IFERROR(__xludf.DUMMYFUNCTION("""COMPUTED_VALUE"""),"WR")</f>
        <v>WR</v>
      </c>
    </row>
    <row r="188" spans="1:4" ht="13" x14ac:dyDescent="0.15">
      <c r="A188" s="16"/>
      <c r="B188" s="3">
        <f ca="1">IFERROR(__xludf.DUMMYFUNCTION("""COMPUTED_VALUE"""),375)</f>
        <v>375</v>
      </c>
      <c r="C188" s="3" t="str">
        <f ca="1">IFERROR(__xludf.DUMMYFUNCTION("""COMPUTED_VALUE"""),"Chad Hansen")</f>
        <v>Chad Hansen</v>
      </c>
      <c r="D188" s="3" t="str">
        <f ca="1">IFERROR(__xludf.DUMMYFUNCTION("""COMPUTED_VALUE"""),"WR")</f>
        <v>WR</v>
      </c>
    </row>
    <row r="189" spans="1:4" ht="13" x14ac:dyDescent="0.15">
      <c r="A189" s="16"/>
      <c r="B189" s="3">
        <f ca="1">IFERROR(__xludf.DUMMYFUNCTION("""COMPUTED_VALUE"""),376)</f>
        <v>376</v>
      </c>
      <c r="C189" s="3" t="str">
        <f ca="1">IFERROR(__xludf.DUMMYFUNCTION("""COMPUTED_VALUE"""),"Jerell Adams")</f>
        <v>Jerell Adams</v>
      </c>
      <c r="D189" s="3" t="str">
        <f ca="1">IFERROR(__xludf.DUMMYFUNCTION("""COMPUTED_VALUE"""),"WR")</f>
        <v>WR</v>
      </c>
    </row>
    <row r="190" spans="1:4" ht="13" x14ac:dyDescent="0.15">
      <c r="A190" s="16"/>
      <c r="B190" s="3">
        <f ca="1">IFERROR(__xludf.DUMMYFUNCTION("""COMPUTED_VALUE"""),377)</f>
        <v>377</v>
      </c>
      <c r="C190" s="3" t="str">
        <f ca="1">IFERROR(__xludf.DUMMYFUNCTION("""COMPUTED_VALUE"""),"Mike Thomas")</f>
        <v>Mike Thomas</v>
      </c>
      <c r="D190" s="3" t="str">
        <f ca="1">IFERROR(__xludf.DUMMYFUNCTION("""COMPUTED_VALUE"""),"WR")</f>
        <v>WR</v>
      </c>
    </row>
    <row r="191" spans="1:4" ht="13" x14ac:dyDescent="0.15">
      <c r="A191" s="16"/>
      <c r="B191" s="3">
        <f ca="1">IFERROR(__xludf.DUMMYFUNCTION("""COMPUTED_VALUE"""),378)</f>
        <v>378</v>
      </c>
      <c r="C191" s="3" t="str">
        <f ca="1">IFERROR(__xludf.DUMMYFUNCTION("""COMPUTED_VALUE"""),"Xavier Grimble")</f>
        <v>Xavier Grimble</v>
      </c>
      <c r="D191" s="3" t="str">
        <f ca="1">IFERROR(__xludf.DUMMYFUNCTION("""COMPUTED_VALUE"""),"WR")</f>
        <v>WR</v>
      </c>
    </row>
    <row r="192" spans="1:4" ht="13" x14ac:dyDescent="0.15">
      <c r="A192" s="16"/>
      <c r="B192" s="3">
        <f ca="1">IFERROR(__xludf.DUMMYFUNCTION("""COMPUTED_VALUE"""),381)</f>
        <v>381</v>
      </c>
      <c r="C192" s="3" t="str">
        <f ca="1">IFERROR(__xludf.DUMMYFUNCTION("""COMPUTED_VALUE"""),"Jesus Wilson")</f>
        <v>Jesus Wilson</v>
      </c>
      <c r="D192" s="3" t="str">
        <f ca="1">IFERROR(__xludf.DUMMYFUNCTION("""COMPUTED_VALUE"""),"WR")</f>
        <v>WR</v>
      </c>
    </row>
    <row r="193" spans="1:4" ht="13" x14ac:dyDescent="0.15">
      <c r="A193" s="16"/>
      <c r="B193" s="3">
        <f ca="1">IFERROR(__xludf.DUMMYFUNCTION("""COMPUTED_VALUE"""),385)</f>
        <v>385</v>
      </c>
      <c r="C193" s="3" t="str">
        <f ca="1">IFERROR(__xludf.DUMMYFUNCTION("""COMPUTED_VALUE"""),"Tarik Cohen")</f>
        <v>Tarik Cohen</v>
      </c>
      <c r="D193" s="3" t="str">
        <f ca="1">IFERROR(__xludf.DUMMYFUNCTION("""COMPUTED_VALUE"""),"WR")</f>
        <v>WR</v>
      </c>
    </row>
    <row r="194" spans="1:4" ht="13" x14ac:dyDescent="0.15">
      <c r="A194" s="16"/>
      <c r="B194" s="3">
        <f ca="1">IFERROR(__xludf.DUMMYFUNCTION("""COMPUTED_VALUE"""),386)</f>
        <v>386</v>
      </c>
      <c r="C194" s="3" t="str">
        <f ca="1">IFERROR(__xludf.DUMMYFUNCTION("""COMPUTED_VALUE"""),"Tavarres King")</f>
        <v>Tavarres King</v>
      </c>
      <c r="D194" s="3" t="str">
        <f ca="1">IFERROR(__xludf.DUMMYFUNCTION("""COMPUTED_VALUE"""),"WR")</f>
        <v>WR</v>
      </c>
    </row>
    <row r="195" spans="1:4" ht="13" x14ac:dyDescent="0.15">
      <c r="A195" s="16"/>
      <c r="B195" s="3">
        <f ca="1">IFERROR(__xludf.DUMMYFUNCTION("""COMPUTED_VALUE"""),388)</f>
        <v>388</v>
      </c>
      <c r="C195" s="3" t="str">
        <f ca="1">IFERROR(__xludf.DUMMYFUNCTION("""COMPUTED_VALUE"""),"Michael Floyd")</f>
        <v>Michael Floyd</v>
      </c>
      <c r="D195" s="3" t="str">
        <f ca="1">IFERROR(__xludf.DUMMYFUNCTION("""COMPUTED_VALUE"""),"WR")</f>
        <v>WR</v>
      </c>
    </row>
    <row r="196" spans="1:4" ht="13" x14ac:dyDescent="0.15">
      <c r="A196" s="16"/>
      <c r="B196" s="3">
        <f ca="1">IFERROR(__xludf.DUMMYFUNCTION("""COMPUTED_VALUE"""),389)</f>
        <v>389</v>
      </c>
      <c r="C196" s="3" t="str">
        <f ca="1">IFERROR(__xludf.DUMMYFUNCTION("""COMPUTED_VALUE"""),"Breshad Perriman")</f>
        <v>Breshad Perriman</v>
      </c>
      <c r="D196" s="3" t="str">
        <f ca="1">IFERROR(__xludf.DUMMYFUNCTION("""COMPUTED_VALUE"""),"WR")</f>
        <v>WR</v>
      </c>
    </row>
    <row r="197" spans="1:4" ht="13" x14ac:dyDescent="0.15">
      <c r="A197" s="16"/>
      <c r="B197" s="3">
        <f ca="1">IFERROR(__xludf.DUMMYFUNCTION("""COMPUTED_VALUE"""),390)</f>
        <v>390</v>
      </c>
      <c r="C197" s="3" t="str">
        <f ca="1">IFERROR(__xludf.DUMMYFUNCTION("""COMPUTED_VALUE"""),"Kasen Williams")</f>
        <v>Kasen Williams</v>
      </c>
      <c r="D197" s="3" t="str">
        <f ca="1">IFERROR(__xludf.DUMMYFUNCTION("""COMPUTED_VALUE"""),"WR")</f>
        <v>WR</v>
      </c>
    </row>
    <row r="198" spans="1:4" ht="13" x14ac:dyDescent="0.15">
      <c r="A198" s="16"/>
      <c r="B198" s="3">
        <f ca="1">IFERROR(__xludf.DUMMYFUNCTION("""COMPUTED_VALUE"""),394)</f>
        <v>394</v>
      </c>
      <c r="C198" s="3" t="str">
        <f ca="1">IFERROR(__xludf.DUMMYFUNCTION("""COMPUTED_VALUE"""),"Neal Sterling")</f>
        <v>Neal Sterling</v>
      </c>
      <c r="D198" s="3" t="str">
        <f ca="1">IFERROR(__xludf.DUMMYFUNCTION("""COMPUTED_VALUE"""),"WR")</f>
        <v>WR</v>
      </c>
    </row>
    <row r="199" spans="1:4" ht="13" x14ac:dyDescent="0.15">
      <c r="A199" s="16"/>
      <c r="B199" s="3">
        <f ca="1">IFERROR(__xludf.DUMMYFUNCTION("""COMPUTED_VALUE"""),395)</f>
        <v>395</v>
      </c>
      <c r="C199" s="3" t="str">
        <f ca="1">IFERROR(__xludf.DUMMYFUNCTION("""COMPUTED_VALUE"""),"Brian Quick")</f>
        <v>Brian Quick</v>
      </c>
      <c r="D199" s="3" t="str">
        <f ca="1">IFERROR(__xludf.DUMMYFUNCTION("""COMPUTED_VALUE"""),"WR")</f>
        <v>WR</v>
      </c>
    </row>
    <row r="200" spans="1:4" ht="13" x14ac:dyDescent="0.15">
      <c r="A200" s="16"/>
      <c r="B200" s="3">
        <f ca="1">IFERROR(__xludf.DUMMYFUNCTION("""COMPUTED_VALUE"""),396)</f>
        <v>396</v>
      </c>
      <c r="C200" s="3" t="str">
        <f ca="1">IFERROR(__xludf.DUMMYFUNCTION("""COMPUTED_VALUE"""),"Chris Thompson")</f>
        <v>Chris Thompson</v>
      </c>
      <c r="D200" s="3" t="str">
        <f ca="1">IFERROR(__xludf.DUMMYFUNCTION("""COMPUTED_VALUE"""),"WR")</f>
        <v>WR</v>
      </c>
    </row>
    <row r="201" spans="1:4" ht="13" x14ac:dyDescent="0.15">
      <c r="A201" s="16"/>
      <c r="B201" s="3">
        <f ca="1">IFERROR(__xludf.DUMMYFUNCTION("""COMPUTED_VALUE"""),397)</f>
        <v>397</v>
      </c>
      <c r="C201" s="3" t="str">
        <f ca="1">IFERROR(__xludf.DUMMYFUNCTION("""COMPUTED_VALUE"""),"Trevor Davis")</f>
        <v>Trevor Davis</v>
      </c>
      <c r="D201" s="3" t="str">
        <f ca="1">IFERROR(__xludf.DUMMYFUNCTION("""COMPUTED_VALUE"""),"WR")</f>
        <v>WR</v>
      </c>
    </row>
    <row r="202" spans="1:4" ht="13" x14ac:dyDescent="0.15">
      <c r="A202" s="16"/>
      <c r="B202" s="3">
        <f ca="1">IFERROR(__xludf.DUMMYFUNCTION("""COMPUTED_VALUE"""),398)</f>
        <v>398</v>
      </c>
      <c r="C202" s="3" t="str">
        <f ca="1">IFERROR(__xludf.DUMMYFUNCTION("""COMPUTED_VALUE"""),"Justin Hunter")</f>
        <v>Justin Hunter</v>
      </c>
      <c r="D202" s="3" t="str">
        <f ca="1">IFERROR(__xludf.DUMMYFUNCTION("""COMPUTED_VALUE"""),"WR")</f>
        <v>WR</v>
      </c>
    </row>
    <row r="203" spans="1:4" ht="13" x14ac:dyDescent="0.15">
      <c r="A203" s="16"/>
      <c r="B203" s="3">
        <f ca="1">IFERROR(__xludf.DUMMYFUNCTION("""COMPUTED_VALUE"""),406)</f>
        <v>406</v>
      </c>
      <c r="C203" s="3" t="str">
        <f ca="1">IFERROR(__xludf.DUMMYFUNCTION("""COMPUTED_VALUE"""),"Pharoh Cooper")</f>
        <v>Pharoh Cooper</v>
      </c>
      <c r="D203" s="3" t="str">
        <f ca="1">IFERROR(__xludf.DUMMYFUNCTION("""COMPUTED_VALUE"""),"WR")</f>
        <v>WR</v>
      </c>
    </row>
    <row r="204" spans="1:4" ht="13" x14ac:dyDescent="0.15">
      <c r="A204" s="16"/>
      <c r="B204" s="3">
        <f ca="1">IFERROR(__xludf.DUMMYFUNCTION("""COMPUTED_VALUE"""),407)</f>
        <v>407</v>
      </c>
      <c r="C204" s="3" t="str">
        <f ca="1">IFERROR(__xludf.DUMMYFUNCTION("""COMPUTED_VALUE"""),"Tanner McEvoy")</f>
        <v>Tanner McEvoy</v>
      </c>
      <c r="D204" s="3" t="str">
        <f ca="1">IFERROR(__xludf.DUMMYFUNCTION("""COMPUTED_VALUE"""),"WR")</f>
        <v>WR</v>
      </c>
    </row>
    <row r="205" spans="1:4" ht="13" x14ac:dyDescent="0.15">
      <c r="A205" s="16"/>
      <c r="B205" s="3">
        <f ca="1">IFERROR(__xludf.DUMMYFUNCTION("""COMPUTED_VALUE"""),409)</f>
        <v>409</v>
      </c>
      <c r="C205" s="3" t="str">
        <f ca="1">IFERROR(__xludf.DUMMYFUNCTION("""COMPUTED_VALUE"""),"Derek Carrier")</f>
        <v>Derek Carrier</v>
      </c>
      <c r="D205" s="3" t="str">
        <f ca="1">IFERROR(__xludf.DUMMYFUNCTION("""COMPUTED_VALUE"""),"WR")</f>
        <v>WR</v>
      </c>
    </row>
    <row r="206" spans="1:4" ht="13" x14ac:dyDescent="0.15">
      <c r="A206" s="16"/>
      <c r="B206" s="3">
        <f ca="1">IFERROR(__xludf.DUMMYFUNCTION("""COMPUTED_VALUE"""),410)</f>
        <v>410</v>
      </c>
      <c r="C206" s="3" t="str">
        <f ca="1">IFERROR(__xludf.DUMMYFUNCTION("""COMPUTED_VALUE"""),"Amara Darboh")</f>
        <v>Amara Darboh</v>
      </c>
      <c r="D206" s="3" t="str">
        <f ca="1">IFERROR(__xludf.DUMMYFUNCTION("""COMPUTED_VALUE"""),"WR")</f>
        <v>WR</v>
      </c>
    </row>
    <row r="207" spans="1:4" ht="13" x14ac:dyDescent="0.15">
      <c r="A207" s="16"/>
      <c r="B207" s="3">
        <f ca="1">IFERROR(__xludf.DUMMYFUNCTION("""COMPUTED_VALUE"""),411)</f>
        <v>411</v>
      </c>
      <c r="C207" s="3" t="str">
        <f ca="1">IFERROR(__xludf.DUMMYFUNCTION("""COMPUTED_VALUE"""),"Travis Benjamin")</f>
        <v>Travis Benjamin</v>
      </c>
      <c r="D207" s="3" t="str">
        <f ca="1">IFERROR(__xludf.DUMMYFUNCTION("""COMPUTED_VALUE"""),"WR")</f>
        <v>WR</v>
      </c>
    </row>
    <row r="208" spans="1:4" ht="13" x14ac:dyDescent="0.15">
      <c r="A208" s="16"/>
      <c r="B208" s="3">
        <f ca="1">IFERROR(__xludf.DUMMYFUNCTION("""COMPUTED_VALUE"""),412)</f>
        <v>412</v>
      </c>
      <c r="C208" s="3" t="str">
        <f ca="1">IFERROR(__xludf.DUMMYFUNCTION("""COMPUTED_VALUE"""),"Leonte Carroo")</f>
        <v>Leonte Carroo</v>
      </c>
      <c r="D208" s="3" t="str">
        <f ca="1">IFERROR(__xludf.DUMMYFUNCTION("""COMPUTED_VALUE"""),"WR")</f>
        <v>WR</v>
      </c>
    </row>
    <row r="209" spans="1:4" ht="13" x14ac:dyDescent="0.15">
      <c r="A209" s="16"/>
      <c r="B209" s="3">
        <f ca="1">IFERROR(__xludf.DUMMYFUNCTION("""COMPUTED_VALUE"""),413)</f>
        <v>413</v>
      </c>
      <c r="C209" s="3" t="str">
        <f ca="1">IFERROR(__xludf.DUMMYFUNCTION("""COMPUTED_VALUE"""),"Sammie Coates")</f>
        <v>Sammie Coates</v>
      </c>
      <c r="D209" s="3" t="str">
        <f ca="1">IFERROR(__xludf.DUMMYFUNCTION("""COMPUTED_VALUE"""),"WR")</f>
        <v>WR</v>
      </c>
    </row>
    <row r="210" spans="1:4" ht="13" x14ac:dyDescent="0.15">
      <c r="A210" s="16"/>
      <c r="B210" s="3">
        <f ca="1">IFERROR(__xludf.DUMMYFUNCTION("""COMPUTED_VALUE"""),415)</f>
        <v>415</v>
      </c>
      <c r="C210" s="3" t="str">
        <f ca="1">IFERROR(__xludf.DUMMYFUNCTION("""COMPUTED_VALUE"""),"Bryce Treggs")</f>
        <v>Bryce Treggs</v>
      </c>
      <c r="D210" s="3" t="str">
        <f ca="1">IFERROR(__xludf.DUMMYFUNCTION("""COMPUTED_VALUE"""),"WR")</f>
        <v>WR</v>
      </c>
    </row>
    <row r="211" spans="1:4" ht="13" x14ac:dyDescent="0.15">
      <c r="A211" s="16"/>
      <c r="B211" s="3">
        <f ca="1">IFERROR(__xludf.DUMMYFUNCTION("""COMPUTED_VALUE"""),416)</f>
        <v>416</v>
      </c>
      <c r="C211" s="3" t="str">
        <f ca="1">IFERROR(__xludf.DUMMYFUNCTION("""COMPUTED_VALUE"""),"Brittan Golden")</f>
        <v>Brittan Golden</v>
      </c>
      <c r="D211" s="3" t="str">
        <f ca="1">IFERROR(__xludf.DUMMYFUNCTION("""COMPUTED_VALUE"""),"WR")</f>
        <v>WR</v>
      </c>
    </row>
    <row r="212" spans="1:4" ht="13" x14ac:dyDescent="0.15">
      <c r="A212" s="16"/>
      <c r="B212" s="3">
        <f ca="1">IFERROR(__xludf.DUMMYFUNCTION("""COMPUTED_VALUE"""),418)</f>
        <v>418</v>
      </c>
      <c r="C212" s="3" t="str">
        <f ca="1">IFERROR(__xludf.DUMMYFUNCTION("""COMPUTED_VALUE"""),"Jeremy Sprinkle")</f>
        <v>Jeremy Sprinkle</v>
      </c>
      <c r="D212" s="3" t="str">
        <f ca="1">IFERROR(__xludf.DUMMYFUNCTION("""COMPUTED_VALUE"""),"WR")</f>
        <v>WR</v>
      </c>
    </row>
    <row r="213" spans="1:4" ht="13" x14ac:dyDescent="0.15">
      <c r="A213" s="16"/>
      <c r="B213" s="3">
        <f ca="1">IFERROR(__xludf.DUMMYFUNCTION("""COMPUTED_VALUE"""),428)</f>
        <v>428</v>
      </c>
      <c r="C213" s="3" t="str">
        <f ca="1">IFERROR(__xludf.DUMMYFUNCTION("""COMPUTED_VALUE"""),"Chad Williams")</f>
        <v>Chad Williams</v>
      </c>
      <c r="D213" s="3" t="str">
        <f ca="1">IFERROR(__xludf.DUMMYFUNCTION("""COMPUTED_VALUE"""),"WR")</f>
        <v>WR</v>
      </c>
    </row>
    <row r="214" spans="1:4" ht="13" x14ac:dyDescent="0.15">
      <c r="A214" s="16"/>
      <c r="B214" s="3">
        <f ca="1">IFERROR(__xludf.DUMMYFUNCTION("""COMPUTED_VALUE"""),432)</f>
        <v>432</v>
      </c>
      <c r="C214" s="3" t="str">
        <f ca="1">IFERROR(__xludf.DUMMYFUNCTION("""COMPUTED_VALUE"""),"Vince Mayle")</f>
        <v>Vince Mayle</v>
      </c>
      <c r="D214" s="3" t="str">
        <f ca="1">IFERROR(__xludf.DUMMYFUNCTION("""COMPUTED_VALUE"""),"WR")</f>
        <v>WR</v>
      </c>
    </row>
    <row r="215" spans="1:4" ht="13" x14ac:dyDescent="0.15">
      <c r="A215" s="16"/>
      <c r="B215" s="3">
        <f ca="1">IFERROR(__xludf.DUMMYFUNCTION("""COMPUTED_VALUE"""),444)</f>
        <v>444</v>
      </c>
      <c r="C215" s="3" t="str">
        <f ca="1">IFERROR(__xludf.DUMMYFUNCTION("""COMPUTED_VALUE"""),"Markus Wheaton")</f>
        <v>Markus Wheaton</v>
      </c>
      <c r="D215" s="3" t="str">
        <f ca="1">IFERROR(__xludf.DUMMYFUNCTION("""COMPUTED_VALUE"""),"WR")</f>
        <v>WR</v>
      </c>
    </row>
    <row r="216" spans="1:4" ht="13" x14ac:dyDescent="0.15">
      <c r="A216" s="16"/>
      <c r="B216" s="3">
        <f ca="1">IFERROR(__xludf.DUMMYFUNCTION("""COMPUTED_VALUE"""),453)</f>
        <v>453</v>
      </c>
      <c r="C216" s="3" t="str">
        <f ca="1">IFERROR(__xludf.DUMMYFUNCTION("""COMPUTED_VALUE"""),"Michael Clark")</f>
        <v>Michael Clark</v>
      </c>
      <c r="D216" s="3" t="str">
        <f ca="1">IFERROR(__xludf.DUMMYFUNCTION("""COMPUTED_VALUE"""),"WR")</f>
        <v>WR</v>
      </c>
    </row>
    <row r="217" spans="1:4" ht="13" x14ac:dyDescent="0.15">
      <c r="A217" s="16"/>
      <c r="B217" s="3">
        <f ca="1">IFERROR(__xludf.DUMMYFUNCTION("""COMPUTED_VALUE"""),455)</f>
        <v>455</v>
      </c>
      <c r="C217" s="3" t="str">
        <f ca="1">IFERROR(__xludf.DUMMYFUNCTION("""COMPUTED_VALUE"""),"Jared Abbrederis")</f>
        <v>Jared Abbrederis</v>
      </c>
      <c r="D217" s="3" t="str">
        <f ca="1">IFERROR(__xludf.DUMMYFUNCTION("""COMPUTED_VALUE"""),"WR")</f>
        <v>WR</v>
      </c>
    </row>
    <row r="218" spans="1:4" ht="13" x14ac:dyDescent="0.15">
      <c r="A218" s="16"/>
      <c r="B218" s="3">
        <f ca="1">IFERROR(__xludf.DUMMYFUNCTION("""COMPUTED_VALUE"""),457)</f>
        <v>457</v>
      </c>
      <c r="C218" s="3" t="str">
        <f ca="1">IFERROR(__xludf.DUMMYFUNCTION("""COMPUTED_VALUE"""),"Quan Bray")</f>
        <v>Quan Bray</v>
      </c>
      <c r="D218" s="3" t="str">
        <f ca="1">IFERROR(__xludf.DUMMYFUNCTION("""COMPUTED_VALUE"""),"WR")</f>
        <v>WR</v>
      </c>
    </row>
    <row r="219" spans="1:4" ht="13" x14ac:dyDescent="0.15">
      <c r="A219" s="16"/>
      <c r="B219" s="3">
        <f ca="1">IFERROR(__xludf.DUMMYFUNCTION("""COMPUTED_VALUE"""),459)</f>
        <v>459</v>
      </c>
      <c r="C219" s="3" t="str">
        <f ca="1">IFERROR(__xludf.DUMMYFUNCTION("""COMPUTED_VALUE"""),"Tanner Gentry")</f>
        <v>Tanner Gentry</v>
      </c>
      <c r="D219" s="3" t="str">
        <f ca="1">IFERROR(__xludf.DUMMYFUNCTION("""COMPUTED_VALUE"""),"WR")</f>
        <v>WR</v>
      </c>
    </row>
    <row r="220" spans="1:4" ht="13" x14ac:dyDescent="0.15">
      <c r="A220" s="16"/>
      <c r="B220" s="3">
        <f ca="1">IFERROR(__xludf.DUMMYFUNCTION("""COMPUTED_VALUE"""),460)</f>
        <v>460</v>
      </c>
      <c r="C220" s="3" t="str">
        <f ca="1">IFERROR(__xludf.DUMMYFUNCTION("""COMPUTED_VALUE"""),"Bernard Reedy")</f>
        <v>Bernard Reedy</v>
      </c>
      <c r="D220" s="3" t="str">
        <f ca="1">IFERROR(__xludf.DUMMYFUNCTION("""COMPUTED_VALUE"""),"WR")</f>
        <v>WR</v>
      </c>
    </row>
    <row r="221" spans="1:4" ht="13" x14ac:dyDescent="0.15">
      <c r="A221" s="16"/>
      <c r="B221" s="3">
        <f ca="1">IFERROR(__xludf.DUMMYFUNCTION("""COMPUTED_VALUE"""),463)</f>
        <v>463</v>
      </c>
      <c r="C221" s="3" t="str">
        <f ca="1">IFERROR(__xludf.DUMMYFUNCTION("""COMPUTED_VALUE"""),"Ryan Switzer")</f>
        <v>Ryan Switzer</v>
      </c>
      <c r="D221" s="3" t="str">
        <f ca="1">IFERROR(__xludf.DUMMYFUNCTION("""COMPUTED_VALUE"""),"WR")</f>
        <v>WR</v>
      </c>
    </row>
    <row r="222" spans="1:4" ht="13" x14ac:dyDescent="0.15">
      <c r="A222" s="16"/>
      <c r="B222" s="3">
        <f ca="1">IFERROR(__xludf.DUMMYFUNCTION("""COMPUTED_VALUE"""),465)</f>
        <v>465</v>
      </c>
      <c r="C222" s="3" t="str">
        <f ca="1">IFERROR(__xludf.DUMMYFUNCTION("""COMPUTED_VALUE"""),"Marcus Johnson")</f>
        <v>Marcus Johnson</v>
      </c>
      <c r="D222" s="3" t="str">
        <f ca="1">IFERROR(__xludf.DUMMYFUNCTION("""COMPUTED_VALUE"""),"WR")</f>
        <v>WR</v>
      </c>
    </row>
    <row r="223" spans="1:4" ht="13" x14ac:dyDescent="0.15">
      <c r="A223" s="16"/>
      <c r="B223" s="3">
        <f ca="1">IFERROR(__xludf.DUMMYFUNCTION("""COMPUTED_VALUE"""),467)</f>
        <v>467</v>
      </c>
      <c r="C223" s="3" t="str">
        <f ca="1">IFERROR(__xludf.DUMMYFUNCTION("""COMPUTED_VALUE"""),"Noah Brown")</f>
        <v>Noah Brown</v>
      </c>
      <c r="D223" s="3" t="str">
        <f ca="1">IFERROR(__xludf.DUMMYFUNCTION("""COMPUTED_VALUE"""),"WR")</f>
        <v>WR</v>
      </c>
    </row>
    <row r="224" spans="1:4" ht="13" x14ac:dyDescent="0.15">
      <c r="A224" s="16"/>
      <c r="B224" s="3">
        <f ca="1">IFERROR(__xludf.DUMMYFUNCTION("""COMPUTED_VALUE"""),469)</f>
        <v>469</v>
      </c>
      <c r="C224" s="3" t="str">
        <f ca="1">IFERROR(__xludf.DUMMYFUNCTION("""COMPUTED_VALUE"""),"Nick Williams")</f>
        <v>Nick Williams</v>
      </c>
      <c r="D224" s="3" t="str">
        <f ca="1">IFERROR(__xludf.DUMMYFUNCTION("""COMPUTED_VALUE"""),"WR")</f>
        <v>WR</v>
      </c>
    </row>
    <row r="225" spans="1:4" ht="13" x14ac:dyDescent="0.15">
      <c r="A225" s="16"/>
      <c r="B225" s="3">
        <f ca="1">IFERROR(__xludf.DUMMYFUNCTION("""COMPUTED_VALUE"""),472)</f>
        <v>472</v>
      </c>
      <c r="C225" s="3" t="str">
        <f ca="1">IFERROR(__xludf.DUMMYFUNCTION("""COMPUTED_VALUE"""),"Chris Matthews")</f>
        <v>Chris Matthews</v>
      </c>
      <c r="D225" s="3" t="str">
        <f ca="1">IFERROR(__xludf.DUMMYFUNCTION("""COMPUTED_VALUE"""),"WR")</f>
        <v>WR</v>
      </c>
    </row>
    <row r="226" spans="1:4" ht="13" x14ac:dyDescent="0.15">
      <c r="A226" s="16"/>
      <c r="B226" s="3">
        <f ca="1">IFERROR(__xludf.DUMMYFUNCTION("""COMPUTED_VALUE"""),474)</f>
        <v>474</v>
      </c>
      <c r="C226" s="3" t="str">
        <f ca="1">IFERROR(__xludf.DUMMYFUNCTION("""COMPUTED_VALUE"""),"Jojo Natson")</f>
        <v>Jojo Natson</v>
      </c>
      <c r="D226" s="3" t="str">
        <f ca="1">IFERROR(__xludf.DUMMYFUNCTION("""COMPUTED_VALUE"""),"WR")</f>
        <v>WR</v>
      </c>
    </row>
    <row r="227" spans="1:4" ht="13" x14ac:dyDescent="0.15">
      <c r="A227" s="16"/>
      <c r="B227" s="3">
        <f ca="1">IFERROR(__xludf.DUMMYFUNCTION("""COMPUTED_VALUE"""),478)</f>
        <v>478</v>
      </c>
      <c r="C227" s="3" t="str">
        <f ca="1">IFERROR(__xludf.DUMMYFUNCTION("""COMPUTED_VALUE"""),"Antony Auclair")</f>
        <v>Antony Auclair</v>
      </c>
      <c r="D227" s="3" t="str">
        <f ca="1">IFERROR(__xludf.DUMMYFUNCTION("""COMPUTED_VALUE"""),"WR")</f>
        <v>WR</v>
      </c>
    </row>
    <row r="228" spans="1:4" ht="13" x14ac:dyDescent="0.15">
      <c r="A228" s="16"/>
      <c r="B228" s="3">
        <f ca="1">IFERROR(__xludf.DUMMYFUNCTION("""COMPUTED_VALUE"""),481)</f>
        <v>481</v>
      </c>
      <c r="C228" s="3" t="str">
        <f ca="1">IFERROR(__xludf.DUMMYFUNCTION("""COMPUTED_VALUE"""),"Jordan Leslie")</f>
        <v>Jordan Leslie</v>
      </c>
      <c r="D228" s="3" t="str">
        <f ca="1">IFERROR(__xludf.DUMMYFUNCTION("""COMPUTED_VALUE"""),"WR")</f>
        <v>WR</v>
      </c>
    </row>
    <row r="229" spans="1:4" ht="13" x14ac:dyDescent="0.15">
      <c r="A229" s="16"/>
      <c r="B229" s="3">
        <f ca="1">IFERROR(__xludf.DUMMYFUNCTION("""COMPUTED_VALUE"""),486)</f>
        <v>486</v>
      </c>
      <c r="C229" s="3" t="str">
        <f ca="1">IFERROR(__xludf.DUMMYFUNCTION("""COMPUTED_VALUE"""),"Griff Whalen")</f>
        <v>Griff Whalen</v>
      </c>
      <c r="D229" s="3" t="str">
        <f ca="1">IFERROR(__xludf.DUMMYFUNCTION("""COMPUTED_VALUE"""),"WR")</f>
        <v>WR</v>
      </c>
    </row>
    <row r="230" spans="1:4" ht="13" x14ac:dyDescent="0.15">
      <c r="A230" s="16"/>
      <c r="B230" s="3">
        <f ca="1">IFERROR(__xludf.DUMMYFUNCTION("""COMPUTED_VALUE"""),490)</f>
        <v>490</v>
      </c>
      <c r="C230" s="3" t="str">
        <f ca="1">IFERROR(__xludf.DUMMYFUNCTION("""COMPUTED_VALUE"""),"Jehu Chesson")</f>
        <v>Jehu Chesson</v>
      </c>
      <c r="D230" s="3" t="str">
        <f ca="1">IFERROR(__xludf.DUMMYFUNCTION("""COMPUTED_VALUE"""),"WR")</f>
        <v>WR</v>
      </c>
    </row>
    <row r="231" spans="1:4" ht="13" x14ac:dyDescent="0.15">
      <c r="A231" s="16"/>
      <c r="B231" s="3">
        <f ca="1">IFERROR(__xludf.DUMMYFUNCTION("""COMPUTED_VALUE"""),495)</f>
        <v>495</v>
      </c>
      <c r="C231" s="3" t="str">
        <f ca="1">IFERROR(__xludf.DUMMYFUNCTION("""COMPUTED_VALUE"""),"DeAndrew White")</f>
        <v>DeAndrew White</v>
      </c>
      <c r="D231" s="3" t="str">
        <f ca="1">IFERROR(__xludf.DUMMYFUNCTION("""COMPUTED_VALUE"""),"WR")</f>
        <v>WR</v>
      </c>
    </row>
    <row r="232" spans="1:4" ht="13" x14ac:dyDescent="0.15">
      <c r="A232" s="16"/>
      <c r="B232" s="3">
        <f ca="1">IFERROR(__xludf.DUMMYFUNCTION("""COMPUTED_VALUE"""),499)</f>
        <v>499</v>
      </c>
      <c r="C232" s="3" t="str">
        <f ca="1">IFERROR(__xludf.DUMMYFUNCTION("""COMPUTED_VALUE"""),"Darius Powe")</f>
        <v>Darius Powe</v>
      </c>
      <c r="D232" s="3" t="str">
        <f ca="1">IFERROR(__xludf.DUMMYFUNCTION("""COMPUTED_VALUE"""),"WR")</f>
        <v>WR</v>
      </c>
    </row>
    <row r="233" spans="1:4" ht="13" x14ac:dyDescent="0.15">
      <c r="A233" s="16"/>
      <c r="B233" s="3">
        <f ca="1">IFERROR(__xludf.DUMMYFUNCTION("""COMPUTED_VALUE"""),500)</f>
        <v>500</v>
      </c>
      <c r="C233" s="3" t="str">
        <f ca="1">IFERROR(__xludf.DUMMYFUNCTION("""COMPUTED_VALUE"""),"Jeff Janis")</f>
        <v>Jeff Janis</v>
      </c>
      <c r="D233" s="3" t="str">
        <f ca="1">IFERROR(__xludf.DUMMYFUNCTION("""COMPUTED_VALUE"""),"WR")</f>
        <v>WR</v>
      </c>
    </row>
    <row r="234" spans="1:4" ht="13" x14ac:dyDescent="0.15">
      <c r="A234" s="16"/>
      <c r="B234" s="3">
        <f ca="1">IFERROR(__xludf.DUMMYFUNCTION("""COMPUTED_VALUE"""),501)</f>
        <v>501</v>
      </c>
      <c r="C234" s="3" t="str">
        <f ca="1">IFERROR(__xludf.DUMMYFUNCTION("""COMPUTED_VALUE"""),"Shelton Gibson")</f>
        <v>Shelton Gibson</v>
      </c>
      <c r="D234" s="3" t="str">
        <f ca="1">IFERROR(__xludf.DUMMYFUNCTION("""COMPUTED_VALUE"""),"WR")</f>
        <v>WR</v>
      </c>
    </row>
    <row r="235" spans="1:4" ht="13" x14ac:dyDescent="0.15">
      <c r="A235" s="16"/>
      <c r="B235" s="3">
        <f ca="1">IFERROR(__xludf.DUMMYFUNCTION("""COMPUTED_VALUE"""),502)</f>
        <v>502</v>
      </c>
      <c r="C235" s="3" t="str">
        <f ca="1">IFERROR(__xludf.DUMMYFUNCTION("""COMPUTED_VALUE"""),"Kevin White")</f>
        <v>Kevin White</v>
      </c>
      <c r="D235" s="3" t="str">
        <f ca="1">IFERROR(__xludf.DUMMYFUNCTION("""COMPUTED_VALUE"""),"WR")</f>
        <v>WR</v>
      </c>
    </row>
    <row r="236" spans="1:4" ht="13" x14ac:dyDescent="0.15">
      <c r="A236" s="16"/>
      <c r="B236" s="3">
        <f ca="1">IFERROR(__xludf.DUMMYFUNCTION("""COMPUTED_VALUE"""),503)</f>
        <v>503</v>
      </c>
      <c r="C236" s="3" t="str">
        <f ca="1">IFERROR(__xludf.DUMMYFUNCTION("""COMPUTED_VALUE"""),"Arrelious Benn")</f>
        <v>Arrelious Benn</v>
      </c>
      <c r="D236" s="3" t="str">
        <f ca="1">IFERROR(__xludf.DUMMYFUNCTION("""COMPUTED_VALUE"""),"WR")</f>
        <v>WR</v>
      </c>
    </row>
    <row r="237" spans="1:4" ht="13" x14ac:dyDescent="0.15">
      <c r="A237" s="16"/>
      <c r="B237" s="3">
        <f ca="1">IFERROR(__xludf.DUMMYFUNCTION("""COMPUTED_VALUE"""),506)</f>
        <v>506</v>
      </c>
      <c r="C237" s="3" t="str">
        <f ca="1">IFERROR(__xludf.DUMMYFUNCTION("""COMPUTED_VALUE"""),"Harry Douglas")</f>
        <v>Harry Douglas</v>
      </c>
      <c r="D237" s="3" t="str">
        <f ca="1">IFERROR(__xludf.DUMMYFUNCTION("""COMPUTED_VALUE"""),"WR")</f>
        <v>WR</v>
      </c>
    </row>
    <row r="238" spans="1:4" ht="13" x14ac:dyDescent="0.15">
      <c r="A238" s="16"/>
      <c r="B238" s="3">
        <f ca="1">IFERROR(__xludf.DUMMYFUNCTION("""COMPUTED_VALUE"""),507)</f>
        <v>507</v>
      </c>
      <c r="C238" s="3" t="str">
        <f ca="1">IFERROR(__xludf.DUMMYFUNCTION("""COMPUTED_VALUE"""),"Cobi Hamilton")</f>
        <v>Cobi Hamilton</v>
      </c>
      <c r="D238" s="3" t="str">
        <f ca="1">IFERROR(__xludf.DUMMYFUNCTION("""COMPUTED_VALUE"""),"WR")</f>
        <v>WR</v>
      </c>
    </row>
    <row r="239" spans="1:4" ht="13" x14ac:dyDescent="0.15">
      <c r="A239" s="16"/>
      <c r="B239" s="3">
        <f ca="1">IFERROR(__xludf.DUMMYFUNCTION("""COMPUTED_VALUE"""),508)</f>
        <v>508</v>
      </c>
      <c r="C239" s="3" t="str">
        <f ca="1">IFERROR(__xludf.DUMMYFUNCTION("""COMPUTED_VALUE"""),"Larry Pinkard")</f>
        <v>Larry Pinkard</v>
      </c>
      <c r="D239" s="3" t="str">
        <f ca="1">IFERROR(__xludf.DUMMYFUNCTION("""COMPUTED_VALUE"""),"WR")</f>
        <v>WR</v>
      </c>
    </row>
    <row r="240" spans="1:4" ht="13" x14ac:dyDescent="0.15">
      <c r="A240" s="16"/>
      <c r="B240" s="3">
        <f ca="1">IFERROR(__xludf.DUMMYFUNCTION("""COMPUTED_VALUE"""),509)</f>
        <v>509</v>
      </c>
      <c r="C240" s="3" t="str">
        <f ca="1">IFERROR(__xludf.DUMMYFUNCTION("""COMPUTED_VALUE"""),"Eric Weems")</f>
        <v>Eric Weems</v>
      </c>
      <c r="D240" s="3" t="str">
        <f ca="1">IFERROR(__xludf.DUMMYFUNCTION("""COMPUTED_VALUE"""),"WR")</f>
        <v>WR</v>
      </c>
    </row>
    <row r="241" spans="1:4" ht="13" x14ac:dyDescent="0.15">
      <c r="A241" s="16"/>
      <c r="B241" s="3">
        <f ca="1">IFERROR(__xludf.DUMMYFUNCTION("""COMPUTED_VALUE"""),519)</f>
        <v>519</v>
      </c>
      <c r="C241" s="3" t="str">
        <f ca="1">IFERROR(__xludf.DUMMYFUNCTION("""COMPUTED_VALUE"""),"Matt Haack")</f>
        <v>Matt Haack</v>
      </c>
      <c r="D241" s="3" t="str">
        <f ca="1">IFERROR(__xludf.DUMMYFUNCTION("""COMPUTED_VALUE"""),"WR")</f>
        <v>WR</v>
      </c>
    </row>
    <row r="242" spans="1:4" ht="13" x14ac:dyDescent="0.15">
      <c r="A242" s="16"/>
      <c r="B242" s="3">
        <f ca="1">IFERROR(__xludf.DUMMYFUNCTION("""COMPUTED_VALUE"""),543)</f>
        <v>543</v>
      </c>
      <c r="C242" s="3" t="str">
        <f ca="1">IFERROR(__xludf.DUMMYFUNCTION("""COMPUTED_VALUE"""),"Antonio Callaway")</f>
        <v>Antonio Callaway</v>
      </c>
      <c r="D242" s="3" t="str">
        <f ca="1">IFERROR(__xludf.DUMMYFUNCTION("""COMPUTED_VALUE"""),"WR")</f>
        <v>WR</v>
      </c>
    </row>
    <row r="243" spans="1:4" ht="13" x14ac:dyDescent="0.15">
      <c r="A243" s="16"/>
      <c r="B243" s="3">
        <f ca="1">IFERROR(__xludf.DUMMYFUNCTION("""COMPUTED_VALUE"""),556)</f>
        <v>556</v>
      </c>
      <c r="C243" s="3" t="str">
        <f ca="1">IFERROR(__xludf.DUMMYFUNCTION("""COMPUTED_VALUE"""),"Robert Foster")</f>
        <v>Robert Foster</v>
      </c>
      <c r="D243" s="3" t="str">
        <f ca="1">IFERROR(__xludf.DUMMYFUNCTION("""COMPUTED_VALUE"""),"WR")</f>
        <v>WR</v>
      </c>
    </row>
    <row r="244" spans="1:4" ht="13" x14ac:dyDescent="0.15">
      <c r="A244" s="16"/>
      <c r="B244" s="3">
        <f ca="1">IFERROR(__xludf.DUMMYFUNCTION("""COMPUTED_VALUE"""),569)</f>
        <v>569</v>
      </c>
      <c r="C244" s="3" t="str">
        <f ca="1">IFERROR(__xludf.DUMMYFUNCTION("""COMPUTED_VALUE"""),"Ty Montgomery")</f>
        <v>Ty Montgomery</v>
      </c>
      <c r="D244" s="3" t="str">
        <f ca="1">IFERROR(__xludf.DUMMYFUNCTION("""COMPUTED_VALUE"""),"WR")</f>
        <v>WR</v>
      </c>
    </row>
    <row r="245" spans="1:4" ht="13" x14ac:dyDescent="0.15">
      <c r="A245" s="16"/>
      <c r="B245" s="3">
        <f ca="1">IFERROR(__xludf.DUMMYFUNCTION("""COMPUTED_VALUE"""),571)</f>
        <v>571</v>
      </c>
      <c r="C245" s="3" t="str">
        <f ca="1">IFERROR(__xludf.DUMMYFUNCTION("""COMPUTED_VALUE"""),"Tajae Sharpe")</f>
        <v>Tajae Sharpe</v>
      </c>
      <c r="D245" s="3" t="str">
        <f ca="1">IFERROR(__xludf.DUMMYFUNCTION("""COMPUTED_VALUE"""),"WR")</f>
        <v>WR</v>
      </c>
    </row>
    <row r="246" spans="1:4" ht="13" x14ac:dyDescent="0.15">
      <c r="A246" s="16"/>
      <c r="B246" s="3">
        <f ca="1">IFERROR(__xludf.DUMMYFUNCTION("""COMPUTED_VALUE"""),575)</f>
        <v>575</v>
      </c>
      <c r="C246" s="3" t="str">
        <f ca="1">IFERROR(__xludf.DUMMYFUNCTION("""COMPUTED_VALUE"""),"Zach Pascal")</f>
        <v>Zach Pascal</v>
      </c>
      <c r="D246" s="3" t="str">
        <f ca="1">IFERROR(__xludf.DUMMYFUNCTION("""COMPUTED_VALUE"""),"WR")</f>
        <v>WR</v>
      </c>
    </row>
    <row r="247" spans="1:4" ht="13" x14ac:dyDescent="0.15">
      <c r="A247" s="16"/>
      <c r="B247" s="3">
        <f ca="1">IFERROR(__xludf.DUMMYFUNCTION("""COMPUTED_VALUE"""),576)</f>
        <v>576</v>
      </c>
      <c r="C247" s="3" t="str">
        <f ca="1">IFERROR(__xludf.DUMMYFUNCTION("""COMPUTED_VALUE"""),"Tim Patrick")</f>
        <v>Tim Patrick</v>
      </c>
      <c r="D247" s="3" t="str">
        <f ca="1">IFERROR(__xludf.DUMMYFUNCTION("""COMPUTED_VALUE"""),"WR")</f>
        <v>WR</v>
      </c>
    </row>
    <row r="248" spans="1:4" ht="13" x14ac:dyDescent="0.15">
      <c r="A248" s="16"/>
      <c r="B248" s="3">
        <f ca="1">IFERROR(__xludf.DUMMYFUNCTION("""COMPUTED_VALUE"""),579)</f>
        <v>579</v>
      </c>
      <c r="C248" s="3" t="str">
        <f ca="1">IFERROR(__xludf.DUMMYFUNCTION("""COMPUTED_VALUE"""),"Isaiah McKenzie")</f>
        <v>Isaiah McKenzie</v>
      </c>
      <c r="D248" s="3" t="str">
        <f ca="1">IFERROR(__xludf.DUMMYFUNCTION("""COMPUTED_VALUE"""),"WR")</f>
        <v>WR</v>
      </c>
    </row>
    <row r="249" spans="1:4" ht="13" x14ac:dyDescent="0.15">
      <c r="A249" s="16"/>
      <c r="B249" s="3">
        <f ca="1">IFERROR(__xludf.DUMMYFUNCTION("""COMPUTED_VALUE"""),580)</f>
        <v>580</v>
      </c>
      <c r="C249" s="3" t="str">
        <f ca="1">IFERROR(__xludf.DUMMYFUNCTION("""COMPUTED_VALUE"""),"Keith Kirkwood")</f>
        <v>Keith Kirkwood</v>
      </c>
      <c r="D249" s="3" t="str">
        <f ca="1">IFERROR(__xludf.DUMMYFUNCTION("""COMPUTED_VALUE"""),"WR")</f>
        <v>WR</v>
      </c>
    </row>
    <row r="250" spans="1:4" ht="13" x14ac:dyDescent="0.15">
      <c r="A250" s="16"/>
      <c r="B250" s="3">
        <f ca="1">IFERROR(__xludf.DUMMYFUNCTION("""COMPUTED_VALUE"""),581)</f>
        <v>581</v>
      </c>
      <c r="C250" s="3" t="str">
        <f ca="1">IFERROR(__xludf.DUMMYFUNCTION("""COMPUTED_VALUE"""),"Equanimeous St. Brown")</f>
        <v>Equanimeous St. Brown</v>
      </c>
      <c r="D250" s="3" t="str">
        <f ca="1">IFERROR(__xludf.DUMMYFUNCTION("""COMPUTED_VALUE"""),"WR")</f>
        <v>WR</v>
      </c>
    </row>
    <row r="251" spans="1:4" ht="13" x14ac:dyDescent="0.15">
      <c r="A251" s="16"/>
      <c r="B251" s="3">
        <f ca="1">IFERROR(__xludf.DUMMYFUNCTION("""COMPUTED_VALUE"""),595)</f>
        <v>595</v>
      </c>
      <c r="C251" s="3" t="str">
        <f ca="1">IFERROR(__xludf.DUMMYFUNCTION("""COMPUTED_VALUE"""),"Trent Sherfield")</f>
        <v>Trent Sherfield</v>
      </c>
      <c r="D251" s="3" t="str">
        <f ca="1">IFERROR(__xludf.DUMMYFUNCTION("""COMPUTED_VALUE"""),"WR")</f>
        <v>WR</v>
      </c>
    </row>
    <row r="252" spans="1:4" ht="13" x14ac:dyDescent="0.15">
      <c r="A252" s="16"/>
      <c r="B252" s="3">
        <f ca="1">IFERROR(__xludf.DUMMYFUNCTION("""COMPUTED_VALUE"""),597)</f>
        <v>597</v>
      </c>
      <c r="C252" s="3" t="str">
        <f ca="1">IFERROR(__xludf.DUMMYFUNCTION("""COMPUTED_VALUE"""),"Andre Roberts")</f>
        <v>Andre Roberts</v>
      </c>
      <c r="D252" s="3" t="str">
        <f ca="1">IFERROR(__xludf.DUMMYFUNCTION("""COMPUTED_VALUE"""),"WR")</f>
        <v>WR</v>
      </c>
    </row>
    <row r="253" spans="1:4" ht="13" x14ac:dyDescent="0.15">
      <c r="A253" s="16"/>
      <c r="B253" s="3">
        <f ca="1">IFERROR(__xludf.DUMMYFUNCTION("""COMPUTED_VALUE"""),599)</f>
        <v>599</v>
      </c>
      <c r="C253" s="3" t="str">
        <f ca="1">IFERROR(__xludf.DUMMYFUNCTION("""COMPUTED_VALUE"""),"Cody Core")</f>
        <v>Cody Core</v>
      </c>
      <c r="D253" s="3" t="str">
        <f ca="1">IFERROR(__xludf.DUMMYFUNCTION("""COMPUTED_VALUE"""),"WR")</f>
        <v>WR</v>
      </c>
    </row>
    <row r="254" spans="1:4" ht="13" x14ac:dyDescent="0.15">
      <c r="A254" s="16"/>
      <c r="B254" s="3">
        <f ca="1">IFERROR(__xludf.DUMMYFUNCTION("""COMPUTED_VALUE"""),601)</f>
        <v>601</v>
      </c>
      <c r="C254" s="3" t="str">
        <f ca="1">IFERROR(__xludf.DUMMYFUNCTION("""COMPUTED_VALUE"""),"Richie James")</f>
        <v>Richie James</v>
      </c>
      <c r="D254" s="3" t="str">
        <f ca="1">IFERROR(__xludf.DUMMYFUNCTION("""COMPUTED_VALUE"""),"WR")</f>
        <v>WR</v>
      </c>
    </row>
    <row r="255" spans="1:4" ht="13" x14ac:dyDescent="0.15">
      <c r="A255" s="16"/>
      <c r="B255" s="3">
        <f ca="1">IFERROR(__xludf.DUMMYFUNCTION("""COMPUTED_VALUE"""),602)</f>
        <v>602</v>
      </c>
      <c r="C255" s="3" t="str">
        <f ca="1">IFERROR(__xludf.DUMMYFUNCTION("""COMPUTED_VALUE"""),"Austin Carr")</f>
        <v>Austin Carr</v>
      </c>
      <c r="D255" s="3" t="str">
        <f ca="1">IFERROR(__xludf.DUMMYFUNCTION("""COMPUTED_VALUE"""),"WR")</f>
        <v>WR</v>
      </c>
    </row>
    <row r="256" spans="1:4" ht="13" x14ac:dyDescent="0.15">
      <c r="A256" s="16"/>
      <c r="B256" s="3">
        <f ca="1">IFERROR(__xludf.DUMMYFUNCTION("""COMPUTED_VALUE"""),605)</f>
        <v>605</v>
      </c>
      <c r="C256" s="3" t="str">
        <f ca="1">IFERROR(__xludf.DUMMYFUNCTION("""COMPUTED_VALUE"""),"Marcell Ateman")</f>
        <v>Marcell Ateman</v>
      </c>
      <c r="D256" s="3" t="str">
        <f ca="1">IFERROR(__xludf.DUMMYFUNCTION("""COMPUTED_VALUE"""),"WR")</f>
        <v>WR</v>
      </c>
    </row>
    <row r="257" spans="1:4" ht="13" x14ac:dyDescent="0.15">
      <c r="A257" s="16"/>
      <c r="B257" s="3">
        <f ca="1">IFERROR(__xludf.DUMMYFUNCTION("""COMPUTED_VALUE"""),607)</f>
        <v>607</v>
      </c>
      <c r="C257" s="3" t="str">
        <f ca="1">IFERROR(__xludf.DUMMYFUNCTION("""COMPUTED_VALUE"""),"DeAndre Carter")</f>
        <v>DeAndre Carter</v>
      </c>
      <c r="D257" s="3" t="str">
        <f ca="1">IFERROR(__xludf.DUMMYFUNCTION("""COMPUTED_VALUE"""),"WR")</f>
        <v>WR</v>
      </c>
    </row>
    <row r="258" spans="1:4" ht="13" x14ac:dyDescent="0.15">
      <c r="A258" s="16"/>
      <c r="B258" s="3">
        <f ca="1">IFERROR(__xludf.DUMMYFUNCTION("""COMPUTED_VALUE"""),610)</f>
        <v>610</v>
      </c>
      <c r="C258" s="3" t="str">
        <f ca="1">IFERROR(__xludf.DUMMYFUNCTION("""COMPUTED_VALUE"""),"Darius Jennings")</f>
        <v>Darius Jennings</v>
      </c>
      <c r="D258" s="3" t="str">
        <f ca="1">IFERROR(__xludf.DUMMYFUNCTION("""COMPUTED_VALUE"""),"WR")</f>
        <v>WR</v>
      </c>
    </row>
    <row r="259" spans="1:4" ht="13" x14ac:dyDescent="0.15">
      <c r="A259" s="16"/>
      <c r="B259" s="3">
        <f ca="1">IFERROR(__xludf.DUMMYFUNCTION("""COMPUTED_VALUE"""),612)</f>
        <v>612</v>
      </c>
      <c r="C259" s="3" t="str">
        <f ca="1">IFERROR(__xludf.DUMMYFUNCTION("""COMPUTED_VALUE"""),"Jake Kumerow")</f>
        <v>Jake Kumerow</v>
      </c>
      <c r="D259" s="3" t="str">
        <f ca="1">IFERROR(__xludf.DUMMYFUNCTION("""COMPUTED_VALUE"""),"WR")</f>
        <v>WR</v>
      </c>
    </row>
    <row r="260" spans="1:4" ht="13" x14ac:dyDescent="0.15">
      <c r="A260" s="16"/>
      <c r="B260" s="3">
        <f ca="1">IFERROR(__xludf.DUMMYFUNCTION("""COMPUTED_VALUE"""),615)</f>
        <v>615</v>
      </c>
      <c r="C260" s="3" t="str">
        <f ca="1">IFERROR(__xludf.DUMMYFUNCTION("""COMPUTED_VALUE"""),"Cameron Meredith")</f>
        <v>Cameron Meredith</v>
      </c>
      <c r="D260" s="3" t="str">
        <f ca="1">IFERROR(__xludf.DUMMYFUNCTION("""COMPUTED_VALUE"""),"WR")</f>
        <v>WR</v>
      </c>
    </row>
    <row r="261" spans="1:4" ht="13" x14ac:dyDescent="0.15">
      <c r="A261" s="16"/>
      <c r="B261" s="3">
        <f ca="1">IFERROR(__xludf.DUMMYFUNCTION("""COMPUTED_VALUE"""),619)</f>
        <v>619</v>
      </c>
      <c r="C261" s="3" t="str">
        <f ca="1">IFERROR(__xludf.DUMMYFUNCTION("""COMPUTED_VALUE"""),"Vyncint Smith")</f>
        <v>Vyncint Smith</v>
      </c>
      <c r="D261" s="3" t="str">
        <f ca="1">IFERROR(__xludf.DUMMYFUNCTION("""COMPUTED_VALUE"""),"WR")</f>
        <v>WR</v>
      </c>
    </row>
    <row r="262" spans="1:4" ht="13" x14ac:dyDescent="0.15">
      <c r="A262" s="16"/>
      <c r="B262" s="3">
        <f ca="1">IFERROR(__xludf.DUMMYFUNCTION("""COMPUTED_VALUE"""),621)</f>
        <v>621</v>
      </c>
      <c r="C262" s="3" t="str">
        <f ca="1">IFERROR(__xludf.DUMMYFUNCTION("""COMPUTED_VALUE"""),"Deontay Burnett")</f>
        <v>Deontay Burnett</v>
      </c>
      <c r="D262" s="3" t="str">
        <f ca="1">IFERROR(__xludf.DUMMYFUNCTION("""COMPUTED_VALUE"""),"WR")</f>
        <v>WR</v>
      </c>
    </row>
    <row r="263" spans="1:4" ht="13" x14ac:dyDescent="0.15">
      <c r="A263" s="16"/>
      <c r="B263" s="3">
        <f ca="1">IFERROR(__xludf.DUMMYFUNCTION("""COMPUTED_VALUE"""),622)</f>
        <v>622</v>
      </c>
      <c r="C263" s="3" t="str">
        <f ca="1">IFERROR(__xludf.DUMMYFUNCTION("""COMPUTED_VALUE"""),"Andy Jones")</f>
        <v>Andy Jones</v>
      </c>
      <c r="D263" s="3" t="str">
        <f ca="1">IFERROR(__xludf.DUMMYFUNCTION("""COMPUTED_VALUE"""),"WR")</f>
        <v>WR</v>
      </c>
    </row>
    <row r="264" spans="1:4" ht="13" x14ac:dyDescent="0.15">
      <c r="A264" s="16"/>
      <c r="B264" s="3">
        <f ca="1">IFERROR(__xludf.DUMMYFUNCTION("""COMPUTED_VALUE"""),625)</f>
        <v>625</v>
      </c>
      <c r="C264" s="3" t="str">
        <f ca="1">IFERROR(__xludf.DUMMYFUNCTION("""COMPUTED_VALUE"""),"Damion Ratley")</f>
        <v>Damion Ratley</v>
      </c>
      <c r="D264" s="3" t="str">
        <f ca="1">IFERROR(__xludf.DUMMYFUNCTION("""COMPUTED_VALUE"""),"WR")</f>
        <v>WR</v>
      </c>
    </row>
    <row r="265" spans="1:4" ht="13" x14ac:dyDescent="0.15">
      <c r="A265" s="16"/>
      <c r="B265" s="3">
        <f ca="1">IFERROR(__xludf.DUMMYFUNCTION("""COMPUTED_VALUE"""),628)</f>
        <v>628</v>
      </c>
      <c r="C265" s="3" t="str">
        <f ca="1">IFERROR(__xludf.DUMMYFUNCTION("""COMPUTED_VALUE"""),"Brandon Powell")</f>
        <v>Brandon Powell</v>
      </c>
      <c r="D265" s="3" t="str">
        <f ca="1">IFERROR(__xludf.DUMMYFUNCTION("""COMPUTED_VALUE"""),"WR")</f>
        <v>WR</v>
      </c>
    </row>
    <row r="266" spans="1:4" ht="13" x14ac:dyDescent="0.15">
      <c r="A266" s="16"/>
      <c r="B266" s="3">
        <f ca="1">IFERROR(__xludf.DUMMYFUNCTION("""COMPUTED_VALUE"""),631)</f>
        <v>631</v>
      </c>
      <c r="C266" s="3" t="str">
        <f ca="1">IFERROR(__xludf.DUMMYFUNCTION("""COMPUTED_VALUE"""),"Dwayne Harris")</f>
        <v>Dwayne Harris</v>
      </c>
      <c r="D266" s="3" t="str">
        <f ca="1">IFERROR(__xludf.DUMMYFUNCTION("""COMPUTED_VALUE"""),"WR")</f>
        <v>WR</v>
      </c>
    </row>
    <row r="267" spans="1:4" ht="13" x14ac:dyDescent="0.15">
      <c r="A267" s="16"/>
      <c r="B267" s="3">
        <f ca="1">IFERROR(__xludf.DUMMYFUNCTION("""COMPUTED_VALUE"""),639)</f>
        <v>639</v>
      </c>
      <c r="C267" s="3" t="str">
        <f ca="1">IFERROR(__xludf.DUMMYFUNCTION("""COMPUTED_VALUE"""),"Cameron Batson")</f>
        <v>Cameron Batson</v>
      </c>
      <c r="D267" s="3" t="str">
        <f ca="1">IFERROR(__xludf.DUMMYFUNCTION("""COMPUTED_VALUE"""),"WR")</f>
        <v>WR</v>
      </c>
    </row>
    <row r="268" spans="1:4" ht="13" x14ac:dyDescent="0.15">
      <c r="A268" s="16"/>
      <c r="B268" s="3">
        <f ca="1">IFERROR(__xludf.DUMMYFUNCTION("""COMPUTED_VALUE"""),646)</f>
        <v>646</v>
      </c>
      <c r="C268" s="3" t="str">
        <f ca="1">IFERROR(__xludf.DUMMYFUNCTION("""COMPUTED_VALUE"""),"Russell Gage")</f>
        <v>Russell Gage</v>
      </c>
      <c r="D268" s="3" t="str">
        <f ca="1">IFERROR(__xludf.DUMMYFUNCTION("""COMPUTED_VALUE"""),"WR")</f>
        <v>WR</v>
      </c>
    </row>
    <row r="269" spans="1:4" ht="13" x14ac:dyDescent="0.15">
      <c r="A269" s="16"/>
      <c r="B269" s="3">
        <f ca="1">IFERROR(__xludf.DUMMYFUNCTION("""COMPUTED_VALUE"""),650)</f>
        <v>650</v>
      </c>
      <c r="C269" s="3" t="str">
        <f ca="1">IFERROR(__xludf.DUMMYFUNCTION("""COMPUTED_VALUE"""),"Derrick Willies")</f>
        <v>Derrick Willies</v>
      </c>
      <c r="D269" s="3" t="str">
        <f ca="1">IFERROR(__xludf.DUMMYFUNCTION("""COMPUTED_VALUE"""),"WR")</f>
        <v>WR</v>
      </c>
    </row>
    <row r="270" spans="1:4" ht="13" x14ac:dyDescent="0.15">
      <c r="A270" s="16"/>
      <c r="B270" s="3">
        <f ca="1">IFERROR(__xludf.DUMMYFUNCTION("""COMPUTED_VALUE"""),658)</f>
        <v>658</v>
      </c>
      <c r="C270" s="3" t="str">
        <f ca="1">IFERROR(__xludf.DUMMYFUNCTION("""COMPUTED_VALUE"""),"Chad Beebe")</f>
        <v>Chad Beebe</v>
      </c>
      <c r="D270" s="3" t="str">
        <f ca="1">IFERROR(__xludf.DUMMYFUNCTION("""COMPUTED_VALUE"""),"WR")</f>
        <v>WR</v>
      </c>
    </row>
    <row r="271" spans="1:4" ht="13" x14ac:dyDescent="0.15">
      <c r="A271" s="16"/>
      <c r="B271" s="3">
        <f ca="1">IFERROR(__xludf.DUMMYFUNCTION("""COMPUTED_VALUE"""),660)</f>
        <v>660</v>
      </c>
      <c r="C271" s="3" t="str">
        <f ca="1">IFERROR(__xludf.DUMMYFUNCTION("""COMPUTED_VALUE"""),"Jawill Davis")</f>
        <v>Jawill Davis</v>
      </c>
      <c r="D271" s="3" t="str">
        <f ca="1">IFERROR(__xludf.DUMMYFUNCTION("""COMPUTED_VALUE"""),"WR")</f>
        <v>WR</v>
      </c>
    </row>
    <row r="272" spans="1:4" ht="13" x14ac:dyDescent="0.15">
      <c r="A272" s="16"/>
      <c r="B272" s="3">
        <f ca="1">IFERROR(__xludf.DUMMYFUNCTION("""COMPUTED_VALUE"""),662)</f>
        <v>662</v>
      </c>
      <c r="C272" s="3" t="str">
        <f ca="1">IFERROR(__xludf.DUMMYFUNCTION("""COMPUTED_VALUE"""),"Rashad Greene")</f>
        <v>Rashad Greene</v>
      </c>
      <c r="D272" s="3" t="str">
        <f ca="1">IFERROR(__xludf.DUMMYFUNCTION("""COMPUTED_VALUE"""),"WR")</f>
        <v>WR</v>
      </c>
    </row>
    <row r="274" spans="1:4" ht="13" x14ac:dyDescent="0.15">
      <c r="A274" s="16"/>
      <c r="B274" s="3">
        <f ca="1">IFERROR(__xludf.DUMMYFUNCTION("""COMPUTED_VALUE"""),666)</f>
        <v>666</v>
      </c>
      <c r="C274" s="3" t="str">
        <f ca="1">IFERROR(__xludf.DUMMYFUNCTION("""COMPUTED_VALUE"""),"Jalen Tolliver")</f>
        <v>Jalen Tolliver</v>
      </c>
      <c r="D274" s="3" t="str">
        <f ca="1">IFERROR(__xludf.DUMMYFUNCTION("""COMPUTED_VALUE"""),"WR")</f>
        <v>WR</v>
      </c>
    </row>
    <row r="275" spans="1:4" ht="13" x14ac:dyDescent="0.15">
      <c r="A275" s="16"/>
      <c r="B275" s="3">
        <f ca="1">IFERROR(__xludf.DUMMYFUNCTION("""COMPUTED_VALUE"""),670)</f>
        <v>670</v>
      </c>
      <c r="C275" s="3" t="str">
        <f ca="1">IFERROR(__xludf.DUMMYFUNCTION("""COMPUTED_VALUE"""),"Charone Peake")</f>
        <v>Charone Peake</v>
      </c>
      <c r="D275" s="3" t="str">
        <f ca="1">IFERROR(__xludf.DUMMYFUNCTION("""COMPUTED_VALUE"""),"WR")</f>
        <v>WR</v>
      </c>
    </row>
    <row r="276" spans="1:4" ht="13" x14ac:dyDescent="0.15">
      <c r="A276" s="16"/>
      <c r="B276" s="3">
        <f ca="1">IFERROR(__xludf.DUMMYFUNCTION("""COMPUTED_VALUE"""),672)</f>
        <v>672</v>
      </c>
      <c r="C276" s="3" t="str">
        <f ca="1">IFERROR(__xludf.DUMMYFUNCTION("""COMPUTED_VALUE"""),"Javon Wims")</f>
        <v>Javon Wims</v>
      </c>
      <c r="D276" s="3" t="str">
        <f ca="1">IFERROR(__xludf.DUMMYFUNCTION("""COMPUTED_VALUE"""),"WR")</f>
        <v>WR</v>
      </c>
    </row>
    <row r="277" spans="1:4" ht="13" x14ac:dyDescent="0.15">
      <c r="A277" s="16"/>
      <c r="B277" s="3">
        <f ca="1">IFERROR(__xludf.DUMMYFUNCTION("""COMPUTED_VALUE"""),674)</f>
        <v>674</v>
      </c>
      <c r="C277" s="3" t="str">
        <f ca="1">IFERROR(__xludf.DUMMYFUNCTION("""COMPUTED_VALUE"""),"River Cracraft")</f>
        <v>River Cracraft</v>
      </c>
      <c r="D277" s="3" t="str">
        <f ca="1">IFERROR(__xludf.DUMMYFUNCTION("""COMPUTED_VALUE"""),"WR")</f>
        <v>WR</v>
      </c>
    </row>
    <row r="278" spans="1:4" ht="13" x14ac:dyDescent="0.15">
      <c r="A278" s="16"/>
      <c r="B278" s="3">
        <f ca="1">IFERROR(__xludf.DUMMYFUNCTION("""COMPUTED_VALUE"""),677)</f>
        <v>677</v>
      </c>
      <c r="C278" s="3" t="str">
        <f ca="1">IFERROR(__xludf.DUMMYFUNCTION("""COMPUTED_VALUE"""),"Gehrig Dieter")</f>
        <v>Gehrig Dieter</v>
      </c>
      <c r="D278" s="3" t="str">
        <f ca="1">IFERROR(__xludf.DUMMYFUNCTION("""COMPUTED_VALUE"""),"WR")</f>
        <v>WR</v>
      </c>
    </row>
    <row r="279" spans="1:4" ht="13" x14ac:dyDescent="0.15">
      <c r="A279" s="16"/>
      <c r="B279" s="3">
        <f ca="1">IFERROR(__xludf.DUMMYFUNCTION("""COMPUTED_VALUE"""),679)</f>
        <v>679</v>
      </c>
      <c r="C279" s="3" t="str">
        <f ca="1">IFERROR(__xludf.DUMMYFUNCTION("""COMPUTED_VALUE"""),"KhaDarel Hodge")</f>
        <v>KhaDarel Hodge</v>
      </c>
      <c r="D279" s="3" t="str">
        <f ca="1">IFERROR(__xludf.DUMMYFUNCTION("""COMPUTED_VALUE"""),"WR")</f>
        <v>WR</v>
      </c>
    </row>
    <row r="280" spans="1:4" ht="13" x14ac:dyDescent="0.15">
      <c r="A280" s="16"/>
      <c r="B280" s="3">
        <f ca="1">IFERROR(__xludf.DUMMYFUNCTION("""COMPUTED_VALUE"""),681)</f>
        <v>681</v>
      </c>
      <c r="C280" s="3" t="str">
        <f ca="1">IFERROR(__xludf.DUMMYFUNCTION("""COMPUTED_VALUE"""),"Ray-Ray McCloud")</f>
        <v>Ray-Ray McCloud</v>
      </c>
      <c r="D280" s="3" t="str">
        <f ca="1">IFERROR(__xludf.DUMMYFUNCTION("""COMPUTED_VALUE"""),"WR")</f>
        <v>WR</v>
      </c>
    </row>
    <row r="281" spans="1:4" ht="13" x14ac:dyDescent="0.15">
      <c r="A281" s="16"/>
      <c r="B281" s="3">
        <f ca="1">IFERROR(__xludf.DUMMYFUNCTION("""COMPUTED_VALUE"""),684)</f>
        <v>684</v>
      </c>
      <c r="C281" s="3" t="str">
        <f ca="1">IFERROR(__xludf.DUMMYFUNCTION("""COMPUTED_VALUE"""),"Malik Turner")</f>
        <v>Malik Turner</v>
      </c>
      <c r="D281" s="3" t="str">
        <f ca="1">IFERROR(__xludf.DUMMYFUNCTION("""COMPUTED_VALUE"""),"WR")</f>
        <v>WR</v>
      </c>
    </row>
    <row r="282" spans="1:4" ht="13" x14ac:dyDescent="0.15">
      <c r="A282" s="16"/>
      <c r="B282" s="3">
        <f ca="1">IFERROR(__xludf.DUMMYFUNCTION("""COMPUTED_VALUE"""),686)</f>
        <v>686</v>
      </c>
      <c r="C282" s="3" t="str">
        <f ca="1">IFERROR(__xludf.DUMMYFUNCTION("""COMPUTED_VALUE"""),"Brandon Zylstra")</f>
        <v>Brandon Zylstra</v>
      </c>
      <c r="D282" s="3" t="str">
        <f ca="1">IFERROR(__xludf.DUMMYFUNCTION("""COMPUTED_VALUE"""),"WR")</f>
        <v>WR</v>
      </c>
    </row>
    <row r="283" spans="1:4" ht="13" x14ac:dyDescent="0.15">
      <c r="A283" s="16"/>
      <c r="B283" s="3">
        <f ca="1">IFERROR(__xludf.DUMMYFUNCTION("""COMPUTED_VALUE"""),687)</f>
        <v>687</v>
      </c>
      <c r="C283" s="3" t="str">
        <f ca="1">IFERROR(__xludf.DUMMYFUNCTION("""COMPUTED_VALUE"""),"Victor Bolden")</f>
        <v>Victor Bolden</v>
      </c>
      <c r="D283" s="3" t="str">
        <f ca="1">IFERROR(__xludf.DUMMYFUNCTION("""COMPUTED_VALUE"""),"WR")</f>
        <v>WR</v>
      </c>
    </row>
    <row r="284" spans="1:4" ht="13" x14ac:dyDescent="0.15">
      <c r="A284" s="16"/>
      <c r="B284" s="3">
        <f ca="1">IFERROR(__xludf.DUMMYFUNCTION("""COMPUTED_VALUE"""),692)</f>
        <v>692</v>
      </c>
      <c r="C284" s="3" t="str">
        <f ca="1">IFERROR(__xludf.DUMMYFUNCTION("""COMPUTED_VALUE"""),"Justin Hardee")</f>
        <v>Justin Hardee</v>
      </c>
      <c r="D284" s="3" t="str">
        <f ca="1">IFERROR(__xludf.DUMMYFUNCTION("""COMPUTED_VALUE"""),"WR")</f>
        <v>WR</v>
      </c>
    </row>
    <row r="285" spans="1:4" ht="13" x14ac:dyDescent="0.15">
      <c r="A285" s="16"/>
      <c r="B285" s="3">
        <f ca="1">IFERROR(__xludf.DUMMYFUNCTION("""COMPUTED_VALUE"""),693)</f>
        <v>693</v>
      </c>
      <c r="C285" s="3" t="str">
        <f ca="1">IFERROR(__xludf.DUMMYFUNCTION("""COMPUTED_VALUE"""),"Keon Hatcher")</f>
        <v>Keon Hatcher</v>
      </c>
      <c r="D285" s="3" t="str">
        <f ca="1">IFERROR(__xludf.DUMMYFUNCTION("""COMPUTED_VALUE"""),"WR")</f>
        <v>WR</v>
      </c>
    </row>
    <row r="286" spans="1:4" ht="13" x14ac:dyDescent="0.15">
      <c r="A286" s="16"/>
      <c r="B286" s="3">
        <f ca="1">IFERROR(__xludf.DUMMYFUNCTION("""COMPUTED_VALUE"""),694)</f>
        <v>694</v>
      </c>
      <c r="C286" s="3" t="str">
        <f ca="1">IFERROR(__xludf.DUMMYFUNCTION("""COMPUTED_VALUE"""),"Marcus Kemp")</f>
        <v>Marcus Kemp</v>
      </c>
      <c r="D286" s="3" t="str">
        <f ca="1">IFERROR(__xludf.DUMMYFUNCTION("""COMPUTED_VALUE"""),"WR")</f>
        <v>WR</v>
      </c>
    </row>
    <row r="287" spans="1:4" ht="13" x14ac:dyDescent="0.15">
      <c r="A287" s="16"/>
      <c r="B287" s="3">
        <f ca="1">IFERROR(__xludf.DUMMYFUNCTION("""COMPUTED_VALUE"""),695)</f>
        <v>695</v>
      </c>
      <c r="C287" s="3" t="str">
        <f ca="1">IFERROR(__xludf.DUMMYFUNCTION("""COMPUTED_VALUE"""),"Darvin Kidsy")</f>
        <v>Darvin Kidsy</v>
      </c>
      <c r="D287" s="3" t="str">
        <f ca="1">IFERROR(__xludf.DUMMYFUNCTION("""COMPUTED_VALUE"""),"WR")</f>
        <v>WR</v>
      </c>
    </row>
    <row r="288" spans="1:4" ht="13" x14ac:dyDescent="0.15">
      <c r="A288" s="16"/>
      <c r="B288" s="3">
        <f ca="1">IFERROR(__xludf.DUMMYFUNCTION("""COMPUTED_VALUE"""),696)</f>
        <v>696</v>
      </c>
      <c r="C288" s="3" t="str">
        <f ca="1">IFERROR(__xludf.DUMMYFUNCTION("""COMPUTED_VALUE"""),"Allen Lazard")</f>
        <v>Allen Lazard</v>
      </c>
      <c r="D288" s="3" t="str">
        <f ca="1">IFERROR(__xludf.DUMMYFUNCTION("""COMPUTED_VALUE"""),"WR")</f>
        <v>WR</v>
      </c>
    </row>
    <row r="289" spans="1:4" ht="13" x14ac:dyDescent="0.15">
      <c r="A289" s="16"/>
      <c r="B289" s="3">
        <f ca="1">IFERROR(__xludf.DUMMYFUNCTION("""COMPUTED_VALUE"""),702)</f>
        <v>702</v>
      </c>
      <c r="C289" s="3" t="str">
        <f ca="1">IFERROR(__xludf.DUMMYFUNCTION("""COMPUTED_VALUE"""),"Cam Phillips")</f>
        <v>Cam Phillips</v>
      </c>
      <c r="D289" s="3" t="str">
        <f ca="1">IFERROR(__xludf.DUMMYFUNCTION("""COMPUTED_VALUE"""),"WR")</f>
        <v>WR</v>
      </c>
    </row>
    <row r="290" spans="1:4" ht="13" x14ac:dyDescent="0.15">
      <c r="A290" s="16"/>
      <c r="B290" s="3">
        <f ca="1">IFERROR(__xludf.DUMMYFUNCTION("""COMPUTED_VALUE"""),704)</f>
        <v>704</v>
      </c>
      <c r="C290" s="3" t="str">
        <f ca="1">IFERROR(__xludf.DUMMYFUNCTION("""COMPUTED_VALUE"""),"Justin Watson")</f>
        <v>Justin Watson</v>
      </c>
      <c r="D290" s="3" t="str">
        <f ca="1">IFERROR(__xludf.DUMMYFUNCTION("""COMPUTED_VALUE"""),"WR")</f>
        <v>WR</v>
      </c>
    </row>
    <row r="291" spans="1:4" ht="13" x14ac:dyDescent="0.15">
      <c r="A291" s="16"/>
      <c r="B291" s="3">
        <f ca="1">IFERROR(__xludf.DUMMYFUNCTION("""COMPUTED_VALUE"""),705)</f>
        <v>705</v>
      </c>
      <c r="C291" s="3" t="str">
        <f ca="1">IFERROR(__xludf.DUMMYFUNCTION("""COMPUTED_VALUE"""),"Tim White")</f>
        <v>Tim White</v>
      </c>
      <c r="D291" s="3" t="str">
        <f ca="1">IFERROR(__xludf.DUMMYFUNCTION("""COMPUTED_VALUE"""),"WR")</f>
        <v>WR</v>
      </c>
    </row>
    <row r="292" spans="1:4" ht="13" x14ac:dyDescent="0.15">
      <c r="A292" s="16"/>
      <c r="B292" s="3">
        <f ca="1">IFERROR(__xludf.DUMMYFUNCTION("""COMPUTED_VALUE"""),714)</f>
        <v>714</v>
      </c>
      <c r="C292" s="3" t="str">
        <f ca="1">IFERROR(__xludf.DUMMYFUNCTION("""COMPUTED_VALUE"""),"JJ Arcega-Whiteside")</f>
        <v>JJ Arcega-Whiteside</v>
      </c>
      <c r="D292" s="3" t="str">
        <f ca="1">IFERROR(__xludf.DUMMYFUNCTION("""COMPUTED_VALUE"""),"WR")</f>
        <v>WR</v>
      </c>
    </row>
    <row r="293" spans="1:4" ht="13" x14ac:dyDescent="0.15">
      <c r="A293" s="16"/>
      <c r="B293" s="3">
        <f ca="1">IFERROR(__xludf.DUMMYFUNCTION("""COMPUTED_VALUE"""),727)</f>
        <v>727</v>
      </c>
      <c r="C293" s="3" t="str">
        <f ca="1">IFERROR(__xludf.DUMMYFUNCTION("""COMPUTED_VALUE"""),"Hakeem Butler")</f>
        <v>Hakeem Butler</v>
      </c>
      <c r="D293" s="3" t="str">
        <f ca="1">IFERROR(__xludf.DUMMYFUNCTION("""COMPUTED_VALUE"""),"WR")</f>
        <v>WR</v>
      </c>
    </row>
    <row r="294" spans="1:4" ht="13" x14ac:dyDescent="0.15">
      <c r="A294" s="16"/>
      <c r="B294" s="3">
        <f ca="1">IFERROR(__xludf.DUMMYFUNCTION("""COMPUTED_VALUE"""),728)</f>
        <v>728</v>
      </c>
      <c r="C294" s="3" t="str">
        <f ca="1">IFERROR(__xludf.DUMMYFUNCTION("""COMPUTED_VALUE"""),"Diontae Johnson")</f>
        <v>Diontae Johnson</v>
      </c>
      <c r="D294" s="3" t="str">
        <f ca="1">IFERROR(__xludf.DUMMYFUNCTION("""COMPUTED_VALUE"""),"WR")</f>
        <v>WR</v>
      </c>
    </row>
    <row r="295" spans="1:4" ht="13" x14ac:dyDescent="0.15">
      <c r="A295" s="16"/>
      <c r="B295" s="3">
        <f ca="1">IFERROR(__xludf.DUMMYFUNCTION("""COMPUTED_VALUE"""),733)</f>
        <v>733</v>
      </c>
      <c r="C295" s="3" t="str">
        <f ca="1">IFERROR(__xludf.DUMMYFUNCTION("""COMPUTED_VALUE"""),"Jalen Hurd")</f>
        <v>Jalen Hurd</v>
      </c>
      <c r="D295" s="3" t="str">
        <f ca="1">IFERROR(__xludf.DUMMYFUNCTION("""COMPUTED_VALUE"""),"WR")</f>
        <v>WR</v>
      </c>
    </row>
    <row r="296" spans="1:4" ht="13" x14ac:dyDescent="0.15">
      <c r="A296" s="16"/>
      <c r="B296" s="3">
        <f ca="1">IFERROR(__xludf.DUMMYFUNCTION("""COMPUTED_VALUE"""),734)</f>
        <v>734</v>
      </c>
      <c r="C296" s="3" t="str">
        <f ca="1">IFERROR(__xludf.DUMMYFUNCTION("""COMPUTED_VALUE"""),"Gary Jennings Jr.")</f>
        <v>Gary Jennings Jr.</v>
      </c>
      <c r="D296" s="3" t="str">
        <f ca="1">IFERROR(__xludf.DUMMYFUNCTION("""COMPUTED_VALUE"""),"WR")</f>
        <v>WR</v>
      </c>
    </row>
    <row r="297" spans="1:4" ht="13" x14ac:dyDescent="0.15">
      <c r="A297" s="16"/>
      <c r="B297" s="3">
        <f ca="1">IFERROR(__xludf.DUMMYFUNCTION("""COMPUTED_VALUE"""),735)</f>
        <v>735</v>
      </c>
      <c r="C297" s="3" t="str">
        <f ca="1">IFERROR(__xludf.DUMMYFUNCTION("""COMPUTED_VALUE"""),"Riley Ridley")</f>
        <v>Riley Ridley</v>
      </c>
      <c r="D297" s="3" t="str">
        <f ca="1">IFERROR(__xludf.DUMMYFUNCTION("""COMPUTED_VALUE"""),"WR")</f>
        <v>WR</v>
      </c>
    </row>
    <row r="298" spans="1:4" ht="13" x14ac:dyDescent="0.15">
      <c r="A298" s="16"/>
      <c r="B298" s="3">
        <f ca="1">IFERROR(__xludf.DUMMYFUNCTION("""COMPUTED_VALUE"""),753)</f>
        <v>753</v>
      </c>
      <c r="C298" s="3" t="str">
        <f ca="1">IFERROR(__xludf.DUMMYFUNCTION("""COMPUTED_VALUE"""),"Hunter Renfrow")</f>
        <v>Hunter Renfrow</v>
      </c>
      <c r="D298" s="3" t="str">
        <f ca="1">IFERROR(__xludf.DUMMYFUNCTION("""COMPUTED_VALUE"""),"WR")</f>
        <v>WR</v>
      </c>
    </row>
    <row r="299" spans="1:4" ht="13" x14ac:dyDescent="0.15">
      <c r="A299" s="16"/>
      <c r="B299" s="3">
        <f ca="1">IFERROR(__xludf.DUMMYFUNCTION("""COMPUTED_VALUE"""),756)</f>
        <v>756</v>
      </c>
      <c r="C299" s="3" t="str">
        <f ca="1">IFERROR(__xludf.DUMMYFUNCTION("""COMPUTED_VALUE"""),"Kelvin Harmon")</f>
        <v>Kelvin Harmon</v>
      </c>
      <c r="D299" s="3" t="str">
        <f ca="1">IFERROR(__xludf.DUMMYFUNCTION("""COMPUTED_VALUE"""),"WR")</f>
        <v>WR</v>
      </c>
    </row>
    <row r="300" spans="1:4" ht="13" x14ac:dyDescent="0.15">
      <c r="A300" s="16"/>
      <c r="B300" s="3">
        <f ca="1">IFERROR(__xludf.DUMMYFUNCTION("""COMPUTED_VALUE"""),757)</f>
        <v>757</v>
      </c>
      <c r="C300" s="3" t="str">
        <f ca="1">IFERROR(__xludf.DUMMYFUNCTION("""COMPUTED_VALUE"""),"Darius Slayton")</f>
        <v>Darius Slayton</v>
      </c>
      <c r="D300" s="3" t="str">
        <f ca="1">IFERROR(__xludf.DUMMYFUNCTION("""COMPUTED_VALUE"""),"WR")</f>
        <v>WR</v>
      </c>
    </row>
    <row r="301" spans="1:4" ht="13" x14ac:dyDescent="0.15">
      <c r="A301" s="16"/>
      <c r="B301" s="3">
        <f ca="1">IFERROR(__xludf.DUMMYFUNCTION("""COMPUTED_VALUE"""),768)</f>
        <v>768</v>
      </c>
      <c r="C301" s="3" t="str">
        <f ca="1">IFERROR(__xludf.DUMMYFUNCTION("""COMPUTED_VALUE"""),"Travis Fulgham")</f>
        <v>Travis Fulgham</v>
      </c>
      <c r="D301" s="3" t="str">
        <f ca="1">IFERROR(__xludf.DUMMYFUNCTION("""COMPUTED_VALUE"""),"WR")</f>
        <v>WR</v>
      </c>
    </row>
    <row r="302" spans="1:4" ht="13" x14ac:dyDescent="0.15">
      <c r="A302" s="16"/>
      <c r="B302" s="3">
        <f ca="1">IFERROR(__xludf.DUMMYFUNCTION("""COMPUTED_VALUE"""),769)</f>
        <v>769</v>
      </c>
      <c r="C302" s="3" t="str">
        <f ca="1">IFERROR(__xludf.DUMMYFUNCTION("""COMPUTED_VALUE"""),"Emanuel Hall")</f>
        <v>Emanuel Hall</v>
      </c>
      <c r="D302" s="3" t="str">
        <f ca="1">IFERROR(__xludf.DUMMYFUNCTION("""COMPUTED_VALUE"""),"WR")</f>
        <v>WR</v>
      </c>
    </row>
    <row r="303" spans="1:4" ht="13" x14ac:dyDescent="0.15">
      <c r="A303" s="16"/>
      <c r="B303" s="3">
        <f ca="1">IFERROR(__xludf.DUMMYFUNCTION("""COMPUTED_VALUE"""),777)</f>
        <v>777</v>
      </c>
      <c r="C303" s="3" t="str">
        <f ca="1">IFERROR(__xludf.DUMMYFUNCTION("""COMPUTED_VALUE"""),"Antoine Wesley")</f>
        <v>Antoine Wesley</v>
      </c>
      <c r="D303" s="3" t="str">
        <f ca="1">IFERROR(__xludf.DUMMYFUNCTION("""COMPUTED_VALUE"""),"WR")</f>
        <v>WR</v>
      </c>
    </row>
    <row r="304" spans="1:4" ht="13" x14ac:dyDescent="0.15">
      <c r="A304" s="16"/>
      <c r="B304" s="3">
        <f ca="1">IFERROR(__xludf.DUMMYFUNCTION("""COMPUTED_VALUE"""),778)</f>
        <v>778</v>
      </c>
      <c r="C304" s="3" t="str">
        <f ca="1">IFERROR(__xludf.DUMMYFUNCTION("""COMPUTED_VALUE"""),"Terry Godwin")</f>
        <v>Terry Godwin</v>
      </c>
      <c r="D304" s="3" t="str">
        <f ca="1">IFERROR(__xludf.DUMMYFUNCTION("""COMPUTED_VALUE"""),"WR")</f>
        <v>WR</v>
      </c>
    </row>
    <row r="305" spans="1:4" ht="13" x14ac:dyDescent="0.15">
      <c r="A305" s="16"/>
      <c r="B305" s="3">
        <f ca="1">IFERROR(__xludf.DUMMYFUNCTION("""COMPUTED_VALUE"""),779)</f>
        <v>779</v>
      </c>
      <c r="C305" s="3" t="str">
        <f ca="1">IFERROR(__xludf.DUMMYFUNCTION("""COMPUTED_VALUE"""),"Dillon Mitchell")</f>
        <v>Dillon Mitchell</v>
      </c>
      <c r="D305" s="3" t="str">
        <f ca="1">IFERROR(__xludf.DUMMYFUNCTION("""COMPUTED_VALUE"""),"WR")</f>
        <v>WR</v>
      </c>
    </row>
    <row r="306" spans="1:4" ht="13" x14ac:dyDescent="0.15">
      <c r="A306" s="16"/>
      <c r="B306" s="3">
        <f ca="1">IFERROR(__xludf.DUMMYFUNCTION("""COMPUTED_VALUE"""),780)</f>
        <v>780</v>
      </c>
      <c r="C306" s="3" t="str">
        <f ca="1">IFERROR(__xludf.DUMMYFUNCTION("""COMPUTED_VALUE"""),"Olabisi Johnson")</f>
        <v>Olabisi Johnson</v>
      </c>
      <c r="D306" s="3" t="str">
        <f ca="1">IFERROR(__xludf.DUMMYFUNCTION("""COMPUTED_VALUE"""),"WR")</f>
        <v>WR</v>
      </c>
    </row>
    <row r="307" spans="1:4" ht="13" x14ac:dyDescent="0.15">
      <c r="A307" s="16"/>
      <c r="B307" s="3">
        <f ca="1">IFERROR(__xludf.DUMMYFUNCTION("""COMPUTED_VALUE"""),781)</f>
        <v>781</v>
      </c>
      <c r="C307" s="3" t="str">
        <f ca="1">IFERROR(__xludf.DUMMYFUNCTION("""COMPUTED_VALUE"""),"John Ursua")</f>
        <v>John Ursua</v>
      </c>
      <c r="D307" s="3" t="str">
        <f ca="1">IFERROR(__xludf.DUMMYFUNCTION("""COMPUTED_VALUE"""),"WR")</f>
        <v>WR</v>
      </c>
    </row>
  </sheetData>
  <conditionalFormatting sqref="D98:D272 D274:D307 D2:D96">
    <cfRule type="expression" dxfId="71" priority="12">
      <formula>E2=1</formula>
    </cfRule>
  </conditionalFormatting>
  <conditionalFormatting sqref="C2:C5 A98:D272 A274:D307 D2:D67 C8:C67 A68:D96 A2:B67 H2">
    <cfRule type="expression" dxfId="70" priority="15">
      <formula>E2=1</formula>
    </cfRule>
  </conditionalFormatting>
  <conditionalFormatting sqref="D2:D5 B98:D272 B274:D307 D8:D67 B68:D96 B2:C67 J2 H2">
    <cfRule type="expression" dxfId="69" priority="14">
      <formula>E2=1</formula>
    </cfRule>
  </conditionalFormatting>
  <conditionalFormatting sqref="C98:C272 C274:C307 C2:C96 J2">
    <cfRule type="expression" dxfId="68" priority="13">
      <formula>E2=1</formula>
    </cfRule>
  </conditionalFormatting>
  <conditionalFormatting sqref="C7">
    <cfRule type="expression" dxfId="67" priority="405">
      <formula>G6=1</formula>
    </cfRule>
  </conditionalFormatting>
  <conditionalFormatting sqref="C6">
    <cfRule type="expression" dxfId="66" priority="406">
      <formula>#REF!=1</formula>
    </cfRule>
  </conditionalFormatting>
  <conditionalFormatting sqref="D7">
    <cfRule type="expression" dxfId="65" priority="408">
      <formula>G6=1</formula>
    </cfRule>
  </conditionalFormatting>
  <conditionalFormatting sqref="D6">
    <cfRule type="expression" dxfId="64" priority="409">
      <formula>#REF!=1</formula>
    </cfRule>
  </conditionalFormatting>
  <conditionalFormatting sqref="J2">
    <cfRule type="expression" dxfId="63" priority="4">
      <formula>K2=1</formula>
    </cfRule>
  </conditionalFormatting>
  <conditionalFormatting sqref="J3">
    <cfRule type="expression" dxfId="62" priority="3">
      <formula>M3=1</formula>
    </cfRule>
  </conditionalFormatting>
  <conditionalFormatting sqref="J3">
    <cfRule type="expression" dxfId="61" priority="2">
      <formula>L3=1</formula>
    </cfRule>
  </conditionalFormatting>
  <conditionalFormatting sqref="J3">
    <cfRule type="expression" dxfId="60" priority="1">
      <formula>#REF!=1</formula>
    </cfRule>
  </conditionalFormatting>
  <conditionalFormatting sqref="H2">
    <cfRule type="expression" dxfId="59" priority="901">
      <formula>#REF!=1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61"/>
  <sheetViews>
    <sheetView showGridLines="0" zoomScale="85" zoomScaleNormal="85" workbookViewId="0">
      <pane ySplit="1" topLeftCell="A5" activePane="bottomLeft" state="frozen"/>
      <selection pane="bottomLeft" activeCell="B15" sqref="B15:C15"/>
    </sheetView>
  </sheetViews>
  <sheetFormatPr baseColWidth="10" defaultColWidth="14.5" defaultRowHeight="15.75" customHeight="1" x14ac:dyDescent="0.15"/>
  <cols>
    <col min="1" max="1" width="14.5" style="6"/>
    <col min="8" max="8" width="14.5" style="24"/>
    <col min="9" max="9" width="8.5" style="24" bestFit="1" customWidth="1"/>
    <col min="10" max="10" width="22" style="24" bestFit="1" customWidth="1"/>
    <col min="11" max="11" width="25.1640625" style="24" bestFit="1" customWidth="1"/>
    <col min="12" max="12" width="12.6640625" style="82" bestFit="1" customWidth="1"/>
  </cols>
  <sheetData>
    <row r="1" spans="1:12" ht="13" x14ac:dyDescent="0.15">
      <c r="A1" s="5" t="s">
        <v>860</v>
      </c>
      <c r="B1" s="8" t="s">
        <v>0</v>
      </c>
      <c r="C1" s="8" t="s">
        <v>1</v>
      </c>
      <c r="D1" s="8" t="s">
        <v>2</v>
      </c>
      <c r="E1" s="15" t="s">
        <v>861</v>
      </c>
      <c r="L1" s="24"/>
    </row>
    <row r="2" spans="1:12" ht="13" x14ac:dyDescent="0.15">
      <c r="A2" s="11">
        <v>1</v>
      </c>
      <c r="B2" s="3">
        <f ca="1">IFERROR(__xludf.DUMMYFUNCTION("""COMPUTED_VALUE"""),421)</f>
        <v>421</v>
      </c>
      <c r="C2" s="3" t="str">
        <f ca="1">IFERROR(__xludf.DUMMYFUNCTION("""COMPUTED_VALUE"""),"Travis Kelce")</f>
        <v>Travis Kelce</v>
      </c>
      <c r="D2" s="3" t="str">
        <f ca="1">IFERROR(__xludf.DUMMYFUNCTION("""COMPUTED_VALUE"""),"TE")</f>
        <v>TE</v>
      </c>
      <c r="E2" s="21">
        <v>1</v>
      </c>
      <c r="F2" s="21"/>
      <c r="G2" s="21"/>
      <c r="H2" s="28"/>
      <c r="I2" s="78"/>
      <c r="L2" s="24"/>
    </row>
    <row r="3" spans="1:12" ht="13" x14ac:dyDescent="0.15">
      <c r="A3" s="16">
        <f>+A2+1</f>
        <v>2</v>
      </c>
      <c r="B3" s="3">
        <f ca="1">IFERROR(__xludf.DUMMYFUNCTION("""COMPUTED_VALUE"""),462)</f>
        <v>462</v>
      </c>
      <c r="C3" s="3" t="str">
        <f ca="1">IFERROR(__xludf.DUMMYFUNCTION("""COMPUTED_VALUE"""),"Zach Ertz")</f>
        <v>Zach Ertz</v>
      </c>
      <c r="D3" s="3" t="str">
        <f ca="1">IFERROR(__xludf.DUMMYFUNCTION("""COMPUTED_VALUE"""),"TE")</f>
        <v>TE</v>
      </c>
      <c r="E3" s="21">
        <v>1</v>
      </c>
      <c r="F3" s="21"/>
      <c r="G3" s="21"/>
      <c r="L3" s="24"/>
    </row>
    <row r="4" spans="1:12" ht="13" x14ac:dyDescent="0.15">
      <c r="A4" s="16">
        <f t="shared" ref="A4:A46" si="0">+A3+1</f>
        <v>3</v>
      </c>
      <c r="B4" s="3">
        <f ca="1">IFERROR(__xludf.DUMMYFUNCTION("""COMPUTED_VALUE"""),44)</f>
        <v>44</v>
      </c>
      <c r="C4" s="3" t="str">
        <f ca="1">IFERROR(__xludf.DUMMYFUNCTION("""COMPUTED_VALUE"""),"George Kittle")</f>
        <v>George Kittle</v>
      </c>
      <c r="D4" s="3" t="str">
        <f ca="1">IFERROR(__xludf.DUMMYFUNCTION("""COMPUTED_VALUE"""),"TE")</f>
        <v>TE</v>
      </c>
      <c r="E4" s="21"/>
      <c r="F4" s="14"/>
      <c r="G4" s="21"/>
      <c r="L4" s="24"/>
    </row>
    <row r="5" spans="1:12" ht="13" x14ac:dyDescent="0.15">
      <c r="A5" s="16">
        <f t="shared" si="0"/>
        <v>4</v>
      </c>
      <c r="B5" s="3">
        <f ca="1">IFERROR(__xludf.DUMMYFUNCTION("""COMPUTED_VALUE"""),171)</f>
        <v>171</v>
      </c>
      <c r="C5" s="3" t="str">
        <f ca="1">IFERROR(__xludf.DUMMYFUNCTION("""COMPUTED_VALUE"""),"Evan Engram")</f>
        <v>Evan Engram</v>
      </c>
      <c r="D5" s="3" t="str">
        <f ca="1">IFERROR(__xludf.DUMMYFUNCTION("""COMPUTED_VALUE"""),"TE")</f>
        <v>TE</v>
      </c>
      <c r="E5" s="21"/>
      <c r="F5" s="21"/>
      <c r="L5" s="24"/>
    </row>
    <row r="6" spans="1:12" ht="13" x14ac:dyDescent="0.15">
      <c r="A6" s="16">
        <f t="shared" si="0"/>
        <v>5</v>
      </c>
      <c r="B6" s="3">
        <f ca="1">IFERROR(__xludf.DUMMYFUNCTION("""COMPUTED_VALUE"""),325)</f>
        <v>325</v>
      </c>
      <c r="C6" s="3" t="str">
        <f ca="1">IFERROR(__xludf.DUMMYFUNCTION("""COMPUTED_VALUE"""),"O.J. Howard")</f>
        <v>O.J. Howard</v>
      </c>
      <c r="D6" s="3" t="str">
        <f ca="1">IFERROR(__xludf.DUMMYFUNCTION("""COMPUTED_VALUE"""),"TE")</f>
        <v>TE</v>
      </c>
      <c r="E6">
        <v>1</v>
      </c>
      <c r="L6" s="24"/>
    </row>
    <row r="7" spans="1:12" ht="13" x14ac:dyDescent="0.15">
      <c r="A7" s="16">
        <f t="shared" si="0"/>
        <v>6</v>
      </c>
      <c r="B7" s="3">
        <f ca="1">IFERROR(__xludf.DUMMYFUNCTION("""COMPUTED_VALUE"""),636)</f>
        <v>636</v>
      </c>
      <c r="C7" s="3" t="str">
        <f ca="1">IFERROR(__xludf.DUMMYFUNCTION("""COMPUTED_VALUE"""),"Darren Waller")</f>
        <v>Darren Waller</v>
      </c>
      <c r="D7" s="3" t="str">
        <f ca="1">IFERROR(__xludf.DUMMYFUNCTION("""COMPUTED_VALUE"""),"TE")</f>
        <v>TE</v>
      </c>
      <c r="E7" s="21">
        <v>1</v>
      </c>
      <c r="L7" s="24"/>
    </row>
    <row r="8" spans="1:12" ht="13" x14ac:dyDescent="0.15">
      <c r="A8" s="16">
        <f t="shared" si="0"/>
        <v>7</v>
      </c>
      <c r="B8" s="3">
        <f ca="1">IFERROR(__xludf.DUMMYFUNCTION("""COMPUTED_VALUE"""),181)</f>
        <v>181</v>
      </c>
      <c r="C8" s="3" t="str">
        <f ca="1">IFERROR(__xludf.DUMMYFUNCTION("""COMPUTED_VALUE"""),"Hunter Henry")</f>
        <v>Hunter Henry</v>
      </c>
      <c r="D8" s="3" t="str">
        <f ca="1">IFERROR(__xludf.DUMMYFUNCTION("""COMPUTED_VALUE"""),"TE")</f>
        <v>TE</v>
      </c>
      <c r="E8" s="21">
        <v>1</v>
      </c>
      <c r="L8" s="24"/>
    </row>
    <row r="9" spans="1:12" ht="13" x14ac:dyDescent="0.15">
      <c r="A9" s="16">
        <f t="shared" si="0"/>
        <v>8</v>
      </c>
      <c r="B9" s="3">
        <f ca="1">IFERROR(__xludf.DUMMYFUNCTION("""COMPUTED_VALUE"""),51)</f>
        <v>51</v>
      </c>
      <c r="C9" s="3" t="str">
        <f ca="1">IFERROR(__xludf.DUMMYFUNCTION("""COMPUTED_VALUE"""),"Jared Cook")</f>
        <v>Jared Cook</v>
      </c>
      <c r="D9" s="3" t="str">
        <f ca="1">IFERROR(__xludf.DUMMYFUNCTION("""COMPUTED_VALUE"""),"TE")</f>
        <v>TE</v>
      </c>
      <c r="E9">
        <v>1</v>
      </c>
      <c r="L9" s="24"/>
    </row>
    <row r="10" spans="1:12" ht="13" x14ac:dyDescent="0.15">
      <c r="A10" s="16">
        <f t="shared" si="0"/>
        <v>9</v>
      </c>
      <c r="B10" s="3">
        <f ca="1">IFERROR(__xludf.DUMMYFUNCTION("""COMPUTED_VALUE"""),207)</f>
        <v>207</v>
      </c>
      <c r="C10" s="3" t="str">
        <f ca="1">IFERROR(__xludf.DUMMYFUNCTION("""COMPUTED_VALUE"""),"Vance McDonald")</f>
        <v>Vance McDonald</v>
      </c>
      <c r="D10" s="3" t="str">
        <f ca="1">IFERROR(__xludf.DUMMYFUNCTION("""COMPUTED_VALUE"""),"TE")</f>
        <v>TE</v>
      </c>
      <c r="E10">
        <v>1</v>
      </c>
      <c r="L10" s="24"/>
    </row>
    <row r="11" spans="1:12" ht="13" x14ac:dyDescent="0.15">
      <c r="A11" s="16">
        <f t="shared" si="0"/>
        <v>10</v>
      </c>
      <c r="B11" s="3">
        <f ca="1">IFERROR(__xludf.DUMMYFUNCTION("""COMPUTED_VALUE"""),141)</f>
        <v>141</v>
      </c>
      <c r="C11" s="3" t="str">
        <f ca="1">IFERROR(__xludf.DUMMYFUNCTION("""COMPUTED_VALUE"""),"Delanie Walker")</f>
        <v>Delanie Walker</v>
      </c>
      <c r="D11" s="3" t="str">
        <f ca="1">IFERROR(__xludf.DUMMYFUNCTION("""COMPUTED_VALUE"""),"TE")</f>
        <v>TE</v>
      </c>
      <c r="L11" s="24"/>
    </row>
    <row r="12" spans="1:12" ht="13" x14ac:dyDescent="0.15">
      <c r="A12" s="16">
        <f t="shared" si="0"/>
        <v>11</v>
      </c>
      <c r="B12" s="3">
        <f ca="1">IFERROR(__xludf.DUMMYFUNCTION("""COMPUTED_VALUE"""),32)</f>
        <v>32</v>
      </c>
      <c r="C12" s="3" t="str">
        <f ca="1">IFERROR(__xludf.DUMMYFUNCTION("""COMPUTED_VALUE"""),"David Njoku")</f>
        <v>David Njoku</v>
      </c>
      <c r="D12" s="3" t="str">
        <f ca="1">IFERROR(__xludf.DUMMYFUNCTION("""COMPUTED_VALUE"""),"TE")</f>
        <v>TE</v>
      </c>
      <c r="I12" s="63"/>
      <c r="J12" s="64"/>
      <c r="K12" s="64"/>
      <c r="L12" s="64"/>
    </row>
    <row r="13" spans="1:12" ht="13" x14ac:dyDescent="0.15">
      <c r="A13" s="16">
        <f t="shared" si="0"/>
        <v>12</v>
      </c>
      <c r="B13" s="3">
        <f ca="1">IFERROR(__xludf.DUMMYFUNCTION("""COMPUTED_VALUE"""),8)</f>
        <v>8</v>
      </c>
      <c r="C13" s="3" t="str">
        <f ca="1">IFERROR(__xludf.DUMMYFUNCTION("""COMPUTED_VALUE"""),"Austin Hooper")</f>
        <v>Austin Hooper</v>
      </c>
      <c r="D13" s="3" t="str">
        <f ca="1">IFERROR(__xludf.DUMMYFUNCTION("""COMPUTED_VALUE"""),"TE")</f>
        <v>TE</v>
      </c>
      <c r="E13">
        <v>1</v>
      </c>
      <c r="I13" s="28"/>
      <c r="J13" s="57"/>
      <c r="K13" s="57"/>
      <c r="L13" s="57"/>
    </row>
    <row r="14" spans="1:12" ht="13" x14ac:dyDescent="0.15">
      <c r="A14" s="16">
        <f t="shared" si="0"/>
        <v>13</v>
      </c>
      <c r="B14" s="3">
        <f ca="1">IFERROR(__xludf.DUMMYFUNCTION("""COMPUTED_VALUE"""),290)</f>
        <v>290</v>
      </c>
      <c r="C14" s="3" t="str">
        <f ca="1">IFERROR(__xludf.DUMMYFUNCTION("""COMPUTED_VALUE"""),"Trey Burton")</f>
        <v>Trey Burton</v>
      </c>
      <c r="D14" s="3" t="str">
        <f ca="1">IFERROR(__xludf.DUMMYFUNCTION("""COMPUTED_VALUE"""),"TE")</f>
        <v>TE</v>
      </c>
      <c r="I14" s="28"/>
      <c r="J14" s="28"/>
      <c r="K14" s="28"/>
      <c r="L14" s="57"/>
    </row>
    <row r="15" spans="1:12" ht="13" x14ac:dyDescent="0.15">
      <c r="A15" s="16">
        <f t="shared" si="0"/>
        <v>14</v>
      </c>
      <c r="B15" s="3">
        <f ca="1">IFERROR(__xludf.DUMMYFUNCTION("""COMPUTED_VALUE"""),553)</f>
        <v>553</v>
      </c>
      <c r="C15" s="3" t="str">
        <f ca="1">IFERROR(__xludf.DUMMYFUNCTION("""COMPUTED_VALUE"""),"Mark Andrews")</f>
        <v>Mark Andrews</v>
      </c>
      <c r="D15" s="3" t="str">
        <f ca="1">IFERROR(__xludf.DUMMYFUNCTION("""COMPUTED_VALUE"""),"TE")</f>
        <v>TE</v>
      </c>
      <c r="F15" s="21"/>
      <c r="I15" s="28"/>
      <c r="J15" s="31"/>
      <c r="K15" s="28"/>
      <c r="L15" s="57"/>
    </row>
    <row r="16" spans="1:12" ht="13" x14ac:dyDescent="0.15">
      <c r="A16" s="16">
        <f t="shared" si="0"/>
        <v>15</v>
      </c>
      <c r="B16" s="3">
        <f ca="1">IFERROR(__xludf.DUMMYFUNCTION("""COMPUTED_VALUE"""),184)</f>
        <v>184</v>
      </c>
      <c r="C16" s="3" t="str">
        <f ca="1">IFERROR(__xludf.DUMMYFUNCTION("""COMPUTED_VALUE"""),"Jack Doyle")</f>
        <v>Jack Doyle</v>
      </c>
      <c r="D16" s="3" t="str">
        <f ca="1">IFERROR(__xludf.DUMMYFUNCTION("""COMPUTED_VALUE"""),"TE")</f>
        <v>TE</v>
      </c>
      <c r="E16" s="21"/>
      <c r="I16" s="28"/>
      <c r="J16" s="28"/>
      <c r="K16" s="28"/>
      <c r="L16" s="57"/>
    </row>
    <row r="17" spans="1:12" ht="13" x14ac:dyDescent="0.15">
      <c r="A17" s="16">
        <f t="shared" si="0"/>
        <v>16</v>
      </c>
      <c r="B17" s="3">
        <f ca="1">IFERROR(__xludf.DUMMYFUNCTION("""COMPUTED_VALUE"""),45)</f>
        <v>45</v>
      </c>
      <c r="C17" s="3" t="str">
        <f ca="1">IFERROR(__xludf.DUMMYFUNCTION("""COMPUTED_VALUE"""),"Greg Olsen")</f>
        <v>Greg Olsen</v>
      </c>
      <c r="D17" s="3" t="str">
        <f ca="1">IFERROR(__xludf.DUMMYFUNCTION("""COMPUTED_VALUE"""),"TE")</f>
        <v>TE</v>
      </c>
      <c r="E17">
        <v>1</v>
      </c>
    </row>
    <row r="18" spans="1:12" ht="13" x14ac:dyDescent="0.15">
      <c r="A18" s="16">
        <f t="shared" si="0"/>
        <v>17</v>
      </c>
      <c r="B18" s="3">
        <f ca="1">IFERROR(__xludf.DUMMYFUNCTION("""COMPUTED_VALUE"""),215)</f>
        <v>215</v>
      </c>
      <c r="C18" s="3" t="str">
        <f ca="1">IFERROR(__xludf.DUMMYFUNCTION("""COMPUTED_VALUE"""),"Jordan Reed")</f>
        <v>Jordan Reed</v>
      </c>
      <c r="D18" s="3" t="str">
        <f ca="1">IFERROR(__xludf.DUMMYFUNCTION("""COMPUTED_VALUE"""),"TE")</f>
        <v>TE</v>
      </c>
      <c r="I18" s="63"/>
      <c r="J18" s="64"/>
      <c r="K18" s="64"/>
      <c r="L18" s="64"/>
    </row>
    <row r="19" spans="1:12" ht="13" x14ac:dyDescent="0.15">
      <c r="A19" s="16">
        <f t="shared" si="0"/>
        <v>18</v>
      </c>
      <c r="B19" s="3">
        <f ca="1">IFERROR(__xludf.DUMMYFUNCTION("""COMPUTED_VALUE"""),243)</f>
        <v>243</v>
      </c>
      <c r="C19" s="3" t="str">
        <f ca="1">IFERROR(__xludf.DUMMYFUNCTION("""COMPUTED_VALUE"""),"Kyle Rudolph")</f>
        <v>Kyle Rudolph</v>
      </c>
      <c r="D19" s="3" t="str">
        <f ca="1">IFERROR(__xludf.DUMMYFUNCTION("""COMPUTED_VALUE"""),"TE")</f>
        <v>TE</v>
      </c>
      <c r="E19">
        <v>1</v>
      </c>
      <c r="I19" s="28"/>
      <c r="J19" s="28"/>
      <c r="K19" s="28"/>
      <c r="L19" s="57"/>
    </row>
    <row r="20" spans="1:12" ht="13" x14ac:dyDescent="0.15">
      <c r="A20" s="16">
        <f t="shared" si="0"/>
        <v>19</v>
      </c>
      <c r="B20" s="3">
        <f ca="1">IFERROR(__xludf.DUMMYFUNCTION("""COMPUTED_VALUE"""),204)</f>
        <v>204</v>
      </c>
      <c r="C20" s="3" t="str">
        <f ca="1">IFERROR(__xludf.DUMMYFUNCTION("""COMPUTED_VALUE"""),"Jimmy Graham")</f>
        <v>Jimmy Graham</v>
      </c>
      <c r="D20" s="3" t="str">
        <f ca="1">IFERROR(__xludf.DUMMYFUNCTION("""COMPUTED_VALUE"""),"TE")</f>
        <v>TE</v>
      </c>
      <c r="E20">
        <v>1</v>
      </c>
      <c r="I20" s="28"/>
      <c r="J20" s="28"/>
      <c r="K20" s="28"/>
      <c r="L20" s="57"/>
    </row>
    <row r="21" spans="1:12" ht="13" x14ac:dyDescent="0.15">
      <c r="A21" s="16">
        <f t="shared" si="0"/>
        <v>20</v>
      </c>
      <c r="B21" s="3">
        <f ca="1">IFERROR(__xludf.DUMMYFUNCTION("""COMPUTED_VALUE"""),552)</f>
        <v>552</v>
      </c>
      <c r="C21" s="3" t="str">
        <f ca="1">IFERROR(__xludf.DUMMYFUNCTION("""COMPUTED_VALUE"""),"Chris Herndon")</f>
        <v>Chris Herndon</v>
      </c>
      <c r="D21" s="3" t="str">
        <f ca="1">IFERROR(__xludf.DUMMYFUNCTION("""COMPUTED_VALUE"""),"TE")</f>
        <v>TE</v>
      </c>
      <c r="I21" s="28"/>
      <c r="J21" s="28"/>
      <c r="K21" s="28"/>
      <c r="L21" s="57"/>
    </row>
    <row r="22" spans="1:12" ht="13" x14ac:dyDescent="0.15">
      <c r="A22" s="16">
        <f t="shared" si="0"/>
        <v>21</v>
      </c>
      <c r="B22" s="3">
        <f ca="1">IFERROR(__xludf.DUMMYFUNCTION("""COMPUTED_VALUE"""),563)</f>
        <v>563</v>
      </c>
      <c r="C22" s="3" t="str">
        <f ca="1">IFERROR(__xludf.DUMMYFUNCTION("""COMPUTED_VALUE"""),"Dallas Goedert")</f>
        <v>Dallas Goedert</v>
      </c>
      <c r="D22" s="3" t="str">
        <f ca="1">IFERROR(__xludf.DUMMYFUNCTION("""COMPUTED_VALUE"""),"TE")</f>
        <v>TE</v>
      </c>
      <c r="E22">
        <v>1</v>
      </c>
    </row>
    <row r="23" spans="1:12" ht="13" x14ac:dyDescent="0.15">
      <c r="A23" s="16">
        <f t="shared" si="0"/>
        <v>22</v>
      </c>
      <c r="B23" s="3">
        <f ca="1">IFERROR(__xludf.DUMMYFUNCTION("""COMPUTED_VALUE"""),717)</f>
        <v>717</v>
      </c>
      <c r="C23" s="3" t="str">
        <f ca="1">IFERROR(__xludf.DUMMYFUNCTION("""COMPUTED_VALUE"""),"T.J. Hockenson")</f>
        <v>T.J. Hockenson</v>
      </c>
      <c r="D23" s="3" t="str">
        <f ca="1">IFERROR(__xludf.DUMMYFUNCTION("""COMPUTED_VALUE"""),"TE")</f>
        <v>TE</v>
      </c>
      <c r="E23">
        <v>1</v>
      </c>
      <c r="I23" s="63"/>
      <c r="J23" s="64"/>
      <c r="K23" s="64"/>
      <c r="L23" s="64"/>
    </row>
    <row r="24" spans="1:12" ht="13" x14ac:dyDescent="0.15">
      <c r="A24" s="16">
        <f>+A23+1</f>
        <v>23</v>
      </c>
      <c r="B24" s="2">
        <v>41</v>
      </c>
      <c r="C24" s="2" t="s">
        <v>46</v>
      </c>
      <c r="D24" s="2" t="s">
        <v>4</v>
      </c>
      <c r="E24">
        <v>1</v>
      </c>
      <c r="I24" s="28"/>
      <c r="J24" s="28"/>
      <c r="K24" s="57"/>
      <c r="L24" s="57"/>
    </row>
    <row r="25" spans="1:12" ht="13" x14ac:dyDescent="0.15">
      <c r="A25" s="16">
        <f>+A24+1</f>
        <v>24</v>
      </c>
      <c r="B25" s="3">
        <f ca="1">IFERROR(__xludf.DUMMYFUNCTION("""COMPUTED_VALUE"""),441)</f>
        <v>441</v>
      </c>
      <c r="C25" s="3" t="str">
        <f ca="1">IFERROR(__xludf.DUMMYFUNCTION("""COMPUTED_VALUE"""),"Tyler Eifert")</f>
        <v>Tyler Eifert</v>
      </c>
      <c r="D25" s="3" t="str">
        <f ca="1">IFERROR(__xludf.DUMMYFUNCTION("""COMPUTED_VALUE"""),"TE")</f>
        <v>TE</v>
      </c>
      <c r="E25">
        <v>1</v>
      </c>
      <c r="I25" s="28"/>
      <c r="J25" s="28"/>
      <c r="K25" s="28"/>
      <c r="L25" s="59"/>
    </row>
    <row r="26" spans="1:12" ht="13" x14ac:dyDescent="0.15">
      <c r="A26" s="16">
        <f t="shared" si="0"/>
        <v>25</v>
      </c>
      <c r="B26" s="3">
        <f ca="1">IFERROR(__xludf.DUMMYFUNCTION("""COMPUTED_VALUE"""),722)</f>
        <v>722</v>
      </c>
      <c r="C26" s="3" t="str">
        <f ca="1">IFERROR(__xludf.DUMMYFUNCTION("""COMPUTED_VALUE"""),"Noah Fant")</f>
        <v>Noah Fant</v>
      </c>
      <c r="D26" s="3" t="str">
        <f ca="1">IFERROR(__xludf.DUMMYFUNCTION("""COMPUTED_VALUE"""),"TE")</f>
        <v>TE</v>
      </c>
      <c r="I26" s="28"/>
      <c r="J26" s="28"/>
      <c r="K26" s="28"/>
    </row>
    <row r="27" spans="1:12" ht="13" x14ac:dyDescent="0.15">
      <c r="A27" s="16">
        <f t="shared" si="0"/>
        <v>26</v>
      </c>
      <c r="B27" s="3">
        <f ca="1">IFERROR(__xludf.DUMMYFUNCTION("""COMPUTED_VALUE"""),107)</f>
        <v>107</v>
      </c>
      <c r="C27" s="3" t="str">
        <f ca="1">IFERROR(__xludf.DUMMYFUNCTION("""COMPUTED_VALUE"""),"Gerald Everett")</f>
        <v>Gerald Everett</v>
      </c>
      <c r="D27" s="3" t="str">
        <f ca="1">IFERROR(__xludf.DUMMYFUNCTION("""COMPUTED_VALUE"""),"TE")</f>
        <v>TE</v>
      </c>
      <c r="E27">
        <v>1</v>
      </c>
    </row>
    <row r="28" spans="1:12" ht="13" x14ac:dyDescent="0.15">
      <c r="A28" s="16">
        <f t="shared" si="0"/>
        <v>27</v>
      </c>
      <c r="B28" s="3">
        <f ca="1">IFERROR(__xludf.DUMMYFUNCTION("""COMPUTED_VALUE"""),193)</f>
        <v>193</v>
      </c>
      <c r="C28" s="3" t="str">
        <f ca="1">IFERROR(__xludf.DUMMYFUNCTION("""COMPUTED_VALUE"""),"Jason Witten")</f>
        <v>Jason Witten</v>
      </c>
      <c r="D28" s="3" t="str">
        <f ca="1">IFERROR(__xludf.DUMMYFUNCTION("""COMPUTED_VALUE"""),"TE")</f>
        <v>TE</v>
      </c>
      <c r="E28">
        <v>1</v>
      </c>
    </row>
    <row r="29" spans="1:12" ht="13" x14ac:dyDescent="0.15">
      <c r="A29" s="16">
        <f t="shared" si="0"/>
        <v>28</v>
      </c>
      <c r="B29" s="3">
        <f ca="1">IFERROR(__xludf.DUMMYFUNCTION("""COMPUTED_VALUE"""),10)</f>
        <v>10</v>
      </c>
      <c r="C29" s="3" t="str">
        <f ca="1">IFERROR(__xludf.DUMMYFUNCTION("""COMPUTED_VALUE"""),"Ben Watson")</f>
        <v>Ben Watson</v>
      </c>
      <c r="D29" s="3" t="str">
        <f ca="1">IFERROR(__xludf.DUMMYFUNCTION("""COMPUTED_VALUE"""),"TE")</f>
        <v>TE</v>
      </c>
    </row>
    <row r="30" spans="1:12" ht="13" x14ac:dyDescent="0.15">
      <c r="A30" s="16">
        <f t="shared" si="0"/>
        <v>29</v>
      </c>
      <c r="B30" s="3">
        <f ca="1">IFERROR(__xludf.DUMMYFUNCTION("""COMPUTED_VALUE"""),342)</f>
        <v>342</v>
      </c>
      <c r="C30" s="3" t="str">
        <f ca="1">IFERROR(__xludf.DUMMYFUNCTION("""COMPUTED_VALUE"""),"Rob Gronkowski")</f>
        <v>Rob Gronkowski</v>
      </c>
      <c r="D30" s="3" t="str">
        <f ca="1">IFERROR(__xludf.DUMMYFUNCTION("""COMPUTED_VALUE"""),"TE")</f>
        <v>TE</v>
      </c>
    </row>
    <row r="31" spans="1:12" ht="13" x14ac:dyDescent="0.15">
      <c r="A31" s="16">
        <f t="shared" si="0"/>
        <v>30</v>
      </c>
      <c r="B31" s="3">
        <f ca="1">IFERROR(__xludf.DUMMYFUNCTION("""COMPUTED_VALUE"""),608)</f>
        <v>608</v>
      </c>
      <c r="C31" s="3" t="str">
        <f ca="1">IFERROR(__xludf.DUMMYFUNCTION("""COMPUTED_VALUE"""),"Mike Gesicki")</f>
        <v>Mike Gesicki</v>
      </c>
      <c r="D31" s="3" t="str">
        <f ca="1">IFERROR(__xludf.DUMMYFUNCTION("""COMPUTED_VALUE"""),"TE")</f>
        <v>TE</v>
      </c>
      <c r="E31">
        <v>1</v>
      </c>
    </row>
    <row r="32" spans="1:12" ht="13" x14ac:dyDescent="0.15">
      <c r="A32" s="16">
        <f t="shared" si="0"/>
        <v>31</v>
      </c>
      <c r="B32" s="3">
        <f ca="1">IFERROR(__xludf.DUMMYFUNCTION("""COMPUTED_VALUE"""),572)</f>
        <v>572</v>
      </c>
      <c r="C32" s="3" t="str">
        <f ca="1">IFERROR(__xludf.DUMMYFUNCTION("""COMPUTED_VALUE"""),"Ian Thomas")</f>
        <v>Ian Thomas</v>
      </c>
      <c r="D32" s="3" t="str">
        <f ca="1">IFERROR(__xludf.DUMMYFUNCTION("""COMPUTED_VALUE"""),"TE")</f>
        <v>TE</v>
      </c>
    </row>
    <row r="33" spans="1:5" ht="13" x14ac:dyDescent="0.15">
      <c r="A33" s="16">
        <f t="shared" si="0"/>
        <v>32</v>
      </c>
      <c r="B33" s="3">
        <f ca="1">IFERROR(__xludf.DUMMYFUNCTION("""COMPUTED_VALUE"""),586)</f>
        <v>586</v>
      </c>
      <c r="C33" s="3" t="str">
        <f ca="1">IFERROR(__xludf.DUMMYFUNCTION("""COMPUTED_VALUE"""),"Matt LaCosse")</f>
        <v>Matt LaCosse</v>
      </c>
      <c r="D33" s="3" t="str">
        <f ca="1">IFERROR(__xludf.DUMMYFUNCTION("""COMPUTED_VALUE"""),"TE")</f>
        <v>TE</v>
      </c>
      <c r="E33">
        <v>1</v>
      </c>
    </row>
    <row r="34" spans="1:5" ht="13" x14ac:dyDescent="0.15">
      <c r="A34" s="16">
        <f t="shared" si="0"/>
        <v>33</v>
      </c>
      <c r="B34" s="3">
        <f ca="1">IFERROR(__xludf.DUMMYFUNCTION("""COMPUTED_VALUE"""),591)</f>
        <v>591</v>
      </c>
      <c r="C34" s="3" t="str">
        <f ca="1">IFERROR(__xludf.DUMMYFUNCTION("""COMPUTED_VALUE"""),"Will Dissly")</f>
        <v>Will Dissly</v>
      </c>
      <c r="D34" s="3" t="str">
        <f ca="1">IFERROR(__xludf.DUMMYFUNCTION("""COMPUTED_VALUE"""),"TE")</f>
        <v>TE</v>
      </c>
      <c r="E34">
        <v>1</v>
      </c>
    </row>
    <row r="35" spans="1:5" ht="13" x14ac:dyDescent="0.15">
      <c r="A35" s="16">
        <f t="shared" si="0"/>
        <v>34</v>
      </c>
      <c r="B35" s="3">
        <f ca="1">IFERROR(__xludf.DUMMYFUNCTION("""COMPUTED_VALUE"""),570)</f>
        <v>570</v>
      </c>
      <c r="C35" s="3" t="str">
        <f ca="1">IFERROR(__xludf.DUMMYFUNCTION("""COMPUTED_VALUE"""),"Jordan Thomas")</f>
        <v>Jordan Thomas</v>
      </c>
      <c r="D35" s="3" t="str">
        <f ca="1">IFERROR(__xludf.DUMMYFUNCTION("""COMPUTED_VALUE"""),"TE")</f>
        <v>TE</v>
      </c>
    </row>
    <row r="36" spans="1:5" ht="13" x14ac:dyDescent="0.15">
      <c r="A36" s="16">
        <f t="shared" si="0"/>
        <v>35</v>
      </c>
      <c r="B36" s="3">
        <f ca="1">IFERROR(__xludf.DUMMYFUNCTION("""COMPUTED_VALUE"""),603)</f>
        <v>603</v>
      </c>
      <c r="C36" s="3" t="str">
        <f ca="1">IFERROR(__xludf.DUMMYFUNCTION("""COMPUTED_VALUE"""),"Hayden Hurst")</f>
        <v>Hayden Hurst</v>
      </c>
      <c r="D36" s="3" t="str">
        <f ca="1">IFERROR(__xludf.DUMMYFUNCTION("""COMPUTED_VALUE"""),"TE")</f>
        <v>TE</v>
      </c>
    </row>
    <row r="37" spans="1:5" ht="13" x14ac:dyDescent="0.15">
      <c r="A37" s="16">
        <f t="shared" si="0"/>
        <v>36</v>
      </c>
      <c r="B37" s="3">
        <f ca="1">IFERROR(__xludf.DUMMYFUNCTION("""COMPUTED_VALUE"""),369)</f>
        <v>369</v>
      </c>
      <c r="C37" s="3" t="str">
        <f ca="1">IFERROR(__xludf.DUMMYFUNCTION("""COMPUTED_VALUE"""),"Vernon Davis")</f>
        <v>Vernon Davis</v>
      </c>
      <c r="D37" s="3" t="str">
        <f ca="1">IFERROR(__xludf.DUMMYFUNCTION("""COMPUTED_VALUE"""),"TE")</f>
        <v>TE</v>
      </c>
      <c r="E37">
        <v>1</v>
      </c>
    </row>
    <row r="38" spans="1:5" ht="13" x14ac:dyDescent="0.15">
      <c r="A38" s="16">
        <f t="shared" si="0"/>
        <v>37</v>
      </c>
      <c r="B38" s="3">
        <f ca="1">IFERROR(__xludf.DUMMYFUNCTION("""COMPUTED_VALUE"""),119)</f>
        <v>119</v>
      </c>
      <c r="C38" s="3" t="str">
        <f ca="1">IFERROR(__xludf.DUMMYFUNCTION("""COMPUTED_VALUE"""),"Cameron Brate")</f>
        <v>Cameron Brate</v>
      </c>
      <c r="D38" s="3" t="str">
        <f ca="1">IFERROR(__xludf.DUMMYFUNCTION("""COMPUTED_VALUE"""),"TE")</f>
        <v>TE</v>
      </c>
      <c r="E38">
        <v>1</v>
      </c>
    </row>
    <row r="39" spans="1:5" ht="13" x14ac:dyDescent="0.15">
      <c r="A39" s="16">
        <f t="shared" si="0"/>
        <v>38</v>
      </c>
      <c r="B39" s="3">
        <f ca="1">IFERROR(__xludf.DUMMYFUNCTION("""COMPUTED_VALUE"""),54)</f>
        <v>54</v>
      </c>
      <c r="C39" s="3" t="str">
        <f ca="1">IFERROR(__xludf.DUMMYFUNCTION("""COMPUTED_VALUE"""),"Jesse James")</f>
        <v>Jesse James</v>
      </c>
      <c r="D39" s="3" t="str">
        <f ca="1">IFERROR(__xludf.DUMMYFUNCTION("""COMPUTED_VALUE"""),"TE")</f>
        <v>TE</v>
      </c>
    </row>
    <row r="40" spans="1:5" ht="13" x14ac:dyDescent="0.15">
      <c r="A40" s="16">
        <f t="shared" si="0"/>
        <v>39</v>
      </c>
      <c r="B40" s="3">
        <f ca="1">IFERROR(__xludf.DUMMYFUNCTION("""COMPUTED_VALUE"""),66)</f>
        <v>66</v>
      </c>
      <c r="C40" s="3" t="str">
        <f ca="1">IFERROR(__xludf.DUMMYFUNCTION("""COMPUTED_VALUE"""),"Ricky Seals-Jones")</f>
        <v>Ricky Seals-Jones</v>
      </c>
      <c r="D40" s="3" t="str">
        <f ca="1">IFERROR(__xludf.DUMMYFUNCTION("""COMPUTED_VALUE"""),"TE")</f>
        <v>TE</v>
      </c>
    </row>
    <row r="41" spans="1:5" ht="13" x14ac:dyDescent="0.15">
      <c r="A41" s="16">
        <f t="shared" si="0"/>
        <v>40</v>
      </c>
      <c r="B41" s="3">
        <f ca="1">IFERROR(__xludf.DUMMYFUNCTION("""COMPUTED_VALUE"""),737)</f>
        <v>737</v>
      </c>
      <c r="C41" s="3" t="str">
        <f ca="1">IFERROR(__xludf.DUMMYFUNCTION("""COMPUTED_VALUE"""),"Jace Sternberger")</f>
        <v>Jace Sternberger</v>
      </c>
      <c r="D41" s="3" t="str">
        <f ca="1">IFERROR(__xludf.DUMMYFUNCTION("""COMPUTED_VALUE"""),"TE")</f>
        <v>TE</v>
      </c>
    </row>
    <row r="42" spans="1:5" ht="13" x14ac:dyDescent="0.15">
      <c r="A42" s="16">
        <f t="shared" si="0"/>
        <v>41</v>
      </c>
      <c r="B42" s="3">
        <f ca="1">IFERROR(__xludf.DUMMYFUNCTION("""COMPUTED_VALUE"""),124)</f>
        <v>124</v>
      </c>
      <c r="C42" s="3" t="str">
        <f ca="1">IFERROR(__xludf.DUMMYFUNCTION("""COMPUTED_VALUE"""),"Charles Clay")</f>
        <v>Charles Clay</v>
      </c>
      <c r="D42" s="3" t="str">
        <f ca="1">IFERROR(__xludf.DUMMYFUNCTION("""COMPUTED_VALUE"""),"TE")</f>
        <v>TE</v>
      </c>
    </row>
    <row r="43" spans="1:5" ht="13" x14ac:dyDescent="0.15">
      <c r="A43" s="16">
        <f t="shared" si="0"/>
        <v>42</v>
      </c>
      <c r="B43" s="3">
        <f ca="1">IFERROR(__xludf.DUMMYFUNCTION("""COMPUTED_VALUE"""),173)</f>
        <v>173</v>
      </c>
      <c r="C43" s="3" t="str">
        <f ca="1">IFERROR(__xludf.DUMMYFUNCTION("""COMPUTED_VALUE"""),"Jonnu Smith")</f>
        <v>Jonnu Smith</v>
      </c>
      <c r="D43" s="3" t="str">
        <f ca="1">IFERROR(__xludf.DUMMYFUNCTION("""COMPUTED_VALUE"""),"TE")</f>
        <v>TE</v>
      </c>
      <c r="E43">
        <v>1</v>
      </c>
    </row>
    <row r="44" spans="1:5" ht="13" x14ac:dyDescent="0.15">
      <c r="A44" s="16">
        <f t="shared" si="0"/>
        <v>43</v>
      </c>
      <c r="B44" s="3">
        <f ca="1">IFERROR(__xludf.DUMMYFUNCTION("""COMPUTED_VALUE"""),731)</f>
        <v>731</v>
      </c>
      <c r="C44" s="3" t="str">
        <f ca="1">IFERROR(__xludf.DUMMYFUNCTION("""COMPUTED_VALUE"""),"Irv Smith Jr.")</f>
        <v>Irv Smith Jr.</v>
      </c>
      <c r="D44" s="3" t="str">
        <f ca="1">IFERROR(__xludf.DUMMYFUNCTION("""COMPUTED_VALUE"""),"TE")</f>
        <v>TE</v>
      </c>
      <c r="E44">
        <v>1</v>
      </c>
    </row>
    <row r="45" spans="1:5" ht="13" x14ac:dyDescent="0.15">
      <c r="A45" s="16">
        <f t="shared" si="0"/>
        <v>44</v>
      </c>
      <c r="B45" s="3">
        <f ca="1">IFERROR(__xludf.DUMMYFUNCTION("""COMPUTED_VALUE"""),477)</f>
        <v>477</v>
      </c>
      <c r="C45" s="3" t="str">
        <f ca="1">IFERROR(__xludf.DUMMYFUNCTION("""COMPUTED_VALUE"""),"Geoff Swaim")</f>
        <v>Geoff Swaim</v>
      </c>
      <c r="D45" s="3" t="str">
        <f ca="1">IFERROR(__xludf.DUMMYFUNCTION("""COMPUTED_VALUE"""),"TE")</f>
        <v>TE</v>
      </c>
      <c r="E45">
        <v>1</v>
      </c>
    </row>
    <row r="46" spans="1:5" ht="13" x14ac:dyDescent="0.15">
      <c r="A46" s="16">
        <f t="shared" si="0"/>
        <v>45</v>
      </c>
      <c r="B46" s="3">
        <f ca="1">IFERROR(__xludf.DUMMYFUNCTION("""COMPUTED_VALUE"""),158)</f>
        <v>158</v>
      </c>
      <c r="C46" s="3" t="str">
        <f ca="1">IFERROR(__xludf.DUMMYFUNCTION("""COMPUTED_VALUE"""),"Demetrius Harris")</f>
        <v>Demetrius Harris</v>
      </c>
      <c r="D46" s="3" t="str">
        <f ca="1">IFERROR(__xludf.DUMMYFUNCTION("""COMPUTED_VALUE"""),"TE")</f>
        <v>TE</v>
      </c>
      <c r="E46">
        <v>1</v>
      </c>
    </row>
    <row r="47" spans="1:5" ht="13" x14ac:dyDescent="0.15">
      <c r="A47" s="16"/>
      <c r="B47" s="3">
        <f ca="1">IFERROR(__xludf.DUMMYFUNCTION("""COMPUTED_VALUE"""),108)</f>
        <v>108</v>
      </c>
      <c r="C47" s="3" t="str">
        <f ca="1">IFERROR(__xludf.DUMMYFUNCTION("""COMPUTED_VALUE"""),"Darren Fells")</f>
        <v>Darren Fells</v>
      </c>
      <c r="D47" s="3" t="str">
        <f ca="1">IFERROR(__xludf.DUMMYFUNCTION("""COMPUTED_VALUE"""),"TE")</f>
        <v>TE</v>
      </c>
      <c r="E47">
        <v>1</v>
      </c>
    </row>
    <row r="48" spans="1:5" ht="13" x14ac:dyDescent="0.15">
      <c r="A48" s="9">
        <f>+A41+1</f>
        <v>41</v>
      </c>
      <c r="B48" s="3">
        <f ca="1">IFERROR(__xludf.DUMMYFUNCTION("""COMPUTED_VALUE"""),741)</f>
        <v>741</v>
      </c>
      <c r="C48" s="3" t="str">
        <f ca="1">IFERROR(__xludf.DUMMYFUNCTION("""COMPUTED_VALUE"""),"Dawson Knox")</f>
        <v>Dawson Knox</v>
      </c>
      <c r="D48" s="3" t="str">
        <f ca="1">IFERROR(__xludf.DUMMYFUNCTION("""COMPUTED_VALUE"""),"TE")</f>
        <v>TE</v>
      </c>
    </row>
    <row r="49" spans="1:4" ht="13" x14ac:dyDescent="0.15">
      <c r="A49" s="9"/>
      <c r="B49" s="3"/>
      <c r="C49" s="3"/>
      <c r="D49" s="3"/>
    </row>
    <row r="50" spans="1:4" ht="13" x14ac:dyDescent="0.15">
      <c r="A50" s="18"/>
      <c r="B50" s="12">
        <f ca="1">IFERROR(__xludf.DUMMYFUNCTION("""COMPUTED_VALUE"""),604)</f>
        <v>604</v>
      </c>
      <c r="C50" s="12" t="str">
        <f ca="1">IFERROR(__xludf.DUMMYFUNCTION("""COMPUTED_VALUE"""),"Dan Arnold")</f>
        <v>Dan Arnold</v>
      </c>
      <c r="D50" s="12" t="str">
        <f ca="1">IFERROR(__xludf.DUMMYFUNCTION("""COMPUTED_VALUE"""),"TE")</f>
        <v>TE</v>
      </c>
    </row>
    <row r="51" spans="1:4" ht="13" x14ac:dyDescent="0.15">
      <c r="A51" s="16"/>
      <c r="B51" s="3">
        <f ca="1">IFERROR(__xludf.DUMMYFUNCTION("FILTER(All_Players!A2:C866, All_Players!C2:All_Players!C866= ""TE"")"),1)</f>
        <v>1</v>
      </c>
      <c r="C51" s="3" t="str">
        <f ca="1">IFERROR(__xludf.DUMMYFUNCTION("""COMPUTED_VALUE"""),"A.J. Derby")</f>
        <v>A.J. Derby</v>
      </c>
      <c r="D51" s="3" t="str">
        <f ca="1">IFERROR(__xludf.DUMMYFUNCTION("""COMPUTED_VALUE"""),"TE")</f>
        <v>TE</v>
      </c>
    </row>
    <row r="52" spans="1:4" ht="13" x14ac:dyDescent="0.15">
      <c r="A52" s="16"/>
      <c r="B52" s="3">
        <f ca="1">IFERROR(__xludf.DUMMYFUNCTION("""COMPUTED_VALUE"""),6)</f>
        <v>6</v>
      </c>
      <c r="C52" s="3" t="str">
        <f ca="1">IFERROR(__xludf.DUMMYFUNCTION("""COMPUTED_VALUE"""),"Antonio Gates")</f>
        <v>Antonio Gates</v>
      </c>
      <c r="D52" s="3" t="str">
        <f ca="1">IFERROR(__xludf.DUMMYFUNCTION("""COMPUTED_VALUE"""),"TE")</f>
        <v>TE</v>
      </c>
    </row>
    <row r="53" spans="1:4" ht="13" x14ac:dyDescent="0.15">
      <c r="A53" s="16"/>
      <c r="B53" s="3">
        <f ca="1">IFERROR(__xludf.DUMMYFUNCTION("""COMPUTED_VALUE"""),9)</f>
        <v>9</v>
      </c>
      <c r="C53" s="3" t="str">
        <f ca="1">IFERROR(__xludf.DUMMYFUNCTION("""COMPUTED_VALUE"""),"Austin Seferian-Jenkins")</f>
        <v>Austin Seferian-Jenkins</v>
      </c>
      <c r="D53" s="3" t="str">
        <f ca="1">IFERROR(__xludf.DUMMYFUNCTION("""COMPUTED_VALUE"""),"TE")</f>
        <v>TE</v>
      </c>
    </row>
    <row r="54" spans="1:4" ht="13" x14ac:dyDescent="0.15">
      <c r="A54" s="16"/>
      <c r="B54" s="3">
        <f ca="1">IFERROR(__xludf.DUMMYFUNCTION("""COMPUTED_VALUE"""),38)</f>
        <v>38</v>
      </c>
      <c r="C54" s="3" t="str">
        <f ca="1">IFERROR(__xludf.DUMMYFUNCTION("""COMPUTED_VALUE"""),"Ed Dickson")</f>
        <v>Ed Dickson</v>
      </c>
      <c r="D54" s="3" t="str">
        <f ca="1">IFERROR(__xludf.DUMMYFUNCTION("""COMPUTED_VALUE"""),"TE")</f>
        <v>TE</v>
      </c>
    </row>
    <row r="55" spans="1:4" ht="13" x14ac:dyDescent="0.15">
      <c r="A55" s="16"/>
      <c r="B55" s="3">
        <f ca="1">IFERROR(__xludf.DUMMYFUNCTION("""COMPUTED_VALUE"""),42)</f>
        <v>42</v>
      </c>
      <c r="C55" s="3" t="str">
        <f ca="1">IFERROR(__xludf.DUMMYFUNCTION("""COMPUTED_VALUE"""),"Garrett Celek")</f>
        <v>Garrett Celek</v>
      </c>
      <c r="D55" s="3" t="str">
        <f ca="1">IFERROR(__xludf.DUMMYFUNCTION("""COMPUTED_VALUE"""),"TE")</f>
        <v>TE</v>
      </c>
    </row>
    <row r="56" spans="1:4" ht="13" x14ac:dyDescent="0.15">
      <c r="A56" s="16"/>
      <c r="B56" s="3">
        <f ca="1">IFERROR(__xludf.DUMMYFUNCTION("""COMPUTED_VALUE"""),53)</f>
        <v>53</v>
      </c>
      <c r="C56" s="3" t="str">
        <f ca="1">IFERROR(__xludf.DUMMYFUNCTION("""COMPUTED_VALUE"""),"Jermaine Gresham")</f>
        <v>Jermaine Gresham</v>
      </c>
      <c r="D56" s="3" t="str">
        <f ca="1">IFERROR(__xludf.DUMMYFUNCTION("""COMPUTED_VALUE"""),"TE")</f>
        <v>TE</v>
      </c>
    </row>
    <row r="57" spans="1:4" ht="13" x14ac:dyDescent="0.15">
      <c r="A57" s="16"/>
      <c r="B57" s="3">
        <f ca="1">IFERROR(__xludf.DUMMYFUNCTION("""COMPUTED_VALUE"""),57)</f>
        <v>57</v>
      </c>
      <c r="C57" s="3" t="str">
        <f ca="1">IFERROR(__xludf.DUMMYFUNCTION("""COMPUTED_VALUE"""),"Julius Thomas")</f>
        <v>Julius Thomas</v>
      </c>
      <c r="D57" s="3" t="str">
        <f ca="1">IFERROR(__xludf.DUMMYFUNCTION("""COMPUTED_VALUE"""),"TE")</f>
        <v>TE</v>
      </c>
    </row>
    <row r="58" spans="1:4" ht="13" x14ac:dyDescent="0.15">
      <c r="A58" s="16"/>
      <c r="B58" s="3">
        <f ca="1">IFERROR(__xludf.DUMMYFUNCTION("""COMPUTED_VALUE"""),62)</f>
        <v>62</v>
      </c>
      <c r="C58" s="3" t="str">
        <f ca="1">IFERROR(__xludf.DUMMYFUNCTION("""COMPUTED_VALUE"""),"Marcedes Lewis")</f>
        <v>Marcedes Lewis</v>
      </c>
      <c r="D58" s="3" t="str">
        <f ca="1">IFERROR(__xludf.DUMMYFUNCTION("""COMPUTED_VALUE"""),"TE")</f>
        <v>TE</v>
      </c>
    </row>
    <row r="59" spans="1:4" ht="13" x14ac:dyDescent="0.15">
      <c r="A59" s="16"/>
      <c r="B59" s="3">
        <f ca="1">IFERROR(__xludf.DUMMYFUNCTION("""COMPUTED_VALUE"""),63)</f>
        <v>63</v>
      </c>
      <c r="C59" s="3" t="str">
        <f ca="1">IFERROR(__xludf.DUMMYFUNCTION("""COMPUTED_VALUE"""),"Martellus Bennett")</f>
        <v>Martellus Bennett</v>
      </c>
      <c r="D59" s="3" t="str">
        <f ca="1">IFERROR(__xludf.DUMMYFUNCTION("""COMPUTED_VALUE"""),"TE")</f>
        <v>TE</v>
      </c>
    </row>
    <row r="60" spans="1:4" ht="13" x14ac:dyDescent="0.15">
      <c r="A60" s="16"/>
      <c r="B60" s="3">
        <f ca="1">IFERROR(__xludf.DUMMYFUNCTION("""COMPUTED_VALUE"""),67)</f>
        <v>67</v>
      </c>
      <c r="C60" s="3" t="str">
        <f ca="1">IFERROR(__xludf.DUMMYFUNCTION("""COMPUTED_VALUE"""),"Seth Devalve")</f>
        <v>Seth Devalve</v>
      </c>
      <c r="D60" s="3" t="str">
        <f ca="1">IFERROR(__xludf.DUMMYFUNCTION("""COMPUTED_VALUE"""),"TE")</f>
        <v>TE</v>
      </c>
    </row>
    <row r="61" spans="1:4" ht="13" x14ac:dyDescent="0.15">
      <c r="A61" s="16"/>
      <c r="B61" s="3">
        <f ca="1">IFERROR(__xludf.DUMMYFUNCTION("""COMPUTED_VALUE"""),73)</f>
        <v>73</v>
      </c>
      <c r="C61" s="3" t="str">
        <f ca="1">IFERROR(__xludf.DUMMYFUNCTION("""COMPUTED_VALUE"""),"Nick O'Leary")</f>
        <v>Nick O'Leary</v>
      </c>
      <c r="D61" s="3" t="str">
        <f ca="1">IFERROR(__xludf.DUMMYFUNCTION("""COMPUTED_VALUE"""),"TE")</f>
        <v>TE</v>
      </c>
    </row>
    <row r="62" spans="1:4" ht="13" x14ac:dyDescent="0.15">
      <c r="A62" s="16"/>
      <c r="B62" s="3">
        <f ca="1">IFERROR(__xludf.DUMMYFUNCTION("""COMPUTED_VALUE"""),76)</f>
        <v>76</v>
      </c>
      <c r="C62" s="3" t="str">
        <f ca="1">IFERROR(__xludf.DUMMYFUNCTION("""COMPUTED_VALUE"""),"Ryan Griffin")</f>
        <v>Ryan Griffin</v>
      </c>
      <c r="D62" s="3" t="str">
        <f ca="1">IFERROR(__xludf.DUMMYFUNCTION("""COMPUTED_VALUE"""),"TE")</f>
        <v>TE</v>
      </c>
    </row>
    <row r="63" spans="1:4" ht="13" x14ac:dyDescent="0.15">
      <c r="A63" s="16"/>
      <c r="B63" s="3">
        <f ca="1">IFERROR(__xludf.DUMMYFUNCTION("""COMPUTED_VALUE"""),77)</f>
        <v>77</v>
      </c>
      <c r="C63" s="3" t="str">
        <f ca="1">IFERROR(__xludf.DUMMYFUNCTION("""COMPUTED_VALUE"""),"Stephen Anderson")</f>
        <v>Stephen Anderson</v>
      </c>
      <c r="D63" s="3" t="str">
        <f ca="1">IFERROR(__xludf.DUMMYFUNCTION("""COMPUTED_VALUE"""),"TE")</f>
        <v>TE</v>
      </c>
    </row>
    <row r="64" spans="1:4" ht="13" x14ac:dyDescent="0.15">
      <c r="A64" s="16"/>
      <c r="B64" s="3">
        <f ca="1">IFERROR(__xludf.DUMMYFUNCTION("""COMPUTED_VALUE"""),79)</f>
        <v>79</v>
      </c>
      <c r="C64" s="3" t="str">
        <f ca="1">IFERROR(__xludf.DUMMYFUNCTION("""COMPUTED_VALUE"""),"Luke Willson")</f>
        <v>Luke Willson</v>
      </c>
      <c r="D64" s="3" t="str">
        <f ca="1">IFERROR(__xludf.DUMMYFUNCTION("""COMPUTED_VALUE"""),"TE")</f>
        <v>TE</v>
      </c>
    </row>
    <row r="65" spans="1:4" ht="13" x14ac:dyDescent="0.15">
      <c r="A65" s="16"/>
      <c r="B65" s="3">
        <f ca="1">IFERROR(__xludf.DUMMYFUNCTION("""COMPUTED_VALUE"""),104)</f>
        <v>104</v>
      </c>
      <c r="C65" s="3" t="str">
        <f ca="1">IFERROR(__xludf.DUMMYFUNCTION("""COMPUTED_VALUE"""),"Tyler Higbee")</f>
        <v>Tyler Higbee</v>
      </c>
      <c r="D65" s="3" t="str">
        <f ca="1">IFERROR(__xludf.DUMMYFUNCTION("""COMPUTED_VALUE"""),"TE")</f>
        <v>TE</v>
      </c>
    </row>
    <row r="66" spans="1:4" ht="13" x14ac:dyDescent="0.15">
      <c r="A66" s="16"/>
      <c r="B66" s="3">
        <f ca="1">IFERROR(__xludf.DUMMYFUNCTION("""COMPUTED_VALUE"""),105)</f>
        <v>105</v>
      </c>
      <c r="C66" s="3" t="str">
        <f ca="1">IFERROR(__xludf.DUMMYFUNCTION("""COMPUTED_VALUE"""),"Rhett Ellison")</f>
        <v>Rhett Ellison</v>
      </c>
      <c r="D66" s="3" t="str">
        <f ca="1">IFERROR(__xludf.DUMMYFUNCTION("""COMPUTED_VALUE"""),"TE")</f>
        <v>TE</v>
      </c>
    </row>
    <row r="67" spans="1:4" ht="13" x14ac:dyDescent="0.15">
      <c r="A67" s="16"/>
      <c r="B67" s="3">
        <f ca="1">IFERROR(__xludf.DUMMYFUNCTION("""COMPUTED_VALUE"""),151)</f>
        <v>151</v>
      </c>
      <c r="C67" s="3" t="str">
        <f ca="1">IFERROR(__xludf.DUMMYFUNCTION("""COMPUTED_VALUE"""),"Adam Shaheen")</f>
        <v>Adam Shaheen</v>
      </c>
      <c r="D67" s="3" t="str">
        <f ca="1">IFERROR(__xludf.DUMMYFUNCTION("""COMPUTED_VALUE"""),"TE")</f>
        <v>TE</v>
      </c>
    </row>
    <row r="68" spans="1:4" ht="13" x14ac:dyDescent="0.15">
      <c r="A68" s="16"/>
      <c r="B68" s="3">
        <f ca="1">IFERROR(__xludf.DUMMYFUNCTION("""COMPUTED_VALUE"""),197)</f>
        <v>197</v>
      </c>
      <c r="C68" s="3" t="str">
        <f ca="1">IFERROR(__xludf.DUMMYFUNCTION("""COMPUTED_VALUE"""),"Lance Kendricks")</f>
        <v>Lance Kendricks</v>
      </c>
      <c r="D68" s="3" t="str">
        <f ca="1">IFERROR(__xludf.DUMMYFUNCTION("""COMPUTED_VALUE"""),"TE")</f>
        <v>TE</v>
      </c>
    </row>
    <row r="69" spans="1:4" ht="13" x14ac:dyDescent="0.15">
      <c r="A69" s="16"/>
      <c r="B69" s="3">
        <f ca="1">IFERROR(__xludf.DUMMYFUNCTION("""COMPUTED_VALUE"""),199)</f>
        <v>199</v>
      </c>
      <c r="C69" s="3" t="str">
        <f ca="1">IFERROR(__xludf.DUMMYFUNCTION("""COMPUTED_VALUE"""),"Jeff Heuerman")</f>
        <v>Jeff Heuerman</v>
      </c>
      <c r="D69" s="3" t="str">
        <f ca="1">IFERROR(__xludf.DUMMYFUNCTION("""COMPUTED_VALUE"""),"TE")</f>
        <v>TE</v>
      </c>
    </row>
    <row r="70" spans="1:4" ht="13" x14ac:dyDescent="0.15">
      <c r="A70" s="16"/>
      <c r="B70" s="3">
        <f ca="1">IFERROR(__xludf.DUMMYFUNCTION("""COMPUTED_VALUE"""),206)</f>
        <v>206</v>
      </c>
      <c r="C70" s="3" t="str">
        <f ca="1">IFERROR(__xludf.DUMMYFUNCTION("""COMPUTED_VALUE"""),"Virgil Green")</f>
        <v>Virgil Green</v>
      </c>
      <c r="D70" s="3" t="str">
        <f ca="1">IFERROR(__xludf.DUMMYFUNCTION("""COMPUTED_VALUE"""),"TE")</f>
        <v>TE</v>
      </c>
    </row>
    <row r="71" spans="1:4" ht="13" x14ac:dyDescent="0.15">
      <c r="A71" s="16"/>
      <c r="B71" s="3">
        <f ca="1">IFERROR(__xludf.DUMMYFUNCTION("""COMPUTED_VALUE"""),214)</f>
        <v>214</v>
      </c>
      <c r="C71" s="3" t="str">
        <f ca="1">IFERROR(__xludf.DUMMYFUNCTION("""COMPUTED_VALUE"""),"Dion Sims")</f>
        <v>Dion Sims</v>
      </c>
      <c r="D71" s="3" t="str">
        <f ca="1">IFERROR(__xludf.DUMMYFUNCTION("""COMPUTED_VALUE"""),"TE")</f>
        <v>TE</v>
      </c>
    </row>
    <row r="72" spans="1:4" ht="13" x14ac:dyDescent="0.15">
      <c r="A72" s="16"/>
      <c r="B72" s="3">
        <f ca="1">IFERROR(__xludf.DUMMYFUNCTION("""COMPUTED_VALUE"""),230)</f>
        <v>230</v>
      </c>
      <c r="C72" s="3" t="str">
        <f ca="1">IFERROR(__xludf.DUMMYFUNCTION("""COMPUTED_VALUE"""),"Nick Boyle")</f>
        <v>Nick Boyle</v>
      </c>
      <c r="D72" s="3" t="str">
        <f ca="1">IFERROR(__xludf.DUMMYFUNCTION("""COMPUTED_VALUE"""),"TE")</f>
        <v>TE</v>
      </c>
    </row>
    <row r="73" spans="1:4" ht="13" x14ac:dyDescent="0.15">
      <c r="A73" s="16"/>
      <c r="B73" s="3">
        <f ca="1">IFERROR(__xludf.DUMMYFUNCTION("""COMPUTED_VALUE"""),233)</f>
        <v>233</v>
      </c>
      <c r="C73" s="3" t="str">
        <f ca="1">IFERROR(__xludf.DUMMYFUNCTION("""COMPUTED_VALUE"""),"Richard Rodgers")</f>
        <v>Richard Rodgers</v>
      </c>
      <c r="D73" s="3" t="str">
        <f ca="1">IFERROR(__xludf.DUMMYFUNCTION("""COMPUTED_VALUE"""),"TE")</f>
        <v>TE</v>
      </c>
    </row>
    <row r="74" spans="1:4" ht="13" x14ac:dyDescent="0.15">
      <c r="A74" s="16"/>
      <c r="B74" s="3">
        <f ca="1">IFERROR(__xludf.DUMMYFUNCTION("""COMPUTED_VALUE"""),239)</f>
        <v>239</v>
      </c>
      <c r="C74" s="3" t="str">
        <f ca="1">IFERROR(__xludf.DUMMYFUNCTION("""COMPUTED_VALUE"""),"James O'Shaughnessy")</f>
        <v>James O'Shaughnessy</v>
      </c>
      <c r="D74" s="3" t="str">
        <f ca="1">IFERROR(__xludf.DUMMYFUNCTION("""COMPUTED_VALUE"""),"TE")</f>
        <v>TE</v>
      </c>
    </row>
    <row r="75" spans="1:4" ht="13" x14ac:dyDescent="0.15">
      <c r="A75" s="16"/>
      <c r="B75" s="3">
        <f ca="1">IFERROR(__xludf.DUMMYFUNCTION("""COMPUTED_VALUE"""),250)</f>
        <v>250</v>
      </c>
      <c r="C75" s="3" t="str">
        <f ca="1">IFERROR(__xludf.DUMMYFUNCTION("""COMPUTED_VALUE"""),"Brent Celek")</f>
        <v>Brent Celek</v>
      </c>
      <c r="D75" s="3" t="str">
        <f ca="1">IFERROR(__xludf.DUMMYFUNCTION("""COMPUTED_VALUE"""),"TE")</f>
        <v>TE</v>
      </c>
    </row>
    <row r="76" spans="1:4" ht="13" x14ac:dyDescent="0.15">
      <c r="A76" s="16"/>
      <c r="B76" s="3">
        <f ca="1">IFERROR(__xludf.DUMMYFUNCTION("""COMPUTED_VALUE"""),251)</f>
        <v>251</v>
      </c>
      <c r="C76" s="3" t="str">
        <f ca="1">IFERROR(__xludf.DUMMYFUNCTION("""COMPUTED_VALUE"""),"Troy Niklas")</f>
        <v>Troy Niklas</v>
      </c>
      <c r="D76" s="3" t="str">
        <f ca="1">IFERROR(__xludf.DUMMYFUNCTION("""COMPUTED_VALUE"""),"TE")</f>
        <v>TE</v>
      </c>
    </row>
    <row r="77" spans="1:4" ht="13" x14ac:dyDescent="0.15">
      <c r="A77" s="16"/>
      <c r="B77" s="3">
        <f ca="1">IFERROR(__xludf.DUMMYFUNCTION("""COMPUTED_VALUE"""),254)</f>
        <v>254</v>
      </c>
      <c r="C77" s="3" t="str">
        <f ca="1">IFERROR(__xludf.DUMMYFUNCTION("""COMPUTED_VALUE"""),"Levine Toilolo")</f>
        <v>Levine Toilolo</v>
      </c>
      <c r="D77" s="3" t="str">
        <f ca="1">IFERROR(__xludf.DUMMYFUNCTION("""COMPUTED_VALUE"""),"TE")</f>
        <v>TE</v>
      </c>
    </row>
    <row r="78" spans="1:4" ht="13" x14ac:dyDescent="0.15">
      <c r="A78" s="16"/>
      <c r="B78" s="3">
        <f ca="1">IFERROR(__xludf.DUMMYFUNCTION("""COMPUTED_VALUE"""),256)</f>
        <v>256</v>
      </c>
      <c r="C78" s="3" t="str">
        <f ca="1">IFERROR(__xludf.DUMMYFUNCTION("""COMPUTED_VALUE"""),"Nick Vannett")</f>
        <v>Nick Vannett</v>
      </c>
      <c r="D78" s="3" t="str">
        <f ca="1">IFERROR(__xludf.DUMMYFUNCTION("""COMPUTED_VALUE"""),"TE")</f>
        <v>TE</v>
      </c>
    </row>
    <row r="79" spans="1:4" ht="13" x14ac:dyDescent="0.15">
      <c r="A79" s="16"/>
      <c r="B79" s="3">
        <f ca="1">IFERROR(__xludf.DUMMYFUNCTION("""COMPUTED_VALUE"""),257)</f>
        <v>257</v>
      </c>
      <c r="C79" s="3" t="str">
        <f ca="1">IFERROR(__xludf.DUMMYFUNCTION("""COMPUTED_VALUE"""),"Eric Tomlinson")</f>
        <v>Eric Tomlinson</v>
      </c>
      <c r="D79" s="3" t="str">
        <f ca="1">IFERROR(__xludf.DUMMYFUNCTION("""COMPUTED_VALUE"""),"TE")</f>
        <v>TE</v>
      </c>
    </row>
    <row r="80" spans="1:4" ht="13" x14ac:dyDescent="0.15">
      <c r="A80" s="16"/>
      <c r="B80" s="3">
        <f ca="1">IFERROR(__xludf.DUMMYFUNCTION("""COMPUTED_VALUE"""),262)</f>
        <v>262</v>
      </c>
      <c r="C80" s="3" t="str">
        <f ca="1">IFERROR(__xludf.DUMMYFUNCTION("""COMPUTED_VALUE"""),"Anthony Fasano")</f>
        <v>Anthony Fasano</v>
      </c>
      <c r="D80" s="3" t="str">
        <f ca="1">IFERROR(__xludf.DUMMYFUNCTION("""COMPUTED_VALUE"""),"TE")</f>
        <v>TE</v>
      </c>
    </row>
    <row r="81" spans="1:5" ht="13" x14ac:dyDescent="0.15">
      <c r="A81" s="16"/>
      <c r="B81" s="3">
        <f ca="1">IFERROR(__xludf.DUMMYFUNCTION("""COMPUTED_VALUE"""),275)</f>
        <v>275</v>
      </c>
      <c r="C81" s="3" t="str">
        <f ca="1">IFERROR(__xludf.DUMMYFUNCTION("""COMPUTED_VALUE"""),"David Morgan")</f>
        <v>David Morgan</v>
      </c>
      <c r="D81" s="3" t="str">
        <f ca="1">IFERROR(__xludf.DUMMYFUNCTION("""COMPUTED_VALUE"""),"TE")</f>
        <v>TE</v>
      </c>
    </row>
    <row r="82" spans="1:5" ht="13" x14ac:dyDescent="0.15">
      <c r="A82" s="16"/>
      <c r="B82" s="3">
        <f ca="1">IFERROR(__xludf.DUMMYFUNCTION("""COMPUTED_VALUE"""),285)</f>
        <v>285</v>
      </c>
      <c r="C82" s="3" t="str">
        <f ca="1">IFERROR(__xludf.DUMMYFUNCTION("""COMPUTED_VALUE"""),"C.J. Uzomah")</f>
        <v>C.J. Uzomah</v>
      </c>
      <c r="D82" s="3" t="str">
        <f ca="1">IFERROR(__xludf.DUMMYFUNCTION("""COMPUTED_VALUE"""),"TE")</f>
        <v>TE</v>
      </c>
    </row>
    <row r="83" spans="1:5" ht="13" x14ac:dyDescent="0.15">
      <c r="A83" s="16"/>
      <c r="B83" s="3">
        <f ca="1">IFERROR(__xludf.DUMMYFUNCTION("""COMPUTED_VALUE"""),286)</f>
        <v>286</v>
      </c>
      <c r="C83" s="3" t="str">
        <f ca="1">IFERROR(__xludf.DUMMYFUNCTION("""COMPUTED_VALUE"""),"Dwayne Allen")</f>
        <v>Dwayne Allen</v>
      </c>
      <c r="D83" s="3" t="str">
        <f ca="1">IFERROR(__xludf.DUMMYFUNCTION("""COMPUTED_VALUE"""),"TE")</f>
        <v>TE</v>
      </c>
    </row>
    <row r="84" spans="1:5" ht="13" x14ac:dyDescent="0.15">
      <c r="A84" s="16"/>
      <c r="B84" s="3">
        <f ca="1">IFERROR(__xludf.DUMMYFUNCTION("""COMPUTED_VALUE"""),289)</f>
        <v>289</v>
      </c>
      <c r="C84" s="3" t="str">
        <f ca="1">IFERROR(__xludf.DUMMYFUNCTION("""COMPUTED_VALUE"""),"James Hanna")</f>
        <v>James Hanna</v>
      </c>
      <c r="D84" s="3" t="str">
        <f ca="1">IFERROR(__xludf.DUMMYFUNCTION("""COMPUTED_VALUE"""),"TE")</f>
        <v>TE</v>
      </c>
    </row>
    <row r="85" spans="1:5" ht="13" x14ac:dyDescent="0.15">
      <c r="A85" s="16"/>
      <c r="B85" s="3">
        <f ca="1">IFERROR(__xludf.DUMMYFUNCTION("""COMPUTED_VALUE"""),297)</f>
        <v>297</v>
      </c>
      <c r="C85" s="3" t="str">
        <f ca="1">IFERROR(__xludf.DUMMYFUNCTION("""COMPUTED_VALUE"""),"Josh Hill")</f>
        <v>Josh Hill</v>
      </c>
      <c r="D85" s="3" t="str">
        <f ca="1">IFERROR(__xludf.DUMMYFUNCTION("""COMPUTED_VALUE"""),"TE")</f>
        <v>TE</v>
      </c>
      <c r="E85">
        <v>1</v>
      </c>
    </row>
    <row r="86" spans="1:5" ht="13" x14ac:dyDescent="0.15">
      <c r="A86" s="16"/>
      <c r="B86" s="3">
        <f ca="1">IFERROR(__xludf.DUMMYFUNCTION("""COMPUTED_VALUE"""),313)</f>
        <v>313</v>
      </c>
      <c r="C86" s="3" t="str">
        <f ca="1">IFERROR(__xludf.DUMMYFUNCTION("""COMPUTED_VALUE"""),"C.J. Fiedorowicz")</f>
        <v>C.J. Fiedorowicz</v>
      </c>
      <c r="D86" s="3" t="str">
        <f ca="1">IFERROR(__xludf.DUMMYFUNCTION("""COMPUTED_VALUE"""),"TE")</f>
        <v>TE</v>
      </c>
    </row>
    <row r="87" spans="1:5" ht="13" x14ac:dyDescent="0.15">
      <c r="A87" s="16"/>
      <c r="B87" s="3">
        <f ca="1">IFERROR(__xludf.DUMMYFUNCTION("""COMPUTED_VALUE"""),318)</f>
        <v>318</v>
      </c>
      <c r="C87" s="3" t="str">
        <f ca="1">IFERROR(__xludf.DUMMYFUNCTION("""COMPUTED_VALUE"""),"Logan Thomas")</f>
        <v>Logan Thomas</v>
      </c>
      <c r="D87" s="3" t="str">
        <f ca="1">IFERROR(__xludf.DUMMYFUNCTION("""COMPUTED_VALUE"""),"TE")</f>
        <v>TE</v>
      </c>
    </row>
    <row r="88" spans="1:5" ht="13" x14ac:dyDescent="0.15">
      <c r="A88" s="16"/>
      <c r="B88" s="3">
        <f ca="1">IFERROR(__xludf.DUMMYFUNCTION("""COMPUTED_VALUE"""),329)</f>
        <v>329</v>
      </c>
      <c r="C88" s="3" t="str">
        <f ca="1">IFERROR(__xludf.DUMMYFUNCTION("""COMPUTED_VALUE"""),"Brandon Williams")</f>
        <v>Brandon Williams</v>
      </c>
      <c r="D88" s="3" t="str">
        <f ca="1">IFERROR(__xludf.DUMMYFUNCTION("""COMPUTED_VALUE"""),"TE")</f>
        <v>TE</v>
      </c>
    </row>
    <row r="89" spans="1:5" ht="13" x14ac:dyDescent="0.15">
      <c r="A89" s="16"/>
      <c r="B89" s="3">
        <f ca="1">IFERROR(__xludf.DUMMYFUNCTION("""COMPUTED_VALUE"""),344)</f>
        <v>344</v>
      </c>
      <c r="C89" s="3" t="str">
        <f ca="1">IFERROR(__xludf.DUMMYFUNCTION("""COMPUTED_VALUE"""),"Michael Hoomanawanui")</f>
        <v>Michael Hoomanawanui</v>
      </c>
      <c r="D89" s="3" t="str">
        <f ca="1">IFERROR(__xludf.DUMMYFUNCTION("""COMPUTED_VALUE"""),"TE")</f>
        <v>TE</v>
      </c>
    </row>
    <row r="90" spans="1:5" ht="13" x14ac:dyDescent="0.15">
      <c r="A90" s="16"/>
      <c r="B90" s="3">
        <f ca="1">IFERROR(__xludf.DUMMYFUNCTION("""COMPUTED_VALUE"""),360)</f>
        <v>360</v>
      </c>
      <c r="C90" s="3" t="str">
        <f ca="1">IFERROR(__xludf.DUMMYFUNCTION("""COMPUTED_VALUE"""),"Austin Traylor")</f>
        <v>Austin Traylor</v>
      </c>
      <c r="D90" s="3" t="str">
        <f ca="1">IFERROR(__xludf.DUMMYFUNCTION("""COMPUTED_VALUE"""),"TE")</f>
        <v>TE</v>
      </c>
    </row>
    <row r="91" spans="1:5" ht="13" x14ac:dyDescent="0.15">
      <c r="A91" s="16"/>
      <c r="B91" s="3">
        <f ca="1">IFERROR(__xludf.DUMMYFUNCTION("""COMPUTED_VALUE"""),364)</f>
        <v>364</v>
      </c>
      <c r="C91" s="3" t="str">
        <f ca="1">IFERROR(__xludf.DUMMYFUNCTION("""COMPUTED_VALUE"""),"Phillip Supernaw")</f>
        <v>Phillip Supernaw</v>
      </c>
      <c r="D91" s="3" t="str">
        <f ca="1">IFERROR(__xludf.DUMMYFUNCTION("""COMPUTED_VALUE"""),"TE")</f>
        <v>TE</v>
      </c>
    </row>
    <row r="92" spans="1:5" ht="13" x14ac:dyDescent="0.15">
      <c r="A92" s="16"/>
      <c r="B92" s="3">
        <f ca="1">IFERROR(__xludf.DUMMYFUNCTION("""COMPUTED_VALUE"""),379)</f>
        <v>379</v>
      </c>
      <c r="C92" s="3" t="str">
        <f ca="1">IFERROR(__xludf.DUMMYFUNCTION("""COMPUTED_VALUE"""),"Luke Stocker")</f>
        <v>Luke Stocker</v>
      </c>
      <c r="D92" s="3" t="str">
        <f ca="1">IFERROR(__xludf.DUMMYFUNCTION("""COMPUTED_VALUE"""),"TE")</f>
        <v>TE</v>
      </c>
    </row>
    <row r="93" spans="1:5" ht="13" x14ac:dyDescent="0.15">
      <c r="A93" s="16"/>
      <c r="B93" s="3">
        <f ca="1">IFERROR(__xludf.DUMMYFUNCTION("""COMPUTED_VALUE"""),391)</f>
        <v>391</v>
      </c>
      <c r="C93" s="3" t="str">
        <f ca="1">IFERROR(__xludf.DUMMYFUNCTION("""COMPUTED_VALUE"""),"Clive Walford")</f>
        <v>Clive Walford</v>
      </c>
      <c r="D93" s="3" t="str">
        <f ca="1">IFERROR(__xludf.DUMMYFUNCTION("""COMPUTED_VALUE"""),"TE")</f>
        <v>TE</v>
      </c>
    </row>
    <row r="94" spans="1:5" ht="13" x14ac:dyDescent="0.15">
      <c r="A94" s="16"/>
      <c r="B94" s="3">
        <f ca="1">IFERROR(__xludf.DUMMYFUNCTION("""COMPUTED_VALUE"""),392)</f>
        <v>392</v>
      </c>
      <c r="C94" s="3" t="str">
        <f ca="1">IFERROR(__xludf.DUMMYFUNCTION("""COMPUTED_VALUE"""),"Lee Smith")</f>
        <v>Lee Smith</v>
      </c>
      <c r="D94" s="3" t="str">
        <f ca="1">IFERROR(__xludf.DUMMYFUNCTION("""COMPUTED_VALUE"""),"TE")</f>
        <v>TE</v>
      </c>
    </row>
    <row r="95" spans="1:5" ht="13" x14ac:dyDescent="0.15">
      <c r="A95" s="16"/>
      <c r="B95" s="3">
        <f ca="1">IFERROR(__xludf.DUMMYFUNCTION("""COMPUTED_VALUE"""),393)</f>
        <v>393</v>
      </c>
      <c r="C95" s="3" t="str">
        <f ca="1">IFERROR(__xludf.DUMMYFUNCTION("""COMPUTED_VALUE"""),"Ross Travis")</f>
        <v>Ross Travis</v>
      </c>
      <c r="D95" s="3" t="str">
        <f ca="1">IFERROR(__xludf.DUMMYFUNCTION("""COMPUTED_VALUE"""),"TE")</f>
        <v>TE</v>
      </c>
    </row>
    <row r="96" spans="1:5" ht="13" x14ac:dyDescent="0.15">
      <c r="A96" s="16"/>
      <c r="B96" s="3">
        <f ca="1">IFERROR(__xludf.DUMMYFUNCTION("""COMPUTED_VALUE"""),424)</f>
        <v>424</v>
      </c>
      <c r="C96" s="3" t="str">
        <f ca="1">IFERROR(__xludf.DUMMYFUNCTION("""COMPUTED_VALUE"""),"Tyler Kroft")</f>
        <v>Tyler Kroft</v>
      </c>
      <c r="D96" s="3" t="str">
        <f ca="1">IFERROR(__xludf.DUMMYFUNCTION("""COMPUTED_VALUE"""),"TE")</f>
        <v>TE</v>
      </c>
    </row>
    <row r="97" spans="1:5" ht="13" x14ac:dyDescent="0.15">
      <c r="A97" s="16"/>
      <c r="B97" s="3">
        <f ca="1">IFERROR(__xludf.DUMMYFUNCTION("""COMPUTED_VALUE"""),426)</f>
        <v>426</v>
      </c>
      <c r="C97" s="3" t="str">
        <f ca="1">IFERROR(__xludf.DUMMYFUNCTION("""COMPUTED_VALUE"""),"Alan Cross")</f>
        <v>Alan Cross</v>
      </c>
      <c r="D97" s="3" t="str">
        <f ca="1">IFERROR(__xludf.DUMMYFUNCTION("""COMPUTED_VALUE"""),"TE")</f>
        <v>TE</v>
      </c>
    </row>
    <row r="98" spans="1:5" ht="13" x14ac:dyDescent="0.15">
      <c r="A98" s="16"/>
      <c r="B98" s="3">
        <f ca="1">IFERROR(__xludf.DUMMYFUNCTION("""COMPUTED_VALUE"""),427)</f>
        <v>427</v>
      </c>
      <c r="C98" s="3" t="str">
        <f ca="1">IFERROR(__xludf.DUMMYFUNCTION("""COMPUTED_VALUE"""),"Ben Koyack")</f>
        <v>Ben Koyack</v>
      </c>
      <c r="D98" s="3" t="str">
        <f ca="1">IFERROR(__xludf.DUMMYFUNCTION("""COMPUTED_VALUE"""),"TE")</f>
        <v>TE</v>
      </c>
    </row>
    <row r="99" spans="1:5" ht="13" x14ac:dyDescent="0.15">
      <c r="A99" s="16"/>
      <c r="B99" s="3">
        <f ca="1">IFERROR(__xludf.DUMMYFUNCTION("""COMPUTED_VALUE"""),440)</f>
        <v>440</v>
      </c>
      <c r="C99" s="3" t="str">
        <f ca="1">IFERROR(__xludf.DUMMYFUNCTION("""COMPUTED_VALUE"""),"Jacob Hollister")</f>
        <v>Jacob Hollister</v>
      </c>
      <c r="D99" s="3" t="str">
        <f ca="1">IFERROR(__xludf.DUMMYFUNCTION("""COMPUTED_VALUE"""),"TE")</f>
        <v>TE</v>
      </c>
      <c r="E99">
        <v>1</v>
      </c>
    </row>
    <row r="100" spans="1:5" ht="13" x14ac:dyDescent="0.15">
      <c r="A100" s="16"/>
      <c r="B100" s="3">
        <f ca="1">IFERROR(__xludf.DUMMYFUNCTION("""COMPUTED_VALUE"""),442)</f>
        <v>442</v>
      </c>
      <c r="C100" s="3" t="str">
        <f ca="1">IFERROR(__xludf.DUMMYFUNCTION("""COMPUTED_VALUE"""),"Sean McGrath")</f>
        <v>Sean McGrath</v>
      </c>
      <c r="D100" s="3" t="str">
        <f ca="1">IFERROR(__xludf.DUMMYFUNCTION("""COMPUTED_VALUE"""),"TE")</f>
        <v>TE</v>
      </c>
    </row>
    <row r="101" spans="1:5" ht="13" x14ac:dyDescent="0.15">
      <c r="A101" s="16"/>
      <c r="B101" s="3">
        <f ca="1">IFERROR(__xludf.DUMMYFUNCTION("""COMPUTED_VALUE"""),443)</f>
        <v>443</v>
      </c>
      <c r="C101" s="3" t="str">
        <f ca="1">IFERROR(__xludf.DUMMYFUNCTION("""COMPUTED_VALUE"""),"Michael Roberts")</f>
        <v>Michael Roberts</v>
      </c>
      <c r="D101" s="3" t="str">
        <f ca="1">IFERROR(__xludf.DUMMYFUNCTION("""COMPUTED_VALUE"""),"TE")</f>
        <v>TE</v>
      </c>
    </row>
    <row r="102" spans="1:5" ht="13" x14ac:dyDescent="0.15">
      <c r="A102" s="16"/>
      <c r="B102" s="3">
        <f ca="1">IFERROR(__xludf.DUMMYFUNCTION("""COMPUTED_VALUE"""),445)</f>
        <v>445</v>
      </c>
      <c r="C102" s="3" t="str">
        <f ca="1">IFERROR(__xludf.DUMMYFUNCTION("""COMPUTED_VALUE"""),"Orson Charles")</f>
        <v>Orson Charles</v>
      </c>
      <c r="D102" s="3" t="str">
        <f ca="1">IFERROR(__xludf.DUMMYFUNCTION("""COMPUTED_VALUE"""),"TE")</f>
        <v>TE</v>
      </c>
    </row>
    <row r="103" spans="1:5" ht="13" x14ac:dyDescent="0.15">
      <c r="A103" s="16"/>
      <c r="B103" s="3">
        <f ca="1">IFERROR(__xludf.DUMMYFUNCTION("""COMPUTED_VALUE"""),448)</f>
        <v>448</v>
      </c>
      <c r="C103" s="3" t="str">
        <f ca="1">IFERROR(__xludf.DUMMYFUNCTION("""COMPUTED_VALUE"""),"Ifeanyi Momah")</f>
        <v>Ifeanyi Momah</v>
      </c>
      <c r="D103" s="3" t="str">
        <f ca="1">IFERROR(__xludf.DUMMYFUNCTION("""COMPUTED_VALUE"""),"TE")</f>
        <v>TE</v>
      </c>
    </row>
    <row r="104" spans="1:5" ht="13" x14ac:dyDescent="0.15">
      <c r="A104" s="16"/>
      <c r="B104" s="3">
        <f ca="1">IFERROR(__xludf.DUMMYFUNCTION("""COMPUTED_VALUE"""),449)</f>
        <v>449</v>
      </c>
      <c r="C104" s="3" t="str">
        <f ca="1">IFERROR(__xludf.DUMMYFUNCTION("""COMPUTED_VALUE"""),"Zach Miller")</f>
        <v>Zach Miller</v>
      </c>
      <c r="D104" s="3" t="str">
        <f ca="1">IFERROR(__xludf.DUMMYFUNCTION("""COMPUTED_VALUE"""),"TE")</f>
        <v>TE</v>
      </c>
    </row>
    <row r="105" spans="1:5" ht="13" x14ac:dyDescent="0.15">
      <c r="A105" s="16"/>
      <c r="B105" s="3">
        <f ca="1">IFERROR(__xludf.DUMMYFUNCTION("""COMPUTED_VALUE"""),451)</f>
        <v>451</v>
      </c>
      <c r="C105" s="3" t="str">
        <f ca="1">IFERROR(__xludf.DUMMYFUNCTION("""COMPUTED_VALUE"""),"James Develin")</f>
        <v>James Develin</v>
      </c>
      <c r="D105" s="3" t="str">
        <f ca="1">IFERROR(__xludf.DUMMYFUNCTION("""COMPUTED_VALUE"""),"TE")</f>
        <v>TE</v>
      </c>
    </row>
    <row r="106" spans="1:5" ht="13" x14ac:dyDescent="0.15">
      <c r="A106" s="16"/>
      <c r="B106" s="3">
        <f ca="1">IFERROR(__xludf.DUMMYFUNCTION("""COMPUTED_VALUE"""),454)</f>
        <v>454</v>
      </c>
      <c r="C106" s="3" t="str">
        <f ca="1">IFERROR(__xludf.DUMMYFUNCTION("""COMPUTED_VALUE"""),"Will Tye")</f>
        <v>Will Tye</v>
      </c>
      <c r="D106" s="3" t="str">
        <f ca="1">IFERROR(__xludf.DUMMYFUNCTION("""COMPUTED_VALUE"""),"TE")</f>
        <v>TE</v>
      </c>
    </row>
    <row r="107" spans="1:5" ht="13" x14ac:dyDescent="0.15">
      <c r="A107" s="16"/>
      <c r="B107" s="3">
        <f ca="1">IFERROR(__xludf.DUMMYFUNCTION("""COMPUTED_VALUE"""),456)</f>
        <v>456</v>
      </c>
      <c r="C107" s="3" t="str">
        <f ca="1">IFERROR(__xludf.DUMMYFUNCTION("""COMPUTED_VALUE"""),"Blake Bell")</f>
        <v>Blake Bell</v>
      </c>
      <c r="D107" s="3" t="str">
        <f ca="1">IFERROR(__xludf.DUMMYFUNCTION("""COMPUTED_VALUE"""),"TE")</f>
        <v>TE</v>
      </c>
    </row>
    <row r="108" spans="1:5" ht="13" x14ac:dyDescent="0.15">
      <c r="A108" s="16"/>
      <c r="B108" s="3">
        <f ca="1">IFERROR(__xludf.DUMMYFUNCTION("""COMPUTED_VALUE"""),458)</f>
        <v>458</v>
      </c>
      <c r="C108" s="3" t="str">
        <f ca="1">IFERROR(__xludf.DUMMYFUNCTION("""COMPUTED_VALUE"""),"Randall Telfer")</f>
        <v>Randall Telfer</v>
      </c>
      <c r="D108" s="3" t="str">
        <f ca="1">IFERROR(__xludf.DUMMYFUNCTION("""COMPUTED_VALUE"""),"TE")</f>
        <v>TE</v>
      </c>
    </row>
    <row r="109" spans="1:5" ht="13" x14ac:dyDescent="0.15">
      <c r="A109" s="16"/>
      <c r="B109" s="3">
        <f ca="1">IFERROR(__xludf.DUMMYFUNCTION("""COMPUTED_VALUE"""),471)</f>
        <v>471</v>
      </c>
      <c r="C109" s="3" t="str">
        <f ca="1">IFERROR(__xludf.DUMMYFUNCTION("""COMPUTED_VALUE"""),"Darrell Daniels")</f>
        <v>Darrell Daniels</v>
      </c>
      <c r="D109" s="3" t="str">
        <f ca="1">IFERROR(__xludf.DUMMYFUNCTION("""COMPUTED_VALUE"""),"TE")</f>
        <v>TE</v>
      </c>
    </row>
    <row r="110" spans="1:5" ht="13" x14ac:dyDescent="0.15">
      <c r="A110" s="16"/>
      <c r="B110" s="3">
        <f ca="1">IFERROR(__xludf.DUMMYFUNCTION("""COMPUTED_VALUE"""),475)</f>
        <v>475</v>
      </c>
      <c r="C110" s="3" t="str">
        <f ca="1">IFERROR(__xludf.DUMMYFUNCTION("""COMPUTED_VALUE"""),"Emanuel Byrd")</f>
        <v>Emanuel Byrd</v>
      </c>
      <c r="D110" s="3" t="str">
        <f ca="1">IFERROR(__xludf.DUMMYFUNCTION("""COMPUTED_VALUE"""),"TE")</f>
        <v>TE</v>
      </c>
    </row>
    <row r="111" spans="1:5" ht="13" x14ac:dyDescent="0.15">
      <c r="A111" s="16"/>
      <c r="B111" s="3">
        <f ca="1">IFERROR(__xludf.DUMMYFUNCTION("""COMPUTED_VALUE"""),492)</f>
        <v>492</v>
      </c>
      <c r="C111" s="3" t="str">
        <f ca="1">IFERROR(__xludf.DUMMYFUNCTION("""COMPUTED_VALUE"""),"Chris Manhertz")</f>
        <v>Chris Manhertz</v>
      </c>
      <c r="D111" s="3" t="str">
        <f ca="1">IFERROR(__xludf.DUMMYFUNCTION("""COMPUTED_VALUE"""),"TE")</f>
        <v>TE</v>
      </c>
    </row>
    <row r="112" spans="1:5" ht="13" x14ac:dyDescent="0.15">
      <c r="A112" s="16"/>
      <c r="B112" s="3">
        <f ca="1">IFERROR(__xludf.DUMMYFUNCTION("""COMPUTED_VALUE"""),493)</f>
        <v>493</v>
      </c>
      <c r="C112" s="3" t="str">
        <f ca="1">IFERROR(__xludf.DUMMYFUNCTION("""COMPUTED_VALUE"""),"Cole Hikutini")</f>
        <v>Cole Hikutini</v>
      </c>
      <c r="D112" s="3" t="str">
        <f ca="1">IFERROR(__xludf.DUMMYFUNCTION("""COMPUTED_VALUE"""),"TE")</f>
        <v>TE</v>
      </c>
    </row>
    <row r="113" spans="1:5" ht="13" x14ac:dyDescent="0.15">
      <c r="A113" s="16"/>
      <c r="B113" s="3">
        <f ca="1">IFERROR(__xludf.DUMMYFUNCTION("""COMPUTED_VALUE"""),494)</f>
        <v>494</v>
      </c>
      <c r="C113" s="3" t="str">
        <f ca="1">IFERROR(__xludf.DUMMYFUNCTION("""COMPUTED_VALUE"""),"MarQueis Gray")</f>
        <v>MarQueis Gray</v>
      </c>
      <c r="D113" s="3" t="str">
        <f ca="1">IFERROR(__xludf.DUMMYFUNCTION("""COMPUTED_VALUE"""),"TE")</f>
        <v>TE</v>
      </c>
    </row>
    <row r="114" spans="1:5" ht="13" x14ac:dyDescent="0.15">
      <c r="A114" s="16"/>
      <c r="B114" s="3">
        <f ca="1">IFERROR(__xludf.DUMMYFUNCTION("""COMPUTED_VALUE"""),566)</f>
        <v>566</v>
      </c>
      <c r="C114" s="3" t="str">
        <f ca="1">IFERROR(__xludf.DUMMYFUNCTION("""COMPUTED_VALUE"""),"Blake Jarwin")</f>
        <v>Blake Jarwin</v>
      </c>
      <c r="D114" s="3" t="str">
        <f ca="1">IFERROR(__xludf.DUMMYFUNCTION("""COMPUTED_VALUE"""),"TE")</f>
        <v>TE</v>
      </c>
    </row>
    <row r="115" spans="1:5" ht="13" x14ac:dyDescent="0.15">
      <c r="A115" s="16"/>
      <c r="B115" s="3">
        <f ca="1">IFERROR(__xludf.DUMMYFUNCTION("""COMPUTED_VALUE"""),589)</f>
        <v>589</v>
      </c>
      <c r="C115" s="3" t="str">
        <f ca="1">IFERROR(__xludf.DUMMYFUNCTION("""COMPUTED_VALUE"""),"Anthony Firkser")</f>
        <v>Anthony Firkser</v>
      </c>
      <c r="D115" s="3" t="str">
        <f ca="1">IFERROR(__xludf.DUMMYFUNCTION("""COMPUTED_VALUE"""),"TE")</f>
        <v>TE</v>
      </c>
    </row>
    <row r="116" spans="1:5" ht="13" x14ac:dyDescent="0.15">
      <c r="A116" s="16"/>
      <c r="B116" s="3">
        <f ca="1">IFERROR(__xludf.DUMMYFUNCTION("""COMPUTED_VALUE"""),590)</f>
        <v>590</v>
      </c>
      <c r="C116" s="3" t="str">
        <f ca="1">IFERROR(__xludf.DUMMYFUNCTION("""COMPUTED_VALUE"""),"Jason Croom")</f>
        <v>Jason Croom</v>
      </c>
      <c r="D116" s="3" t="str">
        <f ca="1">IFERROR(__xludf.DUMMYFUNCTION("""COMPUTED_VALUE"""),"TE")</f>
        <v>TE</v>
      </c>
    </row>
    <row r="117" spans="1:5" ht="13" x14ac:dyDescent="0.15">
      <c r="A117" s="16"/>
      <c r="B117" s="3">
        <f ca="1">IFERROR(__xludf.DUMMYFUNCTION("""COMPUTED_VALUE"""),596)</f>
        <v>596</v>
      </c>
      <c r="C117" s="3" t="str">
        <f ca="1">IFERROR(__xludf.DUMMYFUNCTION("""COMPUTED_VALUE"""),"Erik Swoope")</f>
        <v>Erik Swoope</v>
      </c>
      <c r="D117" s="3" t="str">
        <f ca="1">IFERROR(__xludf.DUMMYFUNCTION("""COMPUTED_VALUE"""),"TE")</f>
        <v>TE</v>
      </c>
    </row>
    <row r="118" spans="1:5" ht="13" x14ac:dyDescent="0.15">
      <c r="A118" s="16"/>
      <c r="B118" s="3">
        <f ca="1">IFERROR(__xludf.DUMMYFUNCTION("""COMPUTED_VALUE"""),598)</f>
        <v>598</v>
      </c>
      <c r="C118" s="3" t="str">
        <f ca="1">IFERROR(__xludf.DUMMYFUNCTION("""COMPUTED_VALUE"""),"Mo Alie-Cox")</f>
        <v>Mo Alie-Cox</v>
      </c>
      <c r="D118" s="3" t="str">
        <f ca="1">IFERROR(__xludf.DUMMYFUNCTION("""COMPUTED_VALUE"""),"TE")</f>
        <v>TE</v>
      </c>
    </row>
    <row r="119" spans="1:5" ht="13" x14ac:dyDescent="0.15">
      <c r="A119" s="16"/>
      <c r="B119" s="3">
        <f ca="1">IFERROR(__xludf.DUMMYFUNCTION("""COMPUTED_VALUE"""),600)</f>
        <v>600</v>
      </c>
      <c r="C119" s="3" t="str">
        <f ca="1">IFERROR(__xludf.DUMMYFUNCTION("""COMPUTED_VALUE"""),"Jordan Akins")</f>
        <v>Jordan Akins</v>
      </c>
      <c r="D119" s="3" t="str">
        <f ca="1">IFERROR(__xludf.DUMMYFUNCTION("""COMPUTED_VALUE"""),"TE")</f>
        <v>TE</v>
      </c>
      <c r="E119">
        <v>1</v>
      </c>
    </row>
    <row r="120" spans="1:5" ht="13" x14ac:dyDescent="0.15">
      <c r="A120" s="16"/>
      <c r="B120" s="3">
        <f ca="1">IFERROR(__xludf.DUMMYFUNCTION("""COMPUTED_VALUE"""),606)</f>
        <v>606</v>
      </c>
      <c r="C120" s="3" t="str">
        <f ca="1">IFERROR(__xludf.DUMMYFUNCTION("""COMPUTED_VALUE"""),"Maxx Williams")</f>
        <v>Maxx Williams</v>
      </c>
      <c r="D120" s="3" t="str">
        <f ca="1">IFERROR(__xludf.DUMMYFUNCTION("""COMPUTED_VALUE"""),"TE")</f>
        <v>TE</v>
      </c>
    </row>
    <row r="121" spans="1:5" ht="13" x14ac:dyDescent="0.15">
      <c r="A121" s="16"/>
      <c r="B121" s="3">
        <f ca="1">IFERROR(__xludf.DUMMYFUNCTION("""COMPUTED_VALUE"""),611)</f>
        <v>611</v>
      </c>
      <c r="C121" s="3" t="str">
        <f ca="1">IFERROR(__xludf.DUMMYFUNCTION("""COMPUTED_VALUE"""),"Jordan Leggett")</f>
        <v>Jordan Leggett</v>
      </c>
      <c r="D121" s="3" t="str">
        <f ca="1">IFERROR(__xludf.DUMMYFUNCTION("""COMPUTED_VALUE"""),"TE")</f>
        <v>TE</v>
      </c>
    </row>
    <row r="122" spans="1:5" ht="13" x14ac:dyDescent="0.15">
      <c r="A122" s="16"/>
      <c r="B122" s="3">
        <f ca="1">IFERROR(__xludf.DUMMYFUNCTION("""COMPUTED_VALUE"""),613)</f>
        <v>613</v>
      </c>
      <c r="C122" s="3" t="str">
        <f ca="1">IFERROR(__xludf.DUMMYFUNCTION("""COMPUTED_VALUE"""),"MyCole Pruitt")</f>
        <v>MyCole Pruitt</v>
      </c>
      <c r="D122" s="3" t="str">
        <f ca="1">IFERROR(__xludf.DUMMYFUNCTION("""COMPUTED_VALUE"""),"TE")</f>
        <v>TE</v>
      </c>
    </row>
    <row r="123" spans="1:5" ht="13" x14ac:dyDescent="0.15">
      <c r="A123" s="16"/>
      <c r="B123" s="3">
        <f ca="1">IFERROR(__xludf.DUMMYFUNCTION("""COMPUTED_VALUE"""),617)</f>
        <v>617</v>
      </c>
      <c r="C123" s="3" t="str">
        <f ca="1">IFERROR(__xludf.DUMMYFUNCTION("""COMPUTED_VALUE"""),"Logan Paulsen")</f>
        <v>Logan Paulsen</v>
      </c>
      <c r="D123" s="3" t="str">
        <f ca="1">IFERROR(__xludf.DUMMYFUNCTION("""COMPUTED_VALUE"""),"TE")</f>
        <v>TE</v>
      </c>
    </row>
    <row r="124" spans="1:5" ht="13" x14ac:dyDescent="0.15">
      <c r="A124" s="16"/>
      <c r="B124" s="3">
        <f ca="1">IFERROR(__xludf.DUMMYFUNCTION("""COMPUTED_VALUE"""),618)</f>
        <v>618</v>
      </c>
      <c r="C124" s="3" t="str">
        <f ca="1">IFERROR(__xludf.DUMMYFUNCTION("""COMPUTED_VALUE"""),"Scott Simonson")</f>
        <v>Scott Simonson</v>
      </c>
      <c r="D124" s="3" t="str">
        <f ca="1">IFERROR(__xludf.DUMMYFUNCTION("""COMPUTED_VALUE"""),"TE")</f>
        <v>TE</v>
      </c>
    </row>
    <row r="125" spans="1:5" ht="13" x14ac:dyDescent="0.15">
      <c r="A125" s="16"/>
      <c r="B125" s="3">
        <f ca="1">IFERROR(__xludf.DUMMYFUNCTION("""COMPUTED_VALUE"""),626)</f>
        <v>626</v>
      </c>
      <c r="C125" s="3" t="str">
        <f ca="1">IFERROR(__xludf.DUMMYFUNCTION("""COMPUTED_VALUE"""),"Robert Tonyan")</f>
        <v>Robert Tonyan</v>
      </c>
      <c r="D125" s="3" t="str">
        <f ca="1">IFERROR(__xludf.DUMMYFUNCTION("""COMPUTED_VALUE"""),"TE")</f>
        <v>TE</v>
      </c>
    </row>
    <row r="126" spans="1:5" ht="13" x14ac:dyDescent="0.15">
      <c r="A126" s="16"/>
      <c r="B126" s="3">
        <f ca="1">IFERROR(__xludf.DUMMYFUNCTION("""COMPUTED_VALUE"""),627)</f>
        <v>627</v>
      </c>
      <c r="C126" s="3" t="str">
        <f ca="1">IFERROR(__xludf.DUMMYFUNCTION("""COMPUTED_VALUE"""),"Derek Carrier")</f>
        <v>Derek Carrier</v>
      </c>
      <c r="D126" s="3" t="str">
        <f ca="1">IFERROR(__xludf.DUMMYFUNCTION("""COMPUTED_VALUE"""),"TE")</f>
        <v>TE</v>
      </c>
    </row>
    <row r="127" spans="1:5" ht="13" x14ac:dyDescent="0.15">
      <c r="A127" s="16"/>
      <c r="B127" s="3">
        <f ca="1">IFERROR(__xludf.DUMMYFUNCTION("""COMPUTED_VALUE"""),630)</f>
        <v>630</v>
      </c>
      <c r="C127" s="3" t="str">
        <f ca="1">IFERROR(__xludf.DUMMYFUNCTION("""COMPUTED_VALUE"""),"Dalton Schultz")</f>
        <v>Dalton Schultz</v>
      </c>
      <c r="D127" s="3" t="str">
        <f ca="1">IFERROR(__xludf.DUMMYFUNCTION("""COMPUTED_VALUE"""),"TE")</f>
        <v>TE</v>
      </c>
    </row>
    <row r="128" spans="1:5" ht="13" x14ac:dyDescent="0.15">
      <c r="A128" s="16"/>
      <c r="B128" s="3">
        <f ca="1">IFERROR(__xludf.DUMMYFUNCTION("""COMPUTED_VALUE"""),634)</f>
        <v>634</v>
      </c>
      <c r="C128" s="3" t="str">
        <f ca="1">IFERROR(__xludf.DUMMYFUNCTION("""COMPUTED_VALUE"""),"Niles Paul")</f>
        <v>Niles Paul</v>
      </c>
      <c r="D128" s="3" t="str">
        <f ca="1">IFERROR(__xludf.DUMMYFUNCTION("""COMPUTED_VALUE"""),"TE")</f>
        <v>TE</v>
      </c>
    </row>
    <row r="129" spans="1:4" ht="13" x14ac:dyDescent="0.15">
      <c r="A129" s="16"/>
      <c r="B129" s="3">
        <f ca="1">IFERROR(__xludf.DUMMYFUNCTION("""COMPUTED_VALUE"""),635)</f>
        <v>635</v>
      </c>
      <c r="C129" s="3" t="str">
        <f ca="1">IFERROR(__xludf.DUMMYFUNCTION("""COMPUTED_VALUE"""),"Jeremy Sprinkle")</f>
        <v>Jeremy Sprinkle</v>
      </c>
      <c r="D129" s="3" t="str">
        <f ca="1">IFERROR(__xludf.DUMMYFUNCTION("""COMPUTED_VALUE"""),"TE")</f>
        <v>TE</v>
      </c>
    </row>
    <row r="130" spans="1:4" ht="13" x14ac:dyDescent="0.15">
      <c r="A130" s="16"/>
      <c r="B130" s="3">
        <f ca="1">IFERROR(__xludf.DUMMYFUNCTION("""COMPUTED_VALUE"""),637)</f>
        <v>637</v>
      </c>
      <c r="C130" s="3" t="str">
        <f ca="1">IFERROR(__xludf.DUMMYFUNCTION("""COMPUTED_VALUE"""),"Jake Butt")</f>
        <v>Jake Butt</v>
      </c>
      <c r="D130" s="3" t="str">
        <f ca="1">IFERROR(__xludf.DUMMYFUNCTION("""COMPUTED_VALUE"""),"TE")</f>
        <v>TE</v>
      </c>
    </row>
    <row r="131" spans="1:4" ht="13" x14ac:dyDescent="0.15">
      <c r="A131" s="16"/>
      <c r="B131" s="3">
        <f ca="1">IFERROR(__xludf.DUMMYFUNCTION("""COMPUTED_VALUE"""),640)</f>
        <v>640</v>
      </c>
      <c r="C131" s="3" t="str">
        <f ca="1">IFERROR(__xludf.DUMMYFUNCTION("""COMPUTED_VALUE"""),"Tyler Conklin")</f>
        <v>Tyler Conklin</v>
      </c>
      <c r="D131" s="3" t="str">
        <f ca="1">IFERROR(__xludf.DUMMYFUNCTION("""COMPUTED_VALUE"""),"TE")</f>
        <v>TE</v>
      </c>
    </row>
    <row r="132" spans="1:4" ht="13" x14ac:dyDescent="0.15">
      <c r="A132" s="16"/>
      <c r="B132" s="3">
        <f ca="1">IFERROR(__xludf.DUMMYFUNCTION("""COMPUTED_VALUE"""),641)</f>
        <v>641</v>
      </c>
      <c r="C132" s="3" t="str">
        <f ca="1">IFERROR(__xludf.DUMMYFUNCTION("""COMPUTED_VALUE"""),"Matt Lengel")</f>
        <v>Matt Lengel</v>
      </c>
      <c r="D132" s="3" t="str">
        <f ca="1">IFERROR(__xludf.DUMMYFUNCTION("""COMPUTED_VALUE"""),"TE")</f>
        <v>TE</v>
      </c>
    </row>
    <row r="133" spans="1:4" ht="13" x14ac:dyDescent="0.15">
      <c r="A133" s="16"/>
      <c r="B133" s="3">
        <f ca="1">IFERROR(__xludf.DUMMYFUNCTION("""COMPUTED_VALUE"""),643)</f>
        <v>643</v>
      </c>
      <c r="C133" s="3" t="str">
        <f ca="1">IFERROR(__xludf.DUMMYFUNCTION("""COMPUTED_VALUE"""),"Xavier Grimble")</f>
        <v>Xavier Grimble</v>
      </c>
      <c r="D133" s="3" t="str">
        <f ca="1">IFERROR(__xludf.DUMMYFUNCTION("""COMPUTED_VALUE"""),"TE")</f>
        <v>TE</v>
      </c>
    </row>
    <row r="134" spans="1:4" ht="13" x14ac:dyDescent="0.15">
      <c r="A134" s="16"/>
      <c r="B134" s="3">
        <f ca="1">IFERROR(__xludf.DUMMYFUNCTION("""COMPUTED_VALUE"""),645)</f>
        <v>645</v>
      </c>
      <c r="C134" s="3" t="str">
        <f ca="1">IFERROR(__xludf.DUMMYFUNCTION("""COMPUTED_VALUE"""),"Joshua Perkins")</f>
        <v>Joshua Perkins</v>
      </c>
      <c r="D134" s="3" t="str">
        <f ca="1">IFERROR(__xludf.DUMMYFUNCTION("""COMPUTED_VALUE"""),"TE")</f>
        <v>TE</v>
      </c>
    </row>
    <row r="135" spans="1:4" ht="13" x14ac:dyDescent="0.15">
      <c r="A135" s="16"/>
      <c r="B135" s="3">
        <f ca="1">IFERROR(__xludf.DUMMYFUNCTION("""COMPUTED_VALUE"""),647)</f>
        <v>647</v>
      </c>
      <c r="C135" s="3" t="str">
        <f ca="1">IFERROR(__xludf.DUMMYFUNCTION("""COMPUTED_VALUE"""),"David Grinnage")</f>
        <v>David Grinnage</v>
      </c>
      <c r="D135" s="3" t="str">
        <f ca="1">IFERROR(__xludf.DUMMYFUNCTION("""COMPUTED_VALUE"""),"TE")</f>
        <v>TE</v>
      </c>
    </row>
    <row r="136" spans="1:4" ht="13" x14ac:dyDescent="0.15">
      <c r="A136" s="16"/>
      <c r="B136" s="3">
        <f ca="1">IFERROR(__xludf.DUMMYFUNCTION("""COMPUTED_VALUE"""),648)</f>
        <v>648</v>
      </c>
      <c r="C136" s="3" t="str">
        <f ca="1">IFERROR(__xludf.DUMMYFUNCTION("""COMPUTED_VALUE"""),"Ryan Hewitt")</f>
        <v>Ryan Hewitt</v>
      </c>
      <c r="D136" s="3" t="str">
        <f ca="1">IFERROR(__xludf.DUMMYFUNCTION("""COMPUTED_VALUE"""),"TE")</f>
        <v>TE</v>
      </c>
    </row>
    <row r="137" spans="1:4" ht="13" x14ac:dyDescent="0.15">
      <c r="A137" s="16"/>
      <c r="B137" s="3">
        <f ca="1">IFERROR(__xludf.DUMMYFUNCTION("""COMPUTED_VALUE"""),651)</f>
        <v>651</v>
      </c>
      <c r="C137" s="3" t="str">
        <f ca="1">IFERROR(__xludf.DUMMYFUNCTION("""COMPUTED_VALUE"""),"Antony Auclair")</f>
        <v>Antony Auclair</v>
      </c>
      <c r="D137" s="3" t="str">
        <f ca="1">IFERROR(__xludf.DUMMYFUNCTION("""COMPUTED_VALUE"""),"TE")</f>
        <v>TE</v>
      </c>
    </row>
    <row r="138" spans="1:4" ht="13" x14ac:dyDescent="0.15">
      <c r="A138" s="16"/>
      <c r="B138" s="3">
        <f ca="1">IFERROR(__xludf.DUMMYFUNCTION("""COMPUTED_VALUE"""),653)</f>
        <v>653</v>
      </c>
      <c r="C138" s="3" t="str">
        <f ca="1">IFERROR(__xludf.DUMMYFUNCTION("""COMPUTED_VALUE"""),"Rico Gathers")</f>
        <v>Rico Gathers</v>
      </c>
      <c r="D138" s="3" t="str">
        <f ca="1">IFERROR(__xludf.DUMMYFUNCTION("""COMPUTED_VALUE"""),"TE")</f>
        <v>TE</v>
      </c>
    </row>
    <row r="139" spans="1:4" ht="13" x14ac:dyDescent="0.15">
      <c r="A139" s="16"/>
      <c r="B139" s="3">
        <f ca="1">IFERROR(__xludf.DUMMYFUNCTION("""COMPUTED_VALUE"""),654)</f>
        <v>654</v>
      </c>
      <c r="C139" s="3" t="str">
        <f ca="1">IFERROR(__xludf.DUMMYFUNCTION("""COMPUTED_VALUE"""),"Eric Saubert")</f>
        <v>Eric Saubert</v>
      </c>
      <c r="D139" s="3" t="str">
        <f ca="1">IFERROR(__xludf.DUMMYFUNCTION("""COMPUTED_VALUE"""),"TE")</f>
        <v>TE</v>
      </c>
    </row>
    <row r="140" spans="1:4" ht="13" x14ac:dyDescent="0.15">
      <c r="A140" s="16"/>
      <c r="B140" s="3">
        <f ca="1">IFERROR(__xludf.DUMMYFUNCTION("""COMPUTED_VALUE"""),655)</f>
        <v>655</v>
      </c>
      <c r="C140" s="3" t="str">
        <f ca="1">IFERROR(__xludf.DUMMYFUNCTION("""COMPUTED_VALUE"""),"Durham Smythe")</f>
        <v>Durham Smythe</v>
      </c>
      <c r="D140" s="3" t="str">
        <f ca="1">IFERROR(__xludf.DUMMYFUNCTION("""COMPUTED_VALUE"""),"TE")</f>
        <v>TE</v>
      </c>
    </row>
    <row r="141" spans="1:4" ht="13" x14ac:dyDescent="0.15">
      <c r="A141" s="16"/>
      <c r="B141" s="3">
        <f ca="1">IFERROR(__xludf.DUMMYFUNCTION("""COMPUTED_VALUE"""),656)</f>
        <v>656</v>
      </c>
      <c r="C141" s="3" t="str">
        <f ca="1">IFERROR(__xludf.DUMMYFUNCTION("""COMPUTED_VALUE"""),"Neal Sterling")</f>
        <v>Neal Sterling</v>
      </c>
      <c r="D141" s="3" t="str">
        <f ca="1">IFERROR(__xludf.DUMMYFUNCTION("""COMPUTED_VALUE"""),"TE")</f>
        <v>TE</v>
      </c>
    </row>
    <row r="142" spans="1:4" ht="13" x14ac:dyDescent="0.15">
      <c r="A142" s="16"/>
      <c r="B142" s="3">
        <f ca="1">IFERROR(__xludf.DUMMYFUNCTION("""COMPUTED_VALUE"""),659)</f>
        <v>659</v>
      </c>
      <c r="C142" s="3" t="str">
        <f ca="1">IFERROR(__xludf.DUMMYFUNCTION("""COMPUTED_VALUE"""),"Ben Braunecker")</f>
        <v>Ben Braunecker</v>
      </c>
      <c r="D142" s="3" t="str">
        <f ca="1">IFERROR(__xludf.DUMMYFUNCTION("""COMPUTED_VALUE"""),"TE")</f>
        <v>TE</v>
      </c>
    </row>
    <row r="143" spans="1:4" ht="13" x14ac:dyDescent="0.15">
      <c r="A143" s="16"/>
      <c r="B143" s="3">
        <f ca="1">IFERROR(__xludf.DUMMYFUNCTION("""COMPUTED_VALUE"""),661)</f>
        <v>661</v>
      </c>
      <c r="C143" s="3" t="str">
        <f ca="1">IFERROR(__xludf.DUMMYFUNCTION("""COMPUTED_VALUE"""),"Jordan Franks")</f>
        <v>Jordan Franks</v>
      </c>
      <c r="D143" s="3" t="str">
        <f ca="1">IFERROR(__xludf.DUMMYFUNCTION("""COMPUTED_VALUE"""),"TE")</f>
        <v>TE</v>
      </c>
    </row>
    <row r="144" spans="1:4" ht="13" x14ac:dyDescent="0.15">
      <c r="A144" s="16"/>
      <c r="B144" s="3">
        <f ca="1">IFERROR(__xludf.DUMMYFUNCTION("""COMPUTED_VALUE"""),664)</f>
        <v>664</v>
      </c>
      <c r="C144" s="3" t="str">
        <f ca="1">IFERROR(__xludf.DUMMYFUNCTION("""COMPUTED_VALUE"""),"John Phillips")</f>
        <v>John Phillips</v>
      </c>
      <c r="D144" s="3" t="str">
        <f ca="1">IFERROR(__xludf.DUMMYFUNCTION("""COMPUTED_VALUE"""),"TE")</f>
        <v>TE</v>
      </c>
    </row>
    <row r="145" spans="1:4" ht="13" x14ac:dyDescent="0.15">
      <c r="A145" s="16"/>
      <c r="B145" s="3">
        <f ca="1">IFERROR(__xludf.DUMMYFUNCTION("""COMPUTED_VALUE"""),669)</f>
        <v>669</v>
      </c>
      <c r="C145" s="3" t="str">
        <f ca="1">IFERROR(__xludf.DUMMYFUNCTION("""COMPUTED_VALUE"""),"Brian Parker")</f>
        <v>Brian Parker</v>
      </c>
      <c r="D145" s="3" t="str">
        <f ca="1">IFERROR(__xludf.DUMMYFUNCTION("""COMPUTED_VALUE"""),"TE")</f>
        <v>TE</v>
      </c>
    </row>
    <row r="146" spans="1:4" ht="13" x14ac:dyDescent="0.15">
      <c r="A146" s="16"/>
      <c r="B146" s="3">
        <f ca="1">IFERROR(__xludf.DUMMYFUNCTION("""COMPUTED_VALUE"""),675)</f>
        <v>675</v>
      </c>
      <c r="C146" s="3" t="str">
        <f ca="1">IFERROR(__xludf.DUMMYFUNCTION("""COMPUTED_VALUE"""),"Sean Culkin")</f>
        <v>Sean Culkin</v>
      </c>
      <c r="D146" s="3" t="str">
        <f ca="1">IFERROR(__xludf.DUMMYFUNCTION("""COMPUTED_VALUE"""),"TE")</f>
        <v>TE</v>
      </c>
    </row>
    <row r="147" spans="1:4" ht="13" x14ac:dyDescent="0.15">
      <c r="A147" s="16"/>
      <c r="B147" s="3">
        <f ca="1">IFERROR(__xludf.DUMMYFUNCTION("""COMPUTED_VALUE"""),682)</f>
        <v>682</v>
      </c>
      <c r="C147" s="3" t="str">
        <f ca="1">IFERROR(__xludf.DUMMYFUNCTION("""COMPUTED_VALUE"""),"Tyrone Swoopes")</f>
        <v>Tyrone Swoopes</v>
      </c>
      <c r="D147" s="3" t="str">
        <f ca="1">IFERROR(__xludf.DUMMYFUNCTION("""COMPUTED_VALUE"""),"TE")</f>
        <v>TE</v>
      </c>
    </row>
    <row r="148" spans="1:4" ht="13" x14ac:dyDescent="0.15">
      <c r="A148" s="16"/>
      <c r="B148" s="3">
        <f ca="1">IFERROR(__xludf.DUMMYFUNCTION("""COMPUTED_VALUE"""),689)</f>
        <v>689</v>
      </c>
      <c r="C148" s="3" t="str">
        <f ca="1">IFERROR(__xludf.DUMMYFUNCTION("""COMPUTED_VALUE"""),"Ross Dwelley")</f>
        <v>Ross Dwelley</v>
      </c>
      <c r="D148" s="3" t="str">
        <f ca="1">IFERROR(__xludf.DUMMYFUNCTION("""COMPUTED_VALUE"""),"TE")</f>
        <v>TE</v>
      </c>
    </row>
    <row r="149" spans="1:4" ht="13" x14ac:dyDescent="0.15">
      <c r="A149" s="16"/>
      <c r="B149" s="3">
        <f ca="1">IFERROR(__xludf.DUMMYFUNCTION("""COMPUTED_VALUE"""),690)</f>
        <v>690</v>
      </c>
      <c r="C149" s="3" t="str">
        <f ca="1">IFERROR(__xludf.DUMMYFUNCTION("""COMPUTED_VALUE"""),"Matt Flanagan")</f>
        <v>Matt Flanagan</v>
      </c>
      <c r="D149" s="3" t="str">
        <f ca="1">IFERROR(__xludf.DUMMYFUNCTION("""COMPUTED_VALUE"""),"TE")</f>
        <v>TE</v>
      </c>
    </row>
    <row r="150" spans="1:4" ht="13" x14ac:dyDescent="0.15">
      <c r="A150" s="16"/>
      <c r="B150" s="3">
        <f ca="1">IFERROR(__xludf.DUMMYFUNCTION("""COMPUTED_VALUE"""),697)</f>
        <v>697</v>
      </c>
      <c r="C150" s="3" t="str">
        <f ca="1">IFERROR(__xludf.DUMMYFUNCTION("""COMPUTED_VALUE"""),"Khari Lee")</f>
        <v>Khari Lee</v>
      </c>
      <c r="D150" s="3" t="str">
        <f ca="1">IFERROR(__xludf.DUMMYFUNCTION("""COMPUTED_VALUE"""),"TE")</f>
        <v>TE</v>
      </c>
    </row>
    <row r="151" spans="1:4" ht="13" x14ac:dyDescent="0.15">
      <c r="A151" s="16"/>
      <c r="B151" s="3">
        <f ca="1">IFERROR(__xludf.DUMMYFUNCTION("""COMPUTED_VALUE"""),700)</f>
        <v>700</v>
      </c>
      <c r="C151" s="3" t="str">
        <f ca="1">IFERROR(__xludf.DUMMYFUNCTION("""COMPUTED_VALUE"""),"Johnny Mundt")</f>
        <v>Johnny Mundt</v>
      </c>
      <c r="D151" s="3" t="str">
        <f ca="1">IFERROR(__xludf.DUMMYFUNCTION("""COMPUTED_VALUE"""),"TE")</f>
        <v>TE</v>
      </c>
    </row>
    <row r="152" spans="1:4" ht="13" x14ac:dyDescent="0.15">
      <c r="A152" s="16"/>
      <c r="B152" s="3">
        <f ca="1">IFERROR(__xludf.DUMMYFUNCTION("""COMPUTED_VALUE"""),703)</f>
        <v>703</v>
      </c>
      <c r="C152" s="3" t="str">
        <f ca="1">IFERROR(__xludf.DUMMYFUNCTION("""COMPUTED_VALUE"""),"Hakeem Valles")</f>
        <v>Hakeem Valles</v>
      </c>
      <c r="D152" s="3" t="str">
        <f ca="1">IFERROR(__xludf.DUMMYFUNCTION("""COMPUTED_VALUE"""),"TE")</f>
        <v>TE</v>
      </c>
    </row>
    <row r="153" spans="1:4" ht="13" x14ac:dyDescent="0.15">
      <c r="A153" s="9">
        <f>+A48+1</f>
        <v>42</v>
      </c>
      <c r="B153" s="3">
        <f ca="1">IFERROR(__xludf.DUMMYFUNCTION("""COMPUTED_VALUE"""),742)</f>
        <v>742</v>
      </c>
      <c r="C153" s="3" t="str">
        <f ca="1">IFERROR(__xludf.DUMMYFUNCTION("""COMPUTED_VALUE"""),"Josh Oliver")</f>
        <v>Josh Oliver</v>
      </c>
      <c r="D153" s="3" t="str">
        <f ca="1">IFERROR(__xludf.DUMMYFUNCTION("""COMPUTED_VALUE"""),"TE")</f>
        <v>TE</v>
      </c>
    </row>
    <row r="154" spans="1:4" ht="13" x14ac:dyDescent="0.15">
      <c r="A154" s="9">
        <f t="shared" ref="A154:A161" si="1">+A153+1</f>
        <v>43</v>
      </c>
      <c r="B154" s="3">
        <f ca="1">IFERROR(__xludf.DUMMYFUNCTION("""COMPUTED_VALUE"""),743)</f>
        <v>743</v>
      </c>
      <c r="C154" s="3" t="str">
        <f ca="1">IFERROR(__xludf.DUMMYFUNCTION("""COMPUTED_VALUE"""),"Kahale Warring")</f>
        <v>Kahale Warring</v>
      </c>
      <c r="D154" s="3" t="str">
        <f ca="1">IFERROR(__xludf.DUMMYFUNCTION("""COMPUTED_VALUE"""),"TE")</f>
        <v>TE</v>
      </c>
    </row>
    <row r="155" spans="1:4" ht="13" x14ac:dyDescent="0.15">
      <c r="A155" s="9">
        <f t="shared" si="1"/>
        <v>44</v>
      </c>
      <c r="B155" s="3">
        <f ca="1">IFERROR(__xludf.DUMMYFUNCTION("""COMPUTED_VALUE"""),758)</f>
        <v>758</v>
      </c>
      <c r="C155" s="3" t="str">
        <f ca="1">IFERROR(__xludf.DUMMYFUNCTION("""COMPUTED_VALUE"""),"Drew Sample")</f>
        <v>Drew Sample</v>
      </c>
      <c r="D155" s="3" t="str">
        <f ca="1">IFERROR(__xludf.DUMMYFUNCTION("""COMPUTED_VALUE"""),"TE")</f>
        <v>TE</v>
      </c>
    </row>
    <row r="156" spans="1:4" ht="13" x14ac:dyDescent="0.15">
      <c r="A156" s="9">
        <f t="shared" si="1"/>
        <v>45</v>
      </c>
      <c r="B156" s="3">
        <f ca="1">IFERROR(__xludf.DUMMYFUNCTION("""COMPUTED_VALUE"""),759)</f>
        <v>759</v>
      </c>
      <c r="C156" s="3" t="str">
        <f ca="1">IFERROR(__xludf.DUMMYFUNCTION("""COMPUTED_VALUE"""),"Trevon Wesco")</f>
        <v>Trevon Wesco</v>
      </c>
      <c r="D156" s="3" t="str">
        <f ca="1">IFERROR(__xludf.DUMMYFUNCTION("""COMPUTED_VALUE"""),"TE")</f>
        <v>TE</v>
      </c>
    </row>
    <row r="157" spans="1:4" ht="13" x14ac:dyDescent="0.15">
      <c r="A157" s="9">
        <f t="shared" si="1"/>
        <v>46</v>
      </c>
      <c r="B157" s="3">
        <f ca="1">IFERROR(__xludf.DUMMYFUNCTION("""COMPUTED_VALUE"""),774)</f>
        <v>774</v>
      </c>
      <c r="C157" s="3" t="str">
        <f ca="1">IFERROR(__xludf.DUMMYFUNCTION("""COMPUTED_VALUE"""),"Foster Moreau")</f>
        <v>Foster Moreau</v>
      </c>
      <c r="D157" s="3" t="str">
        <f ca="1">IFERROR(__xludf.DUMMYFUNCTION("""COMPUTED_VALUE"""),"TE")</f>
        <v>TE</v>
      </c>
    </row>
    <row r="158" spans="1:4" ht="13" x14ac:dyDescent="0.15">
      <c r="A158" s="9">
        <f t="shared" si="1"/>
        <v>47</v>
      </c>
      <c r="B158" s="3">
        <f ca="1">IFERROR(__xludf.DUMMYFUNCTION("""COMPUTED_VALUE"""),775)</f>
        <v>775</v>
      </c>
      <c r="C158" s="3" t="str">
        <f ca="1">IFERROR(__xludf.DUMMYFUNCTION("""COMPUTED_VALUE"""),"Zach Gentry")</f>
        <v>Zach Gentry</v>
      </c>
      <c r="D158" s="3" t="str">
        <f ca="1">IFERROR(__xludf.DUMMYFUNCTION("""COMPUTED_VALUE"""),"TE")</f>
        <v>TE</v>
      </c>
    </row>
    <row r="159" spans="1:4" ht="13" x14ac:dyDescent="0.15">
      <c r="A159" s="9">
        <f t="shared" si="1"/>
        <v>48</v>
      </c>
      <c r="B159" s="3">
        <f ca="1">IFERROR(__xludf.DUMMYFUNCTION("""COMPUTED_VALUE"""),782)</f>
        <v>782</v>
      </c>
      <c r="C159" s="3" t="str">
        <f ca="1">IFERROR(__xludf.DUMMYFUNCTION("""COMPUTED_VALUE"""),"Caleb Wilson")</f>
        <v>Caleb Wilson</v>
      </c>
      <c r="D159" s="3" t="str">
        <f ca="1">IFERROR(__xludf.DUMMYFUNCTION("""COMPUTED_VALUE"""),"TE")</f>
        <v>TE</v>
      </c>
    </row>
    <row r="160" spans="1:4" ht="13" x14ac:dyDescent="0.15">
      <c r="A160" s="9">
        <f t="shared" si="1"/>
        <v>49</v>
      </c>
      <c r="B160" s="3">
        <f ca="1">IFERROR(__xludf.DUMMYFUNCTION("""COMPUTED_VALUE"""),783)</f>
        <v>783</v>
      </c>
      <c r="C160" s="3" t="str">
        <f ca="1">IFERROR(__xludf.DUMMYFUNCTION("""COMPUTED_VALUE"""),"Isaac Nauta")</f>
        <v>Isaac Nauta</v>
      </c>
      <c r="D160" s="3" t="str">
        <f ca="1">IFERROR(__xludf.DUMMYFUNCTION("""COMPUTED_VALUE"""),"TE")</f>
        <v>TE</v>
      </c>
    </row>
    <row r="161" spans="1:4" ht="13" x14ac:dyDescent="0.15">
      <c r="A161" s="9">
        <f t="shared" si="1"/>
        <v>50</v>
      </c>
      <c r="B161" s="3">
        <f ca="1">IFERROR(__xludf.DUMMYFUNCTION("""COMPUTED_VALUE"""),784)</f>
        <v>784</v>
      </c>
      <c r="C161" s="3" t="str">
        <f ca="1">IFERROR(__xludf.DUMMYFUNCTION("""COMPUTED_VALUE"""),"Kaden Smith")</f>
        <v>Kaden Smith</v>
      </c>
      <c r="D161" s="3" t="str">
        <f ca="1">IFERROR(__xludf.DUMMYFUNCTION("""COMPUTED_VALUE"""),"TE")</f>
        <v>TE</v>
      </c>
    </row>
  </sheetData>
  <conditionalFormatting sqref="A50:D152 A16:A47 A3:A14 B3:B47 C6:C47 C4 A2:B2 D2:D47">
    <cfRule type="expression" dxfId="58" priority="12">
      <formula>E2=1</formula>
    </cfRule>
  </conditionalFormatting>
  <conditionalFormatting sqref="B50:D152 B16:B47 B3:B14 C3:C47 D6:D47 D4 B2:C2">
    <cfRule type="expression" dxfId="57" priority="11">
      <formula>E2=1</formula>
    </cfRule>
  </conditionalFormatting>
  <conditionalFormatting sqref="C50:C152 C3:C14 C16:C47 D15">
    <cfRule type="expression" dxfId="56" priority="10">
      <formula>E3=1</formula>
    </cfRule>
  </conditionalFormatting>
  <conditionalFormatting sqref="D50:D152 D3:D14 D16:D47">
    <cfRule type="expression" dxfId="55" priority="9">
      <formula>E3=1</formula>
    </cfRule>
  </conditionalFormatting>
  <conditionalFormatting sqref="C2">
    <cfRule type="expression" dxfId="54" priority="2">
      <formula>E2=1</formula>
    </cfRule>
  </conditionalFormatting>
  <conditionalFormatting sqref="D2">
    <cfRule type="expression" dxfId="53" priority="1">
      <formula>E2=1</formula>
    </cfRule>
  </conditionalFormatting>
  <conditionalFormatting sqref="A15">
    <cfRule type="expression" dxfId="52" priority="903">
      <formula>F15=1</formula>
    </cfRule>
  </conditionalFormatting>
  <conditionalFormatting sqref="B15 C2:C3">
    <cfRule type="expression" dxfId="51" priority="904">
      <formula>#REF!=1</formula>
    </cfRule>
  </conditionalFormatting>
  <conditionalFormatting sqref="C15 D2:D3">
    <cfRule type="expression" dxfId="50" priority="907">
      <formula>#REF!=1</formula>
    </cfRule>
  </conditionalFormatting>
  <conditionalFormatting sqref="C5">
    <cfRule type="expression" dxfId="49" priority="917">
      <formula>G2=1</formula>
    </cfRule>
  </conditionalFormatting>
  <conditionalFormatting sqref="D5">
    <cfRule type="expression" dxfId="48" priority="918">
      <formula>G2=1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51"/>
  <sheetViews>
    <sheetView showGridLines="0" zoomScaleNormal="100" workbookViewId="0">
      <pane ySplit="1" topLeftCell="A2" activePane="bottomLeft" state="frozen"/>
      <selection pane="bottomLeft" activeCell="B23" sqref="B23:C23"/>
    </sheetView>
  </sheetViews>
  <sheetFormatPr baseColWidth="10" defaultColWidth="14.5" defaultRowHeight="15.75" customHeight="1" x14ac:dyDescent="0.15"/>
  <cols>
    <col min="1" max="1" width="14.5" style="6"/>
    <col min="5" max="5" width="14.5" style="6"/>
    <col min="6" max="6" width="15.83203125" style="6" bestFit="1" customWidth="1"/>
    <col min="7" max="10" width="14.5" style="13"/>
    <col min="11" max="11" width="16.1640625" style="13" bestFit="1" customWidth="1"/>
    <col min="12" max="17" width="14.5" style="13"/>
  </cols>
  <sheetData>
    <row r="1" spans="1:14" ht="13" x14ac:dyDescent="0.15">
      <c r="A1" s="5" t="s">
        <v>860</v>
      </c>
      <c r="B1" s="8" t="s">
        <v>0</v>
      </c>
      <c r="C1" s="8" t="s">
        <v>1</v>
      </c>
      <c r="D1" s="8" t="s">
        <v>2</v>
      </c>
      <c r="E1" s="15" t="s">
        <v>861</v>
      </c>
      <c r="F1" s="54"/>
    </row>
    <row r="2" spans="1:14" ht="13" x14ac:dyDescent="0.15">
      <c r="A2" s="11">
        <v>1</v>
      </c>
      <c r="B2" s="3">
        <f ca="1">IFERROR(__xludf.DUMMYFUNCTION("""COMPUTED_VALUE"""),794)</f>
        <v>794</v>
      </c>
      <c r="C2" s="3" t="str">
        <f ca="1">IFERROR(__xludf.DUMMYFUNCTION("""COMPUTED_VALUE"""),"Chicago Bears")</f>
        <v>Chicago Bears</v>
      </c>
      <c r="D2" s="3" t="str">
        <f ca="1">IFERROR(__xludf.DUMMYFUNCTION("""COMPUTED_VALUE"""),"D/ST")</f>
        <v>D/ST</v>
      </c>
      <c r="E2" s="30">
        <v>1</v>
      </c>
      <c r="F2" s="84"/>
      <c r="G2" s="31"/>
      <c r="H2" s="31"/>
      <c r="K2" s="31"/>
    </row>
    <row r="3" spans="1:14" ht="13" x14ac:dyDescent="0.15">
      <c r="A3" s="16">
        <f>+A2+1</f>
        <v>2</v>
      </c>
      <c r="B3" s="3">
        <f ca="1">IFERROR(__xludf.DUMMYFUNCTION("""COMPUTED_VALUE"""),803)</f>
        <v>803</v>
      </c>
      <c r="C3" s="3" t="str">
        <f ca="1">IFERROR(__xludf.DUMMYFUNCTION("""COMPUTED_VALUE"""),"Jacksonville Jaguars")</f>
        <v>Jacksonville Jaguars</v>
      </c>
      <c r="D3" s="3" t="str">
        <f ca="1">IFERROR(__xludf.DUMMYFUNCTION("""COMPUTED_VALUE"""),"D/ST")</f>
        <v>D/ST</v>
      </c>
      <c r="E3" s="6">
        <v>1</v>
      </c>
      <c r="G3" s="31"/>
      <c r="H3" s="31"/>
      <c r="J3" s="68"/>
      <c r="K3" s="31"/>
      <c r="L3" s="69"/>
      <c r="M3" s="69"/>
    </row>
    <row r="4" spans="1:14" ht="13" x14ac:dyDescent="0.15">
      <c r="A4" s="16">
        <f t="shared" ref="A4:A33" si="0">+A3+1</f>
        <v>3</v>
      </c>
      <c r="B4" s="3">
        <f ca="1">IFERROR(__xludf.DUMMYFUNCTION("""COMPUTED_VALUE"""),806)</f>
        <v>806</v>
      </c>
      <c r="C4" s="3" t="str">
        <f ca="1">IFERROR(__xludf.DUMMYFUNCTION("""COMPUTED_VALUE"""),"Los Angeles Rams")</f>
        <v>Los Angeles Rams</v>
      </c>
      <c r="D4" s="3" t="str">
        <f ca="1">IFERROR(__xludf.DUMMYFUNCTION("""COMPUTED_VALUE"""),"D/ST")</f>
        <v>D/ST</v>
      </c>
      <c r="E4" s="6">
        <v>1</v>
      </c>
      <c r="H4" s="70"/>
      <c r="J4" s="68"/>
      <c r="K4" s="31"/>
      <c r="L4" s="69"/>
      <c r="M4" s="69"/>
    </row>
    <row r="5" spans="1:14" ht="13" x14ac:dyDescent="0.15">
      <c r="A5" s="16">
        <f t="shared" si="0"/>
        <v>4</v>
      </c>
      <c r="B5" s="3">
        <f ca="1">IFERROR(__xludf.DUMMYFUNCTION("""COMPUTED_VALUE"""),805)</f>
        <v>805</v>
      </c>
      <c r="C5" s="3" t="str">
        <f ca="1">IFERROR(__xludf.DUMMYFUNCTION("""COMPUTED_VALUE"""),"Los Angeles Chargers")</f>
        <v>Los Angeles Chargers</v>
      </c>
      <c r="D5" s="3" t="str">
        <f ca="1">IFERROR(__xludf.DUMMYFUNCTION("""COMPUTED_VALUE"""),"D/ST")</f>
        <v>D/ST</v>
      </c>
      <c r="E5" s="6">
        <v>1</v>
      </c>
      <c r="G5" s="70"/>
      <c r="I5" s="31"/>
      <c r="J5" s="68"/>
      <c r="K5" s="31"/>
      <c r="L5" s="69"/>
      <c r="M5" s="69"/>
      <c r="N5" s="31"/>
    </row>
    <row r="6" spans="1:14" ht="13" x14ac:dyDescent="0.15">
      <c r="A6" s="16">
        <f t="shared" si="0"/>
        <v>5</v>
      </c>
      <c r="B6" s="3">
        <f ca="1">IFERROR(__xludf.DUMMYFUNCTION("""COMPUTED_VALUE"""),808)</f>
        <v>808</v>
      </c>
      <c r="C6" s="3" t="str">
        <f ca="1">IFERROR(__xludf.DUMMYFUNCTION("""COMPUTED_VALUE"""),"Minnesota Vikings")</f>
        <v>Minnesota Vikings</v>
      </c>
      <c r="D6" s="3" t="str">
        <f ca="1">IFERROR(__xludf.DUMMYFUNCTION("""COMPUTED_VALUE"""),"D/ST")</f>
        <v>D/ST</v>
      </c>
      <c r="E6" s="80">
        <v>1</v>
      </c>
      <c r="G6" s="74"/>
      <c r="H6" s="73"/>
      <c r="I6" s="74"/>
    </row>
    <row r="7" spans="1:14" ht="13" x14ac:dyDescent="0.15">
      <c r="A7" s="16">
        <f t="shared" si="0"/>
        <v>6</v>
      </c>
      <c r="B7" s="3">
        <f ca="1">IFERROR(__xludf.DUMMYFUNCTION("""COMPUTED_VALUE"""),810)</f>
        <v>810</v>
      </c>
      <c r="C7" s="3" t="str">
        <f ca="1">IFERROR(__xludf.DUMMYFUNCTION("""COMPUTED_VALUE"""),"New Orleans Saints")</f>
        <v>New Orleans Saints</v>
      </c>
      <c r="D7" s="3" t="str">
        <f ca="1">IFERROR(__xludf.DUMMYFUNCTION("""COMPUTED_VALUE"""),"D/ST")</f>
        <v>D/ST</v>
      </c>
      <c r="E7" s="6">
        <v>1</v>
      </c>
      <c r="G7" s="31"/>
      <c r="H7" s="59"/>
      <c r="I7" s="74"/>
    </row>
    <row r="8" spans="1:14" ht="13" x14ac:dyDescent="0.15">
      <c r="A8" s="16">
        <f t="shared" si="0"/>
        <v>7</v>
      </c>
      <c r="B8" s="3">
        <f ca="1">IFERROR(__xludf.DUMMYFUNCTION("""COMPUTED_VALUE"""),809)</f>
        <v>809</v>
      </c>
      <c r="C8" s="3" t="str">
        <f ca="1">IFERROR(__xludf.DUMMYFUNCTION("""COMPUTED_VALUE"""),"New England Patriots")</f>
        <v>New England Patriots</v>
      </c>
      <c r="D8" s="3" t="str">
        <f ca="1">IFERROR(__xludf.DUMMYFUNCTION("""COMPUTED_VALUE"""),"D/ST")</f>
        <v>D/ST</v>
      </c>
      <c r="E8" s="83"/>
      <c r="F8" s="83"/>
      <c r="G8" s="74"/>
      <c r="H8" s="73"/>
      <c r="I8" s="74"/>
      <c r="J8" s="59"/>
    </row>
    <row r="9" spans="1:14" ht="13" x14ac:dyDescent="0.15">
      <c r="A9" s="16">
        <f t="shared" si="0"/>
        <v>8</v>
      </c>
      <c r="B9" s="3">
        <f ca="1">IFERROR(__xludf.DUMMYFUNCTION("""COMPUTED_VALUE"""),792)</f>
        <v>792</v>
      </c>
      <c r="C9" s="3" t="str">
        <f ca="1">IFERROR(__xludf.DUMMYFUNCTION("""COMPUTED_VALUE"""),"Buffalo Bills")</f>
        <v>Buffalo Bills</v>
      </c>
      <c r="D9" s="3" t="str">
        <f ca="1">IFERROR(__xludf.DUMMYFUNCTION("""COMPUTED_VALUE"""),"D/ST")</f>
        <v>D/ST</v>
      </c>
      <c r="E9" s="80">
        <v>1</v>
      </c>
      <c r="G9" s="74"/>
      <c r="H9" s="73"/>
      <c r="I9" s="31"/>
    </row>
    <row r="10" spans="1:14" ht="13" x14ac:dyDescent="0.15">
      <c r="A10" s="16">
        <f t="shared" si="0"/>
        <v>9</v>
      </c>
      <c r="B10" s="3">
        <f ca="1">IFERROR(__xludf.DUMMYFUNCTION("""COMPUTED_VALUE"""),801)</f>
        <v>801</v>
      </c>
      <c r="C10" s="3" t="str">
        <f ca="1">IFERROR(__xludf.DUMMYFUNCTION("""COMPUTED_VALUE"""),"Houston Texans")</f>
        <v>Houston Texans</v>
      </c>
      <c r="D10" s="3" t="str">
        <f ca="1">IFERROR(__xludf.DUMMYFUNCTION("""COMPUTED_VALUE"""),"D/ST")</f>
        <v>D/ST</v>
      </c>
      <c r="E10" s="30">
        <v>1</v>
      </c>
      <c r="G10" s="74"/>
      <c r="H10" s="73"/>
      <c r="I10" s="74"/>
      <c r="J10" s="59"/>
    </row>
    <row r="11" spans="1:14" ht="13" x14ac:dyDescent="0.15">
      <c r="A11" s="16">
        <f t="shared" si="0"/>
        <v>10</v>
      </c>
      <c r="B11" s="3">
        <f ca="1">IFERROR(__xludf.DUMMYFUNCTION("""COMPUTED_VALUE"""),796)</f>
        <v>796</v>
      </c>
      <c r="C11" s="3" t="str">
        <f ca="1">IFERROR(__xludf.DUMMYFUNCTION("""COMPUTED_VALUE"""),"Cleveland Browns")</f>
        <v>Cleveland Browns</v>
      </c>
      <c r="D11" s="3" t="str">
        <f ca="1">IFERROR(__xludf.DUMMYFUNCTION("""COMPUTED_VALUE"""),"D/ST")</f>
        <v>D/ST</v>
      </c>
      <c r="E11" s="6">
        <v>1</v>
      </c>
      <c r="G11" s="31"/>
      <c r="H11" s="59"/>
      <c r="I11" s="74"/>
      <c r="J11" s="85"/>
      <c r="K11" s="86"/>
    </row>
    <row r="12" spans="1:14" ht="13" x14ac:dyDescent="0.15">
      <c r="A12" s="16">
        <f t="shared" si="0"/>
        <v>11</v>
      </c>
      <c r="B12" s="3">
        <f ca="1">IFERROR(__xludf.DUMMYFUNCTION("""COMPUTED_VALUE"""),798)</f>
        <v>798</v>
      </c>
      <c r="C12" s="3" t="str">
        <f ca="1">IFERROR(__xludf.DUMMYFUNCTION("""COMPUTED_VALUE"""),"Denver Broncos")</f>
        <v>Denver Broncos</v>
      </c>
      <c r="D12" s="3" t="str">
        <f ca="1">IFERROR(__xludf.DUMMYFUNCTION("""COMPUTED_VALUE"""),"D/ST")</f>
        <v>D/ST</v>
      </c>
      <c r="E12" s="6">
        <v>1</v>
      </c>
      <c r="I12" s="74"/>
      <c r="J12" s="59"/>
      <c r="K12" s="31"/>
    </row>
    <row r="13" spans="1:14" ht="13" x14ac:dyDescent="0.15">
      <c r="A13" s="16">
        <f t="shared" si="0"/>
        <v>12</v>
      </c>
      <c r="B13" s="3">
        <f ca="1">IFERROR(__xludf.DUMMYFUNCTION("""COMPUTED_VALUE"""),791)</f>
        <v>791</v>
      </c>
      <c r="C13" s="3" t="str">
        <f ca="1">IFERROR(__xludf.DUMMYFUNCTION("""COMPUTED_VALUE"""),"Baltimore Ravens")</f>
        <v>Baltimore Ravens</v>
      </c>
      <c r="D13" s="3" t="str">
        <f ca="1">IFERROR(__xludf.DUMMYFUNCTION("""COMPUTED_VALUE"""),"D/ST")</f>
        <v>D/ST</v>
      </c>
      <c r="E13" s="6">
        <v>1</v>
      </c>
      <c r="I13" s="31"/>
    </row>
    <row r="14" spans="1:14" ht="13" x14ac:dyDescent="0.15">
      <c r="A14" s="16">
        <f t="shared" si="0"/>
        <v>13</v>
      </c>
      <c r="B14" s="3">
        <f ca="1">IFERROR(__xludf.DUMMYFUNCTION("""COMPUTED_VALUE"""),802)</f>
        <v>802</v>
      </c>
      <c r="C14" s="3" t="str">
        <f ca="1">IFERROR(__xludf.DUMMYFUNCTION("""COMPUTED_VALUE"""),"Indianapolis Colts")</f>
        <v>Indianapolis Colts</v>
      </c>
      <c r="D14" s="3" t="str">
        <f ca="1">IFERROR(__xludf.DUMMYFUNCTION("""COMPUTED_VALUE"""),"D/ST")</f>
        <v>D/ST</v>
      </c>
      <c r="E14" s="6">
        <v>1</v>
      </c>
      <c r="I14" s="31"/>
      <c r="J14" s="59"/>
    </row>
    <row r="15" spans="1:14" ht="13" x14ac:dyDescent="0.15">
      <c r="A15" s="16">
        <f t="shared" si="0"/>
        <v>14</v>
      </c>
      <c r="B15" s="3">
        <f ca="1">IFERROR(__xludf.DUMMYFUNCTION("""COMPUTED_VALUE"""),814)</f>
        <v>814</v>
      </c>
      <c r="C15" s="3" t="str">
        <f ca="1">IFERROR(__xludf.DUMMYFUNCTION("""COMPUTED_VALUE"""),"Philadelphia Eagles")</f>
        <v>Philadelphia Eagles</v>
      </c>
      <c r="D15" s="3" t="str">
        <f ca="1">IFERROR(__xludf.DUMMYFUNCTION("""COMPUTED_VALUE"""),"D/ST")</f>
        <v>D/ST</v>
      </c>
      <c r="E15" s="6">
        <v>1</v>
      </c>
      <c r="F15" s="83"/>
      <c r="G15" s="31"/>
      <c r="I15" s="31"/>
      <c r="J15" s="59"/>
    </row>
    <row r="16" spans="1:14" ht="13" x14ac:dyDescent="0.15">
      <c r="A16" s="16">
        <f t="shared" si="0"/>
        <v>15</v>
      </c>
      <c r="B16" s="3">
        <f ca="1">IFERROR(__xludf.DUMMYFUNCTION("""COMPUTED_VALUE"""),819)</f>
        <v>819</v>
      </c>
      <c r="C16" s="3" t="str">
        <f ca="1">IFERROR(__xludf.DUMMYFUNCTION("""COMPUTED_VALUE"""),"Tennessee Titans")</f>
        <v>Tennessee Titans</v>
      </c>
      <c r="D16" s="3" t="str">
        <f ca="1">IFERROR(__xludf.DUMMYFUNCTION("""COMPUTED_VALUE"""),"D/ST")</f>
        <v>D/ST</v>
      </c>
      <c r="E16" s="6">
        <v>1</v>
      </c>
      <c r="I16" s="31"/>
      <c r="J16" s="59"/>
    </row>
    <row r="17" spans="1:10" ht="13" x14ac:dyDescent="0.15">
      <c r="A17" s="16">
        <f t="shared" si="0"/>
        <v>16</v>
      </c>
      <c r="B17" s="3">
        <f ca="1">IFERROR(__xludf.DUMMYFUNCTION("""COMPUTED_VALUE"""),815)</f>
        <v>815</v>
      </c>
      <c r="C17" s="3" t="str">
        <f ca="1">IFERROR(__xludf.DUMMYFUNCTION("""COMPUTED_VALUE"""),"Pittsburgh Steelers")</f>
        <v>Pittsburgh Steelers</v>
      </c>
      <c r="D17" s="3" t="str">
        <f ca="1">IFERROR(__xludf.DUMMYFUNCTION("""COMPUTED_VALUE"""),"D/ST")</f>
        <v>D/ST</v>
      </c>
      <c r="E17" s="6">
        <v>1</v>
      </c>
      <c r="I17" s="74"/>
      <c r="J17" s="59"/>
    </row>
    <row r="18" spans="1:10" ht="13" x14ac:dyDescent="0.15">
      <c r="A18" s="16">
        <f t="shared" si="0"/>
        <v>17</v>
      </c>
      <c r="B18" s="3">
        <f ca="1">IFERROR(__xludf.DUMMYFUNCTION("""COMPUTED_VALUE"""),797)</f>
        <v>797</v>
      </c>
      <c r="C18" s="3" t="str">
        <f ca="1">IFERROR(__xludf.DUMMYFUNCTION("""COMPUTED_VALUE"""),"Dallas Cowboys")</f>
        <v>Dallas Cowboys</v>
      </c>
      <c r="D18" s="3" t="str">
        <f ca="1">IFERROR(__xludf.DUMMYFUNCTION("""COMPUTED_VALUE"""),"D/ST")</f>
        <v>D/ST</v>
      </c>
      <c r="E18" s="6">
        <v>1</v>
      </c>
      <c r="I18" s="74"/>
      <c r="J18" s="59"/>
    </row>
    <row r="19" spans="1:10" ht="13" x14ac:dyDescent="0.15">
      <c r="A19" s="16">
        <f t="shared" si="0"/>
        <v>18</v>
      </c>
      <c r="B19" s="3">
        <f ca="1">IFERROR(__xludf.DUMMYFUNCTION("""COMPUTED_VALUE"""),804)</f>
        <v>804</v>
      </c>
      <c r="C19" s="3" t="str">
        <f ca="1">IFERROR(__xludf.DUMMYFUNCTION("""COMPUTED_VALUE"""),"Kansas City Chiefs")</f>
        <v>Kansas City Chiefs</v>
      </c>
      <c r="D19" s="3" t="str">
        <f ca="1">IFERROR(__xludf.DUMMYFUNCTION("""COMPUTED_VALUE"""),"D/ST")</f>
        <v>D/ST</v>
      </c>
      <c r="E19" s="6">
        <v>1</v>
      </c>
      <c r="F19" s="84"/>
      <c r="G19" s="70"/>
      <c r="I19" s="74"/>
      <c r="J19" s="59"/>
    </row>
    <row r="20" spans="1:10" ht="13" x14ac:dyDescent="0.15">
      <c r="A20" s="16">
        <f t="shared" si="0"/>
        <v>19</v>
      </c>
      <c r="B20" s="3">
        <f ca="1">IFERROR(__xludf.DUMMYFUNCTION("""COMPUTED_VALUE"""),817)</f>
        <v>817</v>
      </c>
      <c r="C20" s="3" t="str">
        <f ca="1">IFERROR(__xludf.DUMMYFUNCTION("""COMPUTED_VALUE"""),"Seattle Seahawks")</f>
        <v>Seattle Seahawks</v>
      </c>
      <c r="D20" s="3" t="str">
        <f ca="1">IFERROR(__xludf.DUMMYFUNCTION("""COMPUTED_VALUE"""),"D/ST")</f>
        <v>D/ST</v>
      </c>
      <c r="E20" s="6">
        <v>1</v>
      </c>
      <c r="G20" s="74"/>
      <c r="H20" s="74"/>
      <c r="I20" s="31"/>
      <c r="J20" s="59"/>
    </row>
    <row r="21" spans="1:10" ht="13" x14ac:dyDescent="0.15">
      <c r="A21" s="16">
        <f t="shared" si="0"/>
        <v>20</v>
      </c>
      <c r="B21" s="3">
        <f ca="1">IFERROR(__xludf.DUMMYFUNCTION("""COMPUTED_VALUE"""),793)</f>
        <v>793</v>
      </c>
      <c r="C21" s="3" t="str">
        <f ca="1">IFERROR(__xludf.DUMMYFUNCTION("""COMPUTED_VALUE"""),"Carolina Panthers")</f>
        <v>Carolina Panthers</v>
      </c>
      <c r="D21" s="3" t="str">
        <f ca="1">IFERROR(__xludf.DUMMYFUNCTION("""COMPUTED_VALUE"""),"D/ST")</f>
        <v>D/ST</v>
      </c>
      <c r="E21" s="83">
        <v>1</v>
      </c>
      <c r="F21" s="83"/>
      <c r="G21" s="31"/>
      <c r="H21" s="31"/>
      <c r="I21" s="31"/>
      <c r="J21" s="31"/>
    </row>
    <row r="22" spans="1:10" ht="13" x14ac:dyDescent="0.15">
      <c r="A22" s="16">
        <f t="shared" si="0"/>
        <v>21</v>
      </c>
      <c r="B22" s="3">
        <f ca="1">IFERROR(__xludf.DUMMYFUNCTION("""COMPUTED_VALUE"""),820)</f>
        <v>820</v>
      </c>
      <c r="C22" s="3" t="str">
        <f ca="1">IFERROR(__xludf.DUMMYFUNCTION("""COMPUTED_VALUE"""),"Washington Redskins")</f>
        <v>Washington Redskins</v>
      </c>
      <c r="D22" s="3" t="str">
        <f ca="1">IFERROR(__xludf.DUMMYFUNCTION("""COMPUTED_VALUE"""),"D/ST")</f>
        <v>D/ST</v>
      </c>
      <c r="E22" s="80"/>
      <c r="G22" s="31"/>
      <c r="H22" s="31"/>
    </row>
    <row r="23" spans="1:10" ht="13" x14ac:dyDescent="0.15">
      <c r="A23" s="16">
        <f t="shared" si="0"/>
        <v>22</v>
      </c>
      <c r="B23" s="3">
        <f ca="1">IFERROR(__xludf.DUMMYFUNCTION("""COMPUTED_VALUE"""),790)</f>
        <v>790</v>
      </c>
      <c r="C23" s="3" t="str">
        <f ca="1">IFERROR(__xludf.DUMMYFUNCTION("""COMPUTED_VALUE"""),"Atlanta Falcons")</f>
        <v>Atlanta Falcons</v>
      </c>
      <c r="D23" s="3" t="str">
        <f ca="1">IFERROR(__xludf.DUMMYFUNCTION("""COMPUTED_VALUE"""),"D/ST")</f>
        <v>D/ST</v>
      </c>
      <c r="E23" s="80"/>
      <c r="G23" s="31"/>
      <c r="H23" s="31"/>
    </row>
    <row r="24" spans="1:10" ht="13" x14ac:dyDescent="0.15">
      <c r="A24" s="16">
        <f t="shared" si="0"/>
        <v>23</v>
      </c>
      <c r="B24" s="3">
        <f ca="1">IFERROR(__xludf.DUMMYFUNCTION("""COMPUTED_VALUE"""),800)</f>
        <v>800</v>
      </c>
      <c r="C24" s="3" t="str">
        <f ca="1">IFERROR(__xludf.DUMMYFUNCTION("""COMPUTED_VALUE"""),"Green Bay Packers")</f>
        <v>Green Bay Packers</v>
      </c>
      <c r="D24" s="3" t="str">
        <f ca="1">IFERROR(__xludf.DUMMYFUNCTION("""COMPUTED_VALUE"""),"D/ST")</f>
        <v>D/ST</v>
      </c>
      <c r="E24" s="83">
        <v>1</v>
      </c>
      <c r="F24" s="83"/>
      <c r="G24" s="74"/>
      <c r="H24" s="74"/>
    </row>
    <row r="25" spans="1:10" ht="13" x14ac:dyDescent="0.15">
      <c r="A25" s="16">
        <f t="shared" si="0"/>
        <v>24</v>
      </c>
      <c r="B25" s="3">
        <f ca="1">IFERROR(__xludf.DUMMYFUNCTION("FILTER(All_Players!A2:C866, All_Players!C2:All_Players!C866= ""D/ST"")"),789)</f>
        <v>789</v>
      </c>
      <c r="C25" s="3" t="str">
        <f ca="1">IFERROR(__xludf.DUMMYFUNCTION("""COMPUTED_VALUE"""),"Arizona Cardinals")</f>
        <v>Arizona Cardinals</v>
      </c>
      <c r="D25" s="3" t="str">
        <f ca="1">IFERROR(__xludf.DUMMYFUNCTION("""COMPUTED_VALUE"""),"D/ST")</f>
        <v>D/ST</v>
      </c>
      <c r="E25" s="6">
        <v>1</v>
      </c>
      <c r="G25" s="31"/>
      <c r="H25" s="74"/>
      <c r="J25" s="31"/>
    </row>
    <row r="26" spans="1:10" ht="13" x14ac:dyDescent="0.15">
      <c r="A26" s="16">
        <f t="shared" si="0"/>
        <v>25</v>
      </c>
      <c r="B26" s="3">
        <f ca="1">IFERROR(__xludf.DUMMYFUNCTION("""COMPUTED_VALUE"""),799)</f>
        <v>799</v>
      </c>
      <c r="C26" s="3" t="str">
        <f ca="1">IFERROR(__xludf.DUMMYFUNCTION("""COMPUTED_VALUE"""),"Detroit Lions")</f>
        <v>Detroit Lions</v>
      </c>
      <c r="D26" s="3" t="str">
        <f ca="1">IFERROR(__xludf.DUMMYFUNCTION("""COMPUTED_VALUE"""),"D/ST")</f>
        <v>D/ST</v>
      </c>
      <c r="E26" s="6">
        <v>1</v>
      </c>
      <c r="G26" s="31"/>
    </row>
    <row r="27" spans="1:10" ht="13" x14ac:dyDescent="0.15">
      <c r="A27" s="16">
        <f t="shared" si="0"/>
        <v>26</v>
      </c>
      <c r="B27" s="3">
        <f ca="1">IFERROR(__xludf.DUMMYFUNCTION("""COMPUTED_VALUE"""),812)</f>
        <v>812</v>
      </c>
      <c r="C27" s="3" t="str">
        <f ca="1">IFERROR(__xludf.DUMMYFUNCTION("""COMPUTED_VALUE"""),"New York Jets")</f>
        <v>New York Jets</v>
      </c>
      <c r="D27" s="3" t="str">
        <f ca="1">IFERROR(__xludf.DUMMYFUNCTION("""COMPUTED_VALUE"""),"D/ST")</f>
        <v>D/ST</v>
      </c>
      <c r="E27" s="83">
        <v>1</v>
      </c>
      <c r="F27" s="83"/>
      <c r="G27" s="31"/>
    </row>
    <row r="28" spans="1:10" ht="13" x14ac:dyDescent="0.15">
      <c r="A28" s="16">
        <f t="shared" si="0"/>
        <v>27</v>
      </c>
      <c r="B28" s="3">
        <f ca="1">IFERROR(__xludf.DUMMYFUNCTION("""COMPUTED_VALUE"""),811)</f>
        <v>811</v>
      </c>
      <c r="C28" s="3" t="str">
        <f ca="1">IFERROR(__xludf.DUMMYFUNCTION("""COMPUTED_VALUE"""),"New York Giants")</f>
        <v>New York Giants</v>
      </c>
      <c r="D28" s="3" t="str">
        <f ca="1">IFERROR(__xludf.DUMMYFUNCTION("""COMPUTED_VALUE"""),"D/ST")</f>
        <v>D/ST</v>
      </c>
      <c r="E28" s="83">
        <v>1</v>
      </c>
      <c r="F28" s="83"/>
      <c r="G28" s="31"/>
    </row>
    <row r="29" spans="1:10" ht="13" x14ac:dyDescent="0.15">
      <c r="A29" s="16">
        <f t="shared" si="0"/>
        <v>28</v>
      </c>
      <c r="B29" s="3">
        <f ca="1">IFERROR(__xludf.DUMMYFUNCTION("""COMPUTED_VALUE"""),816)</f>
        <v>816</v>
      </c>
      <c r="C29" s="3" t="str">
        <f ca="1">IFERROR(__xludf.DUMMYFUNCTION("""COMPUTED_VALUE"""),"San Francisco 49ers")</f>
        <v>San Francisco 49ers</v>
      </c>
      <c r="D29" s="3" t="str">
        <f ca="1">IFERROR(__xludf.DUMMYFUNCTION("""COMPUTED_VALUE"""),"D/ST")</f>
        <v>D/ST</v>
      </c>
      <c r="E29" s="6">
        <v>1</v>
      </c>
    </row>
    <row r="30" spans="1:10" ht="13" x14ac:dyDescent="0.15">
      <c r="A30" s="16">
        <f t="shared" si="0"/>
        <v>29</v>
      </c>
      <c r="B30" s="3">
        <f ca="1">IFERROR(__xludf.DUMMYFUNCTION("""COMPUTED_VALUE"""),818)</f>
        <v>818</v>
      </c>
      <c r="C30" s="3" t="str">
        <f ca="1">IFERROR(__xludf.DUMMYFUNCTION("""COMPUTED_VALUE"""),"Tampa Bay Buccaneers")</f>
        <v>Tampa Bay Buccaneers</v>
      </c>
      <c r="D30" s="3" t="str">
        <f ca="1">IFERROR(__xludf.DUMMYFUNCTION("""COMPUTED_VALUE"""),"D/ST")</f>
        <v>D/ST</v>
      </c>
      <c r="E30" s="6">
        <v>1</v>
      </c>
    </row>
    <row r="31" spans="1:10" ht="13" x14ac:dyDescent="0.15">
      <c r="A31" s="16">
        <f t="shared" si="0"/>
        <v>30</v>
      </c>
      <c r="B31" s="3">
        <f ca="1">IFERROR(__xludf.DUMMYFUNCTION("""COMPUTED_VALUE"""),807)</f>
        <v>807</v>
      </c>
      <c r="C31" s="3" t="str">
        <f ca="1">IFERROR(__xludf.DUMMYFUNCTION("""COMPUTED_VALUE"""),"Miami Dolphins")</f>
        <v>Miami Dolphins</v>
      </c>
      <c r="D31" s="3" t="str">
        <f ca="1">IFERROR(__xludf.DUMMYFUNCTION("""COMPUTED_VALUE"""),"D/ST")</f>
        <v>D/ST</v>
      </c>
      <c r="E31" s="6">
        <v>1</v>
      </c>
    </row>
    <row r="32" spans="1:10" ht="13" x14ac:dyDescent="0.15">
      <c r="A32" s="16">
        <f t="shared" si="0"/>
        <v>31</v>
      </c>
      <c r="B32" s="3">
        <f ca="1">IFERROR(__xludf.DUMMYFUNCTION("""COMPUTED_VALUE"""),795)</f>
        <v>795</v>
      </c>
      <c r="C32" s="3" t="str">
        <f ca="1">IFERROR(__xludf.DUMMYFUNCTION("""COMPUTED_VALUE"""),"Cincinnati Bengals")</f>
        <v>Cincinnati Bengals</v>
      </c>
      <c r="D32" s="3" t="str">
        <f ca="1">IFERROR(__xludf.DUMMYFUNCTION("""COMPUTED_VALUE"""),"D/ST")</f>
        <v>D/ST</v>
      </c>
      <c r="E32" s="6">
        <v>1</v>
      </c>
    </row>
    <row r="33" spans="1:5" ht="13" x14ac:dyDescent="0.15">
      <c r="A33" s="16">
        <f t="shared" si="0"/>
        <v>32</v>
      </c>
      <c r="B33" s="3">
        <f ca="1">IFERROR(__xludf.DUMMYFUNCTION("""COMPUTED_VALUE"""),813)</f>
        <v>813</v>
      </c>
      <c r="C33" s="3" t="str">
        <f ca="1">IFERROR(__xludf.DUMMYFUNCTION("""COMPUTED_VALUE"""),"Oakland Raiders")</f>
        <v>Oakland Raiders</v>
      </c>
      <c r="D33" s="3" t="str">
        <f ca="1">IFERROR(__xludf.DUMMYFUNCTION("""COMPUTED_VALUE"""),"D/ST")</f>
        <v>D/ST</v>
      </c>
      <c r="E33" s="6">
        <v>1</v>
      </c>
    </row>
    <row r="36" spans="1:5" ht="15.75" customHeight="1" x14ac:dyDescent="0.15">
      <c r="C36" s="48"/>
    </row>
    <row r="37" spans="1:5" ht="15.75" customHeight="1" x14ac:dyDescent="0.15">
      <c r="C37" s="21"/>
    </row>
    <row r="38" spans="1:5" ht="15.75" customHeight="1" x14ac:dyDescent="0.15">
      <c r="C38" s="21"/>
      <c r="D38" s="50"/>
    </row>
    <row r="41" spans="1:5" ht="15.75" customHeight="1" x14ac:dyDescent="0.15">
      <c r="A41" s="13"/>
    </row>
    <row r="42" spans="1:5" ht="15.75" customHeight="1" x14ac:dyDescent="0.15">
      <c r="A42" s="13"/>
    </row>
    <row r="43" spans="1:5" ht="15.75" customHeight="1" x14ac:dyDescent="0.15">
      <c r="A43" s="13"/>
    </row>
    <row r="44" spans="1:5" ht="15.75" customHeight="1" x14ac:dyDescent="0.15">
      <c r="A44" s="13"/>
    </row>
    <row r="45" spans="1:5" ht="15.75" customHeight="1" x14ac:dyDescent="0.15">
      <c r="A45" s="13"/>
    </row>
    <row r="46" spans="1:5" ht="15.75" customHeight="1" x14ac:dyDescent="0.15">
      <c r="A46" s="13"/>
    </row>
    <row r="47" spans="1:5" ht="15.75" customHeight="1" x14ac:dyDescent="0.15">
      <c r="A47" s="13"/>
    </row>
    <row r="48" spans="1:5" ht="15.75" customHeight="1" x14ac:dyDescent="0.15">
      <c r="A48" s="13"/>
    </row>
    <row r="49" spans="1:1" ht="15.75" customHeight="1" x14ac:dyDescent="0.15">
      <c r="A49" s="13"/>
    </row>
    <row r="50" spans="1:1" ht="15.75" customHeight="1" x14ac:dyDescent="0.15">
      <c r="A50" s="13"/>
    </row>
    <row r="51" spans="1:1" ht="15.75" customHeight="1" x14ac:dyDescent="0.15">
      <c r="A51" s="13"/>
    </row>
  </sheetData>
  <conditionalFormatting sqref="B4 A2:A14 B6:B14 D4 A16:B33 C3:C5 C27:D33 C23:D23 C16:C20">
    <cfRule type="expression" dxfId="47" priority="13">
      <formula>E2=1</formula>
    </cfRule>
  </conditionalFormatting>
  <conditionalFormatting sqref="C4 B2:B14 C6:C14 B16:C33 D4:D5 D27:D33 D23 D16:D20">
    <cfRule type="expression" dxfId="46" priority="11">
      <formula>E2=1</formula>
    </cfRule>
  </conditionalFormatting>
  <conditionalFormatting sqref="C2:C14 C16:C33">
    <cfRule type="expression" dxfId="45" priority="10">
      <formula>E2=1</formula>
    </cfRule>
  </conditionalFormatting>
  <conditionalFormatting sqref="D2:D14 D16:D33">
    <cfRule type="expression" dxfId="44" priority="9">
      <formula>E2=1</formula>
    </cfRule>
  </conditionalFormatting>
  <conditionalFormatting sqref="D6 B3">
    <cfRule type="expression" dxfId="43" priority="203">
      <formula>G3=1</formula>
    </cfRule>
  </conditionalFormatting>
  <conditionalFormatting sqref="D5 B2">
    <cfRule type="expression" dxfId="42" priority="205">
      <formula>#REF!=1</formula>
    </cfRule>
  </conditionalFormatting>
  <conditionalFormatting sqref="C22:D22 C26:D26 D16:D21 C9:C10">
    <cfRule type="expression" dxfId="41" priority="207">
      <formula>G8=1</formula>
    </cfRule>
  </conditionalFormatting>
  <conditionalFormatting sqref="C5 D9 D14">
    <cfRule type="expression" dxfId="40" priority="209">
      <formula>G2=1</formula>
    </cfRule>
  </conditionalFormatting>
  <conditionalFormatting sqref="C2">
    <cfRule type="expression" dxfId="39" priority="213">
      <formula>#REF!=1</formula>
    </cfRule>
  </conditionalFormatting>
  <conditionalFormatting sqref="C2:C3">
    <cfRule type="expression" dxfId="38" priority="374">
      <formula>#REF!=1</formula>
    </cfRule>
  </conditionalFormatting>
  <conditionalFormatting sqref="D2:D3">
    <cfRule type="expression" dxfId="37" priority="378">
      <formula>#REF!=1</formula>
    </cfRule>
  </conditionalFormatting>
  <conditionalFormatting sqref="B5">
    <cfRule type="expression" dxfId="36" priority="381">
      <formula>G2=1</formula>
    </cfRule>
  </conditionalFormatting>
  <conditionalFormatting sqref="A32:B32">
    <cfRule type="expression" dxfId="35" priority="386">
      <formula>E15=1</formula>
    </cfRule>
  </conditionalFormatting>
  <conditionalFormatting sqref="B32:C32">
    <cfRule type="expression" dxfId="34" priority="392">
      <formula>E15=1</formula>
    </cfRule>
  </conditionalFormatting>
  <conditionalFormatting sqref="C32">
    <cfRule type="expression" dxfId="33" priority="398">
      <formula>E15=1</formula>
    </cfRule>
  </conditionalFormatting>
  <conditionalFormatting sqref="D32">
    <cfRule type="expression" dxfId="32" priority="401">
      <formula>E15=1</formula>
    </cfRule>
  </conditionalFormatting>
  <conditionalFormatting sqref="D2">
    <cfRule type="expression" dxfId="31" priority="520">
      <formula>H3=1</formula>
    </cfRule>
  </conditionalFormatting>
  <conditionalFormatting sqref="D3">
    <cfRule type="expression" dxfId="30" priority="521">
      <formula>#REF!=1</formula>
    </cfRule>
  </conditionalFormatting>
  <conditionalFormatting sqref="C24:D25 C11:C12 C14">
    <cfRule type="expression" dxfId="29" priority="621">
      <formula>#REF!=1</formula>
    </cfRule>
  </conditionalFormatting>
  <conditionalFormatting sqref="D24:D25 D11:D12 D14">
    <cfRule type="expression" dxfId="28" priority="627">
      <formula>#REF!=1</formula>
    </cfRule>
  </conditionalFormatting>
  <conditionalFormatting sqref="D22 D26 D9:D10">
    <cfRule type="expression" dxfId="27" priority="631">
      <formula>G8=1</formula>
    </cfRule>
  </conditionalFormatting>
  <conditionalFormatting sqref="D12:D13">
    <cfRule type="expression" dxfId="26" priority="640">
      <formula>#REF!=1</formula>
    </cfRule>
  </conditionalFormatting>
  <conditionalFormatting sqref="C21">
    <cfRule type="expression" dxfId="25" priority="649">
      <formula>G24=1</formula>
    </cfRule>
  </conditionalFormatting>
  <conditionalFormatting sqref="D21">
    <cfRule type="expression" dxfId="24" priority="650">
      <formula>G24=1</formula>
    </cfRule>
  </conditionalFormatting>
  <conditionalFormatting sqref="D8">
    <cfRule type="expression" dxfId="23" priority="667">
      <formula>D38=1</formula>
    </cfRule>
  </conditionalFormatting>
  <conditionalFormatting sqref="C8 D10:D11 C13">
    <cfRule type="expression" dxfId="22" priority="780">
      <formula>G6=1</formula>
    </cfRule>
  </conditionalFormatting>
  <conditionalFormatting sqref="D8 D13">
    <cfRule type="expression" dxfId="21" priority="783">
      <formula>G6=1</formula>
    </cfRule>
  </conditionalFormatting>
  <conditionalFormatting sqref="C7">
    <cfRule type="expression" dxfId="20" priority="785">
      <formula>#REF!=1</formula>
    </cfRule>
  </conditionalFormatting>
  <conditionalFormatting sqref="D7">
    <cfRule type="expression" dxfId="19" priority="789">
      <formula>#REF!=1</formula>
    </cfRule>
  </conditionalFormatting>
  <conditionalFormatting sqref="D7">
    <cfRule type="expression" dxfId="18" priority="790">
      <formula>K11=1</formula>
    </cfRule>
  </conditionalFormatting>
  <conditionalFormatting sqref="C6">
    <cfRule type="expression" dxfId="17" priority="791">
      <formula>J11=1</formula>
    </cfRule>
  </conditionalFormatting>
  <conditionalFormatting sqref="D6">
    <cfRule type="expression" dxfId="16" priority="792">
      <formula>J11=1</formula>
    </cfRule>
  </conditionalFormatting>
  <conditionalFormatting sqref="B15">
    <cfRule type="expression" dxfId="15" priority="5">
      <formula>F15=1</formula>
    </cfRule>
  </conditionalFormatting>
  <conditionalFormatting sqref="B15:C15">
    <cfRule type="expression" dxfId="14" priority="4">
      <formula>E15=1</formula>
    </cfRule>
  </conditionalFormatting>
  <conditionalFormatting sqref="C15">
    <cfRule type="expression" dxfId="13" priority="3">
      <formula>E15=1</formula>
    </cfRule>
  </conditionalFormatting>
  <conditionalFormatting sqref="D15">
    <cfRule type="expression" dxfId="12" priority="2">
      <formula>E15=1</formula>
    </cfRule>
  </conditionalFormatting>
  <conditionalFormatting sqref="D15">
    <cfRule type="expression" dxfId="11" priority="6">
      <formula>H12=1</formula>
    </cfRule>
  </conditionalFormatting>
  <conditionalFormatting sqref="C15">
    <cfRule type="expression" dxfId="10" priority="7">
      <formula>#REF!=1</formula>
    </cfRule>
  </conditionalFormatting>
  <conditionalFormatting sqref="D15">
    <cfRule type="expression" dxfId="9" priority="8">
      <formula>#REF!=1</formula>
    </cfRule>
  </conditionalFormatting>
  <conditionalFormatting sqref="A15">
    <cfRule type="expression" dxfId="8" priority="1">
      <formula>E15=1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46"/>
  <sheetViews>
    <sheetView showGridLines="0" workbookViewId="0">
      <pane ySplit="1" topLeftCell="A2" activePane="bottomLeft" state="frozen"/>
      <selection pane="bottomLeft" activeCell="B5" sqref="B5:C5"/>
    </sheetView>
  </sheetViews>
  <sheetFormatPr baseColWidth="10" defaultColWidth="14.5" defaultRowHeight="15.75" customHeight="1" x14ac:dyDescent="0.15"/>
  <sheetData>
    <row r="1" spans="1:7" ht="15.75" customHeight="1" x14ac:dyDescent="0.15">
      <c r="A1" s="20" t="s">
        <v>860</v>
      </c>
      <c r="B1" s="8" t="s">
        <v>0</v>
      </c>
      <c r="C1" s="8" t="s">
        <v>1</v>
      </c>
      <c r="D1" s="8" t="s">
        <v>2</v>
      </c>
      <c r="E1" s="15" t="s">
        <v>861</v>
      </c>
    </row>
    <row r="2" spans="1:7" ht="15.75" customHeight="1" x14ac:dyDescent="0.15">
      <c r="A2" s="16">
        <v>1</v>
      </c>
      <c r="B2" s="3">
        <f ca="1">IFERROR(__xludf.DUMMYFUNCTION("""COMPUTED_VALUE"""),865)</f>
        <v>865</v>
      </c>
      <c r="C2" s="3" t="str">
        <f ca="1">IFERROR(__xludf.DUMMYFUNCTION("""COMPUTED_VALUE"""),"Greg Zuerlein")</f>
        <v>Greg Zuerlein</v>
      </c>
      <c r="D2" s="3" t="str">
        <f ca="1">IFERROR(__xludf.DUMMYFUNCTION("""COMPUTED_VALUE"""),"K")</f>
        <v>K</v>
      </c>
      <c r="E2" s="21" t="s">
        <v>917</v>
      </c>
      <c r="F2" s="21"/>
      <c r="G2" s="21"/>
    </row>
    <row r="3" spans="1:7" ht="15.75" customHeight="1" x14ac:dyDescent="0.15">
      <c r="A3" s="16">
        <f>+A2+1</f>
        <v>2</v>
      </c>
      <c r="B3" s="3">
        <f ca="1">IFERROR(__xludf.DUMMYFUNCTION("""COMPUTED_VALUE"""),829)</f>
        <v>829</v>
      </c>
      <c r="C3" s="3" t="str">
        <f ca="1">IFERROR(__xludf.DUMMYFUNCTION("""COMPUTED_VALUE"""),"Harrison Butker")</f>
        <v>Harrison Butker</v>
      </c>
      <c r="D3" s="3" t="str">
        <f ca="1">IFERROR(__xludf.DUMMYFUNCTION("""COMPUTED_VALUE"""),"K")</f>
        <v>K</v>
      </c>
      <c r="E3" s="21" t="s">
        <v>917</v>
      </c>
      <c r="F3" s="21"/>
      <c r="G3" s="21"/>
    </row>
    <row r="4" spans="1:7" ht="15.75" customHeight="1" x14ac:dyDescent="0.15">
      <c r="A4" s="16">
        <f t="shared" ref="A4:A35" si="0">+A3+1</f>
        <v>3</v>
      </c>
      <c r="B4" s="3">
        <f ca="1">IFERROR(__xludf.DUMMYFUNCTION("""COMPUTED_VALUE"""),862)</f>
        <v>862</v>
      </c>
      <c r="C4" s="3" t="str">
        <f ca="1">IFERROR(__xludf.DUMMYFUNCTION("""COMPUTED_VALUE"""),"Justin Tucker")</f>
        <v>Justin Tucker</v>
      </c>
      <c r="D4" s="3" t="str">
        <f ca="1">IFERROR(__xludf.DUMMYFUNCTION("""COMPUTED_VALUE"""),"K")</f>
        <v>K</v>
      </c>
      <c r="E4" s="21" t="s">
        <v>917</v>
      </c>
      <c r="F4" s="21"/>
    </row>
    <row r="5" spans="1:7" ht="15.75" customHeight="1" x14ac:dyDescent="0.15">
      <c r="A5" s="16">
        <f t="shared" si="0"/>
        <v>4</v>
      </c>
      <c r="B5" s="3">
        <f ca="1">IFERROR(__xludf.DUMMYFUNCTION("""COMPUTED_VALUE"""),847)</f>
        <v>847</v>
      </c>
      <c r="C5" s="3" t="str">
        <f ca="1">IFERROR(__xludf.DUMMYFUNCTION("""COMPUTED_VALUE"""),"Wil Lutz")</f>
        <v>Wil Lutz</v>
      </c>
      <c r="D5" s="3" t="str">
        <f ca="1">IFERROR(__xludf.DUMMYFUNCTION("""COMPUTED_VALUE"""),"K")</f>
        <v>K</v>
      </c>
      <c r="E5" s="21" t="s">
        <v>917</v>
      </c>
    </row>
    <row r="6" spans="1:7" ht="15.75" customHeight="1" x14ac:dyDescent="0.15">
      <c r="A6" s="16">
        <f t="shared" si="0"/>
        <v>5</v>
      </c>
      <c r="B6" s="3">
        <f ca="1">IFERROR(__xludf.DUMMYFUNCTION("""COMPUTED_VALUE"""),839)</f>
        <v>839</v>
      </c>
      <c r="C6" s="3" t="str">
        <f ca="1">IFERROR(__xludf.DUMMYFUNCTION("""COMPUTED_VALUE"""),"Stephen Gostkowski")</f>
        <v>Stephen Gostkowski</v>
      </c>
      <c r="D6" s="3" t="str">
        <f ca="1">IFERROR(__xludf.DUMMYFUNCTION("""COMPUTED_VALUE"""),"K")</f>
        <v>K</v>
      </c>
    </row>
    <row r="7" spans="1:7" ht="15.75" customHeight="1" x14ac:dyDescent="0.15">
      <c r="A7" s="16">
        <f t="shared" si="0"/>
        <v>6</v>
      </c>
      <c r="B7" s="3">
        <f ca="1">IFERROR(__xludf.DUMMYFUNCTION("""COMPUTED_VALUE"""),834)</f>
        <v>834</v>
      </c>
      <c r="C7" s="3" t="str">
        <f ca="1">IFERROR(__xludf.DUMMYFUNCTION("""COMPUTED_VALUE"""),"Ka'imi Fairbairn")</f>
        <v>Ka'imi Fairbairn</v>
      </c>
      <c r="D7" s="3" t="str">
        <f ca="1">IFERROR(__xludf.DUMMYFUNCTION("""COMPUTED_VALUE"""),"K")</f>
        <v>K</v>
      </c>
      <c r="E7">
        <v>1</v>
      </c>
    </row>
    <row r="8" spans="1:7" ht="15.75" customHeight="1" x14ac:dyDescent="0.15">
      <c r="A8" s="16">
        <f t="shared" si="0"/>
        <v>7</v>
      </c>
      <c r="B8" s="3">
        <f ca="1">IFERROR(__xludf.DUMMYFUNCTION("""COMPUTED_VALUE"""),840)</f>
        <v>840</v>
      </c>
      <c r="C8" s="3" t="str">
        <f ca="1">IFERROR(__xludf.DUMMYFUNCTION("""COMPUTED_VALUE"""),"Robbie Gould")</f>
        <v>Robbie Gould</v>
      </c>
      <c r="D8" s="3" t="str">
        <f ca="1">IFERROR(__xludf.DUMMYFUNCTION("""COMPUTED_VALUE"""),"K")</f>
        <v>K</v>
      </c>
      <c r="E8">
        <v>1</v>
      </c>
    </row>
    <row r="9" spans="1:7" ht="15.75" customHeight="1" x14ac:dyDescent="0.15">
      <c r="A9" s="16">
        <f t="shared" si="0"/>
        <v>8</v>
      </c>
      <c r="B9" s="3">
        <f ca="1">IFERROR(__xludf.DUMMYFUNCTION("""COMPUTED_VALUE"""),863)</f>
        <v>863</v>
      </c>
      <c r="C9" s="3" t="str">
        <f ca="1">IFERROR(__xludf.DUMMYFUNCTION("""COMPUTED_VALUE"""),"Adam Vinatieri")</f>
        <v>Adam Vinatieri</v>
      </c>
      <c r="D9" s="3" t="str">
        <f ca="1">IFERROR(__xludf.DUMMYFUNCTION("""COMPUTED_VALUE"""),"K")</f>
        <v>K</v>
      </c>
      <c r="E9">
        <v>1</v>
      </c>
    </row>
    <row r="10" spans="1:7" ht="15.75" customHeight="1" x14ac:dyDescent="0.15">
      <c r="A10" s="16">
        <f t="shared" si="0"/>
        <v>9</v>
      </c>
      <c r="B10" s="3">
        <f ca="1">IFERROR(__xludf.DUMMYFUNCTION("""COMPUTED_VALUE"""),833)</f>
        <v>833</v>
      </c>
      <c r="C10" s="3" t="str">
        <f ca="1">IFERROR(__xludf.DUMMYFUNCTION("""COMPUTED_VALUE"""),"Jake Elliott")</f>
        <v>Jake Elliott</v>
      </c>
      <c r="D10" s="3" t="str">
        <f ca="1">IFERROR(__xludf.DUMMYFUNCTION("""COMPUTED_VALUE"""),"K")</f>
        <v>K</v>
      </c>
      <c r="E10">
        <v>1</v>
      </c>
    </row>
    <row r="11" spans="1:7" ht="15.75" customHeight="1" x14ac:dyDescent="0.15">
      <c r="A11" s="16">
        <f t="shared" si="0"/>
        <v>10</v>
      </c>
      <c r="B11" s="3">
        <f ca="1">IFERROR(__xludf.DUMMYFUNCTION("""COMPUTED_VALUE"""),848)</f>
        <v>848</v>
      </c>
      <c r="C11" s="3" t="str">
        <f ca="1">IFERROR(__xludf.DUMMYFUNCTION("""COMPUTED_VALUE"""),"Brett Maher")</f>
        <v>Brett Maher</v>
      </c>
      <c r="D11" s="3" t="str">
        <f ca="1">IFERROR(__xludf.DUMMYFUNCTION("""COMPUTED_VALUE"""),"K")</f>
        <v>K</v>
      </c>
      <c r="E11">
        <v>1</v>
      </c>
    </row>
    <row r="12" spans="1:7" ht="15.75" customHeight="1" x14ac:dyDescent="0.15">
      <c r="A12" s="16">
        <f t="shared" si="0"/>
        <v>11</v>
      </c>
      <c r="B12" s="3">
        <f ca="1">IFERROR(__xludf.DUMMYFUNCTION("""COMPUTED_VALUE"""),855)</f>
        <v>855</v>
      </c>
      <c r="C12" s="3" t="str">
        <f ca="1">IFERROR(__xludf.DUMMYFUNCTION("""COMPUTED_VALUE"""),"Matt Prater")</f>
        <v>Matt Prater</v>
      </c>
      <c r="D12" s="3" t="str">
        <f ca="1">IFERROR(__xludf.DUMMYFUNCTION("""COMPUTED_VALUE"""),"K")</f>
        <v>K</v>
      </c>
      <c r="E12">
        <v>1</v>
      </c>
    </row>
    <row r="13" spans="1:7" ht="15.75" customHeight="1" x14ac:dyDescent="0.15">
      <c r="A13" s="16">
        <f t="shared" si="0"/>
        <v>12</v>
      </c>
      <c r="B13" s="3">
        <f ca="1">IFERROR(__xludf.DUMMYFUNCTION("""COMPUTED_VALUE"""),832)</f>
        <v>832</v>
      </c>
      <c r="C13" s="3" t="str">
        <f ca="1">IFERROR(__xludf.DUMMYFUNCTION("""COMPUTED_VALUE"""),"Mason Crosby")</f>
        <v>Mason Crosby</v>
      </c>
      <c r="D13" s="3" t="str">
        <f ca="1">IFERROR(__xludf.DUMMYFUNCTION("""COMPUTED_VALUE"""),"K")</f>
        <v>K</v>
      </c>
      <c r="E13">
        <v>1</v>
      </c>
    </row>
    <row r="14" spans="1:7" ht="15.75" customHeight="1" x14ac:dyDescent="0.15">
      <c r="A14" s="16">
        <f t="shared" si="0"/>
        <v>13</v>
      </c>
      <c r="B14" s="3">
        <f ca="1">IFERROR(__xludf.DUMMYFUNCTION("FILTER(All_Players!A2:C866, All_Players!C2:All_Players!C866= ""K"")"),821)</f>
        <v>821</v>
      </c>
      <c r="C14" s="3" t="str">
        <f ca="1">IFERROR(__xludf.DUMMYFUNCTION("""COMPUTED_VALUE"""),"Mike Badgley")</f>
        <v>Mike Badgley</v>
      </c>
      <c r="D14" s="3" t="str">
        <f ca="1">IFERROR(__xludf.DUMMYFUNCTION("""COMPUTED_VALUE"""),"K")</f>
        <v>K</v>
      </c>
      <c r="E14">
        <v>1</v>
      </c>
    </row>
    <row r="15" spans="1:7" ht="15.75" customHeight="1" x14ac:dyDescent="0.15">
      <c r="A15" s="16">
        <f t="shared" si="0"/>
        <v>14</v>
      </c>
      <c r="B15" s="3">
        <f ca="1">IFERROR(__xludf.DUMMYFUNCTION("""COMPUTED_VALUE"""),827)</f>
        <v>827</v>
      </c>
      <c r="C15" s="3" t="str">
        <f ca="1">IFERROR(__xludf.DUMMYFUNCTION("""COMPUTED_VALUE"""),"Matt Bryant")</f>
        <v>Matt Bryant</v>
      </c>
      <c r="D15" s="3" t="str">
        <f ca="1">IFERROR(__xludf.DUMMYFUNCTION("""COMPUTED_VALUE"""),"K")</f>
        <v>K</v>
      </c>
      <c r="E15">
        <v>1</v>
      </c>
    </row>
    <row r="16" spans="1:7" ht="15.75" customHeight="1" x14ac:dyDescent="0.15">
      <c r="A16" s="16">
        <f t="shared" si="0"/>
        <v>15</v>
      </c>
      <c r="B16" s="3">
        <f ca="1">IFERROR(__xludf.DUMMYFUNCTION("""COMPUTED_VALUE"""),853)</f>
        <v>853</v>
      </c>
      <c r="C16" s="3" t="str">
        <f ca="1">IFERROR(__xludf.DUMMYFUNCTION("""COMPUTED_VALUE"""),"Jason Myers")</f>
        <v>Jason Myers</v>
      </c>
      <c r="D16" s="3" t="str">
        <f ca="1">IFERROR(__xludf.DUMMYFUNCTION("""COMPUTED_VALUE"""),"K")</f>
        <v>K</v>
      </c>
      <c r="E16">
        <v>1</v>
      </c>
    </row>
    <row r="17" spans="1:5" ht="15.75" customHeight="1" x14ac:dyDescent="0.15">
      <c r="A17" s="16">
        <f t="shared" si="0"/>
        <v>16</v>
      </c>
      <c r="B17" s="3">
        <f ca="1">IFERROR(__xludf.DUMMYFUNCTION("""COMPUTED_VALUE"""),861)</f>
        <v>861</v>
      </c>
      <c r="C17" s="3" t="str">
        <f ca="1">IFERROR(__xludf.DUMMYFUNCTION("""COMPUTED_VALUE"""),"Ryan Succop")</f>
        <v>Ryan Succop</v>
      </c>
      <c r="D17" s="3" t="str">
        <f ca="1">IFERROR(__xludf.DUMMYFUNCTION("""COMPUTED_VALUE"""),"K")</f>
        <v>K</v>
      </c>
    </row>
    <row r="18" spans="1:5" ht="15.75" customHeight="1" x14ac:dyDescent="0.15">
      <c r="A18" s="16">
        <f t="shared" si="0"/>
        <v>17</v>
      </c>
      <c r="B18" s="3">
        <f ca="1">IFERROR(__xludf.DUMMYFUNCTION("""COMPUTED_VALUE"""),856)</f>
        <v>856</v>
      </c>
      <c r="C18" s="3" t="str">
        <f ca="1">IFERROR(__xludf.DUMMYFUNCTION("""COMPUTED_VALUE"""),"Aldrick Rosas")</f>
        <v>Aldrick Rosas</v>
      </c>
      <c r="D18" s="3" t="str">
        <f ca="1">IFERROR(__xludf.DUMMYFUNCTION("""COMPUTED_VALUE"""),"K")</f>
        <v>K</v>
      </c>
      <c r="E18">
        <v>1</v>
      </c>
    </row>
    <row r="19" spans="1:5" ht="15.75" customHeight="1" x14ac:dyDescent="0.15">
      <c r="A19" s="16">
        <f t="shared" si="0"/>
        <v>18</v>
      </c>
      <c r="B19" s="3">
        <f ca="1">IFERROR(__xludf.DUMMYFUNCTION("""COMPUTED_VALUE"""),860)</f>
        <v>860</v>
      </c>
      <c r="C19" s="3" t="str">
        <f ca="1">IFERROR(__xludf.DUMMYFUNCTION("""COMPUTED_VALUE"""),"Joey Slye")</f>
        <v>Joey Slye</v>
      </c>
      <c r="D19" s="3" t="str">
        <f ca="1">IFERROR(__xludf.DUMMYFUNCTION("""COMPUTED_VALUE"""),"K")</f>
        <v>K</v>
      </c>
      <c r="E19">
        <v>1</v>
      </c>
    </row>
    <row r="20" spans="1:5" ht="15.75" customHeight="1" x14ac:dyDescent="0.15">
      <c r="A20" s="16">
        <f t="shared" si="0"/>
        <v>19</v>
      </c>
      <c r="B20" s="3">
        <f ca="1">IFERROR(__xludf.DUMMYFUNCTION("""COMPUTED_VALUE"""),825)</f>
        <v>825</v>
      </c>
      <c r="C20" s="3" t="str">
        <f ca="1">IFERROR(__xludf.DUMMYFUNCTION("""COMPUTED_VALUE"""),"Chris Boswell")</f>
        <v>Chris Boswell</v>
      </c>
      <c r="D20" s="3" t="str">
        <f ca="1">IFERROR(__xludf.DUMMYFUNCTION("""COMPUTED_VALUE"""),"K")</f>
        <v>K</v>
      </c>
      <c r="E20">
        <v>1</v>
      </c>
    </row>
    <row r="21" spans="1:5" ht="15.75" customHeight="1" x14ac:dyDescent="0.15">
      <c r="A21" s="16">
        <f t="shared" si="0"/>
        <v>20</v>
      </c>
      <c r="B21" s="3">
        <f ca="1">IFERROR(__xludf.DUMMYFUNCTION("""COMPUTED_VALUE"""),851)</f>
        <v>851</v>
      </c>
      <c r="C21" s="3" t="str">
        <f ca="1">IFERROR(__xludf.DUMMYFUNCTION("""COMPUTED_VALUE"""),"Brandon McManus")</f>
        <v>Brandon McManus</v>
      </c>
      <c r="D21" s="3" t="str">
        <f ca="1">IFERROR(__xludf.DUMMYFUNCTION("""COMPUTED_VALUE"""),"K")</f>
        <v>K</v>
      </c>
      <c r="E21">
        <v>1</v>
      </c>
    </row>
    <row r="22" spans="1:5" ht="15.75" customHeight="1" x14ac:dyDescent="0.15">
      <c r="A22" s="16">
        <f t="shared" si="0"/>
        <v>21</v>
      </c>
      <c r="B22" s="3">
        <f ca="1">IFERROR(__xludf.DUMMYFUNCTION("""COMPUTED_VALUE"""),846)</f>
        <v>846</v>
      </c>
      <c r="C22" s="3" t="str">
        <f ca="1">IFERROR(__xludf.DUMMYFUNCTION("""COMPUTED_VALUE"""),"Josh Lambo")</f>
        <v>Josh Lambo</v>
      </c>
      <c r="D22" s="3" t="str">
        <f ca="1">IFERROR(__xludf.DUMMYFUNCTION("""COMPUTED_VALUE"""),"K")</f>
        <v>K</v>
      </c>
      <c r="E22">
        <v>1</v>
      </c>
    </row>
    <row r="23" spans="1:5" ht="15.75" customHeight="1" x14ac:dyDescent="0.15">
      <c r="A23" s="16">
        <f t="shared" si="0"/>
        <v>22</v>
      </c>
      <c r="B23" s="3">
        <f ca="1">IFERROR(__xludf.DUMMYFUNCTION("""COMPUTED_VALUE"""),858)</f>
        <v>858</v>
      </c>
      <c r="C23" s="3" t="str">
        <f ca="1">IFERROR(__xludf.DUMMYFUNCTION("""COMPUTED_VALUE"""),"Cairo Santos")</f>
        <v>Cairo Santos</v>
      </c>
      <c r="D23" s="3" t="str">
        <f ca="1">IFERROR(__xludf.DUMMYFUNCTION("""COMPUTED_VALUE"""),"K")</f>
        <v>K</v>
      </c>
      <c r="E23">
        <v>1</v>
      </c>
    </row>
    <row r="24" spans="1:5" ht="15.75" customHeight="1" x14ac:dyDescent="0.15">
      <c r="A24" s="16">
        <f t="shared" si="0"/>
        <v>23</v>
      </c>
      <c r="B24" s="3">
        <f ca="1">IFERROR(__xludf.DUMMYFUNCTION("""COMPUTED_VALUE"""),845)</f>
        <v>845</v>
      </c>
      <c r="C24" s="3" t="str">
        <f ca="1">IFERROR(__xludf.DUMMYFUNCTION("""COMPUTED_VALUE"""),"Greg Joseph")</f>
        <v>Greg Joseph</v>
      </c>
      <c r="D24" s="3" t="str">
        <f ca="1">IFERROR(__xludf.DUMMYFUNCTION("""COMPUTED_VALUE"""),"K")</f>
        <v>K</v>
      </c>
    </row>
    <row r="25" spans="1:5" ht="15.75" customHeight="1" x14ac:dyDescent="0.15">
      <c r="A25" s="16">
        <f t="shared" si="0"/>
        <v>24</v>
      </c>
      <c r="B25" s="3">
        <f ca="1">IFERROR(__xludf.DUMMYFUNCTION("""COMPUTED_VALUE"""),841)</f>
        <v>841</v>
      </c>
      <c r="C25" s="3" t="str">
        <f ca="1">IFERROR(__xludf.DUMMYFUNCTION("""COMPUTED_VALUE"""),"Steven Hauschka")</f>
        <v>Steven Hauschka</v>
      </c>
      <c r="D25" s="3" t="str">
        <f ca="1">IFERROR(__xludf.DUMMYFUNCTION("""COMPUTED_VALUE"""),"K")</f>
        <v>K</v>
      </c>
      <c r="E25">
        <v>1</v>
      </c>
    </row>
    <row r="26" spans="1:5" ht="15.75" customHeight="1" x14ac:dyDescent="0.15">
      <c r="A26" s="16">
        <f t="shared" si="0"/>
        <v>25</v>
      </c>
      <c r="B26" s="3">
        <f ca="1">IFERROR(__xludf.DUMMYFUNCTION("""COMPUTED_VALUE"""),830)</f>
        <v>830</v>
      </c>
      <c r="C26" s="3" t="str">
        <f ca="1">IFERROR(__xludf.DUMMYFUNCTION("""COMPUTED_VALUE"""),"Daniel Carlson")</f>
        <v>Daniel Carlson</v>
      </c>
      <c r="D26" s="3" t="str">
        <f ca="1">IFERROR(__xludf.DUMMYFUNCTION("""COMPUTED_VALUE"""),"K")</f>
        <v>K</v>
      </c>
      <c r="E26">
        <v>1</v>
      </c>
    </row>
    <row r="27" spans="1:5" ht="15.75" customHeight="1" x14ac:dyDescent="0.15">
      <c r="A27" s="16">
        <f t="shared" si="0"/>
        <v>26</v>
      </c>
      <c r="B27" s="3">
        <f ca="1">IFERROR(__xludf.DUMMYFUNCTION("""COMPUTED_VALUE"""),854)</f>
        <v>854</v>
      </c>
      <c r="C27" s="3" t="str">
        <f ca="1">IFERROR(__xludf.DUMMYFUNCTION("""COMPUTED_VALUE"""),"Eddy Pineiro")</f>
        <v>Eddy Pineiro</v>
      </c>
      <c r="D27" s="3" t="str">
        <f ca="1">IFERROR(__xludf.DUMMYFUNCTION("""COMPUTED_VALUE"""),"K")</f>
        <v>K</v>
      </c>
      <c r="E27">
        <v>1</v>
      </c>
    </row>
    <row r="28" spans="1:5" ht="15.75" customHeight="1" x14ac:dyDescent="0.15">
      <c r="A28" s="16">
        <f t="shared" si="0"/>
        <v>27</v>
      </c>
      <c r="B28" s="3">
        <f ca="1">IFERROR(__xludf.DUMMYFUNCTION("""COMPUTED_VALUE"""),843)</f>
        <v>843</v>
      </c>
      <c r="C28" s="3" t="str">
        <f ca="1">IFERROR(__xludf.DUMMYFUNCTION("""COMPUTED_VALUE"""),"Dustin Hopkins")</f>
        <v>Dustin Hopkins</v>
      </c>
      <c r="D28" s="3" t="str">
        <f ca="1">IFERROR(__xludf.DUMMYFUNCTION("""COMPUTED_VALUE"""),"K")</f>
        <v>K</v>
      </c>
      <c r="E28">
        <v>1</v>
      </c>
    </row>
    <row r="29" spans="1:5" ht="15.75" customHeight="1" x14ac:dyDescent="0.15">
      <c r="A29" s="16">
        <f t="shared" si="0"/>
        <v>28</v>
      </c>
      <c r="B29" s="3">
        <f ca="1">IFERROR(__xludf.DUMMYFUNCTION("""COMPUTED_VALUE"""),823)</f>
        <v>823</v>
      </c>
      <c r="C29" s="3" t="str">
        <f ca="1">IFERROR(__xludf.DUMMYFUNCTION("""COMPUTED_VALUE"""),"Taylor Bertolet")</f>
        <v>Taylor Bertolet</v>
      </c>
      <c r="D29" s="3" t="str">
        <f ca="1">IFERROR(__xludf.DUMMYFUNCTION("""COMPUTED_VALUE"""),"K")</f>
        <v>K</v>
      </c>
    </row>
    <row r="30" spans="1:5" ht="15.75" customHeight="1" x14ac:dyDescent="0.15">
      <c r="A30" s="16">
        <f t="shared" si="0"/>
        <v>29</v>
      </c>
      <c r="B30" s="3">
        <f ca="1">IFERROR(__xludf.DUMMYFUNCTION("""COMPUTED_VALUE"""),828)</f>
        <v>828</v>
      </c>
      <c r="C30" s="3" t="str">
        <f ca="1">IFERROR(__xludf.DUMMYFUNCTION("""COMPUTED_VALUE"""),"Randy Bullock")</f>
        <v>Randy Bullock</v>
      </c>
      <c r="D30" s="3" t="str">
        <f ca="1">IFERROR(__xludf.DUMMYFUNCTION("""COMPUTED_VALUE"""),"K")</f>
        <v>K</v>
      </c>
      <c r="E30">
        <v>1</v>
      </c>
    </row>
    <row r="31" spans="1:5" s="6" customFormat="1" ht="15.75" customHeight="1" x14ac:dyDescent="0.15">
      <c r="A31" s="16">
        <f t="shared" si="0"/>
        <v>30</v>
      </c>
      <c r="B31" s="3">
        <f ca="1">IFERROR(__xludf.DUMMYFUNCTION("""COMPUTED_VALUE"""),857)</f>
        <v>857</v>
      </c>
      <c r="C31" s="3" t="str">
        <f ca="1">IFERROR(__xludf.DUMMYFUNCTION("""COMPUTED_VALUE"""),"Jason Sanders")</f>
        <v>Jason Sanders</v>
      </c>
      <c r="D31" s="3" t="str">
        <f ca="1">IFERROR(__xludf.DUMMYFUNCTION("""COMPUTED_VALUE"""),"K")</f>
        <v>K</v>
      </c>
    </row>
    <row r="32" spans="1:5" ht="15.75" customHeight="1" x14ac:dyDescent="0.15">
      <c r="A32" s="16">
        <f t="shared" si="0"/>
        <v>31</v>
      </c>
      <c r="B32" s="3">
        <f ca="1">IFERROR(__xludf.DUMMYFUNCTION("""COMPUTED_VALUE"""),838)</f>
        <v>838</v>
      </c>
      <c r="C32" s="3" t="str">
        <f ca="1">IFERROR(__xludf.DUMMYFUNCTION("""COMPUTED_VALUE"""),"Zane Gonzalez")</f>
        <v>Zane Gonzalez</v>
      </c>
      <c r="D32" s="3" t="str">
        <f ca="1">IFERROR(__xludf.DUMMYFUNCTION("""COMPUTED_VALUE"""),"K")</f>
        <v>K</v>
      </c>
      <c r="E32">
        <v>1</v>
      </c>
    </row>
    <row r="33" spans="1:5" ht="15.75" customHeight="1" x14ac:dyDescent="0.15">
      <c r="A33" s="16">
        <f t="shared" si="0"/>
        <v>32</v>
      </c>
      <c r="B33" s="3">
        <f ca="1">IFERROR(__xludf.DUMMYFUNCTION("""COMPUTED_VALUE"""),859)</f>
        <v>859</v>
      </c>
      <c r="C33" s="3" t="str">
        <f ca="1">IFERROR(__xludf.DUMMYFUNCTION("""COMPUTED_VALUE"""),"Austin Seibert")</f>
        <v>Austin Seibert</v>
      </c>
      <c r="D33" s="3" t="str">
        <f ca="1">IFERROR(__xludf.DUMMYFUNCTION("""COMPUTED_VALUE"""),"K")</f>
        <v>K</v>
      </c>
      <c r="E33">
        <v>1</v>
      </c>
    </row>
    <row r="34" spans="1:5" ht="15.75" customHeight="1" x14ac:dyDescent="0.15">
      <c r="A34" s="16">
        <f t="shared" si="0"/>
        <v>33</v>
      </c>
      <c r="B34" s="3">
        <f ca="1">IFERROR(__xludf.DUMMYFUNCTION("""COMPUTED_VALUE"""),822)</f>
        <v>822</v>
      </c>
      <c r="C34" s="3" t="str">
        <f ca="1">IFERROR(__xludf.DUMMYFUNCTION("""COMPUTED_VALUE"""),"Dan Bailey")</f>
        <v>Dan Bailey</v>
      </c>
      <c r="D34" s="3" t="str">
        <f ca="1">IFERROR(__xludf.DUMMYFUNCTION("""COMPUTED_VALUE"""),"K")</f>
        <v>K</v>
      </c>
      <c r="E34">
        <v>1</v>
      </c>
    </row>
    <row r="35" spans="1:5" ht="15.75" customHeight="1" x14ac:dyDescent="0.15">
      <c r="A35" s="16">
        <f t="shared" si="0"/>
        <v>34</v>
      </c>
      <c r="B35" s="3">
        <f ca="1">IFERROR(__xludf.DUMMYFUNCTION("""COMPUTED_VALUE"""),837)</f>
        <v>837</v>
      </c>
      <c r="C35" s="3" t="str">
        <f ca="1">IFERROR(__xludf.DUMMYFUNCTION("""COMPUTED_VALUE"""),"Matt Gay")</f>
        <v>Matt Gay</v>
      </c>
      <c r="D35" s="3" t="str">
        <f ca="1">IFERROR(__xludf.DUMMYFUNCTION("""COMPUTED_VALUE"""),"K")</f>
        <v>K</v>
      </c>
      <c r="E35">
        <v>1</v>
      </c>
    </row>
    <row r="36" spans="1:5" ht="15.75" customHeight="1" x14ac:dyDescent="0.15">
      <c r="A36" s="16"/>
      <c r="B36" s="3">
        <f ca="1">IFERROR(__xludf.DUMMYFUNCTION("""COMPUTED_VALUE"""),850)</f>
        <v>850</v>
      </c>
      <c r="C36" s="3" t="str">
        <f ca="1">IFERROR(__xludf.DUMMYFUNCTION("""COMPUTED_VALUE"""),"Chase McLaughlin")</f>
        <v>Chase McLaughlin</v>
      </c>
      <c r="D36" s="3" t="str">
        <f ca="1">IFERROR(__xludf.DUMMYFUNCTION("""COMPUTED_VALUE"""),"K")</f>
        <v>K</v>
      </c>
      <c r="E36">
        <v>1</v>
      </c>
    </row>
    <row r="38" spans="1:5" ht="15.75" customHeight="1" x14ac:dyDescent="0.15">
      <c r="A38" s="18"/>
      <c r="B38" s="12">
        <f ca="1">IFERROR(__xludf.DUMMYFUNCTION("""COMPUTED_VALUE"""),824)</f>
        <v>824</v>
      </c>
      <c r="C38" s="12" t="str">
        <f ca="1">IFERROR(__xludf.DUMMYFUNCTION("""COMPUTED_VALUE"""),"Chris Blewitt")</f>
        <v>Chris Blewitt</v>
      </c>
      <c r="D38" s="12" t="str">
        <f ca="1">IFERROR(__xludf.DUMMYFUNCTION("""COMPUTED_VALUE"""),"K")</f>
        <v>K</v>
      </c>
    </row>
    <row r="39" spans="1:5" ht="15.75" customHeight="1" x14ac:dyDescent="0.15">
      <c r="A39" s="16"/>
      <c r="B39" s="3">
        <f ca="1">IFERROR(__xludf.DUMMYFUNCTION("""COMPUTED_VALUE"""),826)</f>
        <v>826</v>
      </c>
      <c r="C39" s="3" t="str">
        <f ca="1">IFERROR(__xludf.DUMMYFUNCTION("""COMPUTED_VALUE"""),"Jon Brown")</f>
        <v>Jon Brown</v>
      </c>
      <c r="D39" s="3" t="str">
        <f ca="1">IFERROR(__xludf.DUMMYFUNCTION("""COMPUTED_VALUE"""),"K")</f>
        <v>K</v>
      </c>
    </row>
    <row r="40" spans="1:5" ht="15.75" customHeight="1" x14ac:dyDescent="0.15">
      <c r="A40" s="16"/>
      <c r="B40" s="3">
        <f ca="1">IFERROR(__xludf.DUMMYFUNCTION("""COMPUTED_VALUE"""),831)</f>
        <v>831</v>
      </c>
      <c r="C40" s="3" t="str">
        <f ca="1">IFERROR(__xludf.DUMMYFUNCTION("""COMPUTED_VALUE"""),"Chandler Catanzaro")</f>
        <v>Chandler Catanzaro</v>
      </c>
      <c r="D40" s="3" t="str">
        <f ca="1">IFERROR(__xludf.DUMMYFUNCTION("""COMPUTED_VALUE"""),"K")</f>
        <v>K</v>
      </c>
    </row>
    <row r="41" spans="1:5" ht="15.75" customHeight="1" x14ac:dyDescent="0.15">
      <c r="A41" s="16"/>
      <c r="B41" s="3">
        <f ca="1">IFERROR(__xludf.DUMMYFUNCTION("""COMPUTED_VALUE"""),835)</f>
        <v>835</v>
      </c>
      <c r="C41" s="3" t="str">
        <f ca="1">IFERROR(__xludf.DUMMYFUNCTION("""COMPUTED_VALUE"""),"Sam Ficken")</f>
        <v>Sam Ficken</v>
      </c>
      <c r="D41" s="3" t="str">
        <f ca="1">IFERROR(__xludf.DUMMYFUNCTION("""COMPUTED_VALUE"""),"K")</f>
        <v>K</v>
      </c>
    </row>
    <row r="42" spans="1:5" ht="15.75" customHeight="1" x14ac:dyDescent="0.15">
      <c r="A42" s="16"/>
      <c r="B42" s="3">
        <f ca="1">IFERROR(__xludf.DUMMYFUNCTION("""COMPUTED_VALUE"""),836)</f>
        <v>836</v>
      </c>
      <c r="C42" s="3" t="str">
        <f ca="1">IFERROR(__xludf.DUMMYFUNCTION("""COMPUTED_VALUE"""),"Elliott Fry")</f>
        <v>Elliott Fry</v>
      </c>
      <c r="D42" s="3" t="str">
        <f ca="1">IFERROR(__xludf.DUMMYFUNCTION("""COMPUTED_VALUE"""),"K")</f>
        <v>K</v>
      </c>
    </row>
    <row r="43" spans="1:5" ht="15.75" customHeight="1" x14ac:dyDescent="0.15">
      <c r="A43" s="16"/>
      <c r="B43" s="3">
        <f ca="1">IFERROR(__xludf.DUMMYFUNCTION("""COMPUTED_VALUE"""),842)</f>
        <v>842</v>
      </c>
      <c r="C43" s="3" t="str">
        <f ca="1">IFERROR(__xludf.DUMMYFUNCTION("""COMPUTED_VALUE"""),"Cole Hedlund")</f>
        <v>Cole Hedlund</v>
      </c>
      <c r="D43" s="3" t="str">
        <f ca="1">IFERROR(__xludf.DUMMYFUNCTION("""COMPUTED_VALUE"""),"K")</f>
        <v>K</v>
      </c>
    </row>
    <row r="44" spans="1:5" ht="15.75" customHeight="1" x14ac:dyDescent="0.15">
      <c r="A44" s="16"/>
      <c r="B44" s="3">
        <f ca="1">IFERROR(__xludf.DUMMYFUNCTION("""COMPUTED_VALUE"""),844)</f>
        <v>844</v>
      </c>
      <c r="C44" s="3" t="str">
        <f ca="1">IFERROR(__xludf.DUMMYFUNCTION("""COMPUTED_VALUE"""),"Redford Jones")</f>
        <v>Redford Jones</v>
      </c>
      <c r="D44" s="3" t="str">
        <f ca="1">IFERROR(__xludf.DUMMYFUNCTION("""COMPUTED_VALUE"""),"K")</f>
        <v>K</v>
      </c>
    </row>
    <row r="45" spans="1:5" ht="15.75" customHeight="1" x14ac:dyDescent="0.15">
      <c r="A45" s="16"/>
      <c r="B45" s="3">
        <f ca="1">IFERROR(__xludf.DUMMYFUNCTION("""COMPUTED_VALUE"""),852)</f>
        <v>852</v>
      </c>
      <c r="C45" s="3" t="str">
        <f ca="1">IFERROR(__xludf.DUMMYFUNCTION("""COMPUTED_VALUE"""),"Cole Murphy")</f>
        <v>Cole Murphy</v>
      </c>
      <c r="D45" s="3" t="str">
        <f ca="1">IFERROR(__xludf.DUMMYFUNCTION("""COMPUTED_VALUE"""),"K")</f>
        <v>K</v>
      </c>
    </row>
    <row r="46" spans="1:5" ht="15.75" customHeight="1" x14ac:dyDescent="0.15">
      <c r="A46" s="16"/>
      <c r="B46" s="3">
        <f ca="1">IFERROR(__xludf.DUMMYFUNCTION("""COMPUTED_VALUE"""),864)</f>
        <v>864</v>
      </c>
      <c r="C46" s="3" t="str">
        <f ca="1">IFERROR(__xludf.DUMMYFUNCTION("""COMPUTED_VALUE"""),"Matthew Wright")</f>
        <v>Matthew Wright</v>
      </c>
      <c r="D46" s="3" t="str">
        <f ca="1">IFERROR(__xludf.DUMMYFUNCTION("""COMPUTED_VALUE"""),"K")</f>
        <v>K</v>
      </c>
    </row>
  </sheetData>
  <conditionalFormatting sqref="A38:D46 A36:D36 B3:C35 D2:D35 A2:A35">
    <cfRule type="expression" dxfId="7" priority="4">
      <formula>E2=1</formula>
    </cfRule>
  </conditionalFormatting>
  <conditionalFormatting sqref="B38:D46 B36:D36 B2:B35 C3:D35">
    <cfRule type="expression" dxfId="6" priority="3">
      <formula>E2=1</formula>
    </cfRule>
  </conditionalFormatting>
  <conditionalFormatting sqref="C38:C46 C2:C36">
    <cfRule type="expression" dxfId="5" priority="2">
      <formula>E2=1</formula>
    </cfRule>
  </conditionalFormatting>
  <conditionalFormatting sqref="D38:D46 D2:D36">
    <cfRule type="expression" dxfId="4" priority="1">
      <formula>E2=1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7" id="{83F4BDEF-281E-4D31-A573-71CC4B9BF16C}">
            <xm:f>DST!#REF!=1</xm:f>
            <x14:dxf>
              <font>
                <strike/>
              </font>
              <fill>
                <patternFill>
                  <bgColor theme="5" tint="0.59996337778862885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209" id="{C176833A-197C-4DC0-8F37-EF97EB2C9D7C}">
            <xm:f>DST!#REF!=1</xm:f>
            <x14:dxf>
              <font>
                <strike/>
              </font>
              <fill>
                <patternFill>
                  <bgColor theme="5" tint="0.59996337778862885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expression" priority="375" id="{83F4BDEF-281E-4D31-A573-71CC4B9BF16C}">
            <xm:f>DST!#REF!=1</xm:f>
            <x14:dxf>
              <font>
                <strike/>
              </font>
              <fill>
                <patternFill>
                  <bgColor theme="5" tint="0.59996337778862885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expression" priority="376" id="{C176833A-197C-4DC0-8F37-EF97EB2C9D7C}">
            <xm:f>DST!#REF!=1</xm:f>
            <x14:dxf>
              <font>
                <strike/>
              </font>
              <fill>
                <patternFill>
                  <bgColor theme="5" tint="0.59996337778862885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4"/>
  <sheetViews>
    <sheetView showGridLines="0" workbookViewId="0">
      <pane ySplit="1" topLeftCell="A753" activePane="bottomLeft" state="frozen"/>
      <selection pane="bottomLeft" activeCell="B781" sqref="B781"/>
    </sheetView>
  </sheetViews>
  <sheetFormatPr baseColWidth="10" defaultColWidth="14.5" defaultRowHeight="15.75" customHeight="1" x14ac:dyDescent="0.15"/>
  <sheetData>
    <row r="1" spans="1:26" ht="13" x14ac:dyDescent="0.15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21">
        <v>1</v>
      </c>
      <c r="B2" s="21" t="s">
        <v>3</v>
      </c>
      <c r="C2" s="21" t="s">
        <v>4</v>
      </c>
    </row>
    <row r="3" spans="1:26" ht="13" x14ac:dyDescent="0.15">
      <c r="A3" s="21">
        <v>2</v>
      </c>
      <c r="B3" s="21" t="s">
        <v>5</v>
      </c>
      <c r="C3" s="21" t="s">
        <v>6</v>
      </c>
    </row>
    <row r="4" spans="1:26" ht="13" x14ac:dyDescent="0.15">
      <c r="A4" s="21">
        <v>3</v>
      </c>
      <c r="B4" s="21" t="s">
        <v>7</v>
      </c>
      <c r="C4" s="21" t="s">
        <v>8</v>
      </c>
    </row>
    <row r="5" spans="1:26" ht="13" x14ac:dyDescent="0.15">
      <c r="A5" s="21">
        <v>4</v>
      </c>
      <c r="B5" s="21" t="s">
        <v>9</v>
      </c>
      <c r="C5" s="21" t="s">
        <v>8</v>
      </c>
    </row>
    <row r="6" spans="1:26" ht="13" x14ac:dyDescent="0.15">
      <c r="A6" s="21">
        <v>5</v>
      </c>
      <c r="B6" s="21" t="s">
        <v>10</v>
      </c>
      <c r="C6" s="21" t="s">
        <v>8</v>
      </c>
    </row>
    <row r="7" spans="1:26" ht="13" x14ac:dyDescent="0.15">
      <c r="A7" s="21">
        <v>6</v>
      </c>
      <c r="B7" s="21" t="s">
        <v>11</v>
      </c>
      <c r="C7" s="21" t="s">
        <v>4</v>
      </c>
    </row>
    <row r="8" spans="1:26" ht="13" x14ac:dyDescent="0.15">
      <c r="A8" s="21">
        <v>7</v>
      </c>
      <c r="B8" s="21" t="s">
        <v>12</v>
      </c>
      <c r="C8" s="21" t="s">
        <v>8</v>
      </c>
    </row>
    <row r="9" spans="1:26" ht="13" x14ac:dyDescent="0.15">
      <c r="A9" s="21">
        <v>8</v>
      </c>
      <c r="B9" s="21" t="s">
        <v>13</v>
      </c>
      <c r="C9" s="21" t="s">
        <v>4</v>
      </c>
    </row>
    <row r="10" spans="1:26" ht="13" x14ac:dyDescent="0.15">
      <c r="A10" s="21">
        <v>9</v>
      </c>
      <c r="B10" s="21" t="s">
        <v>14</v>
      </c>
      <c r="C10" s="21" t="s">
        <v>4</v>
      </c>
    </row>
    <row r="11" spans="1:26" ht="13" x14ac:dyDescent="0.15">
      <c r="A11" s="21">
        <v>10</v>
      </c>
      <c r="B11" s="21" t="s">
        <v>15</v>
      </c>
      <c r="C11" s="21" t="s">
        <v>4</v>
      </c>
    </row>
    <row r="12" spans="1:26" ht="13" x14ac:dyDescent="0.15">
      <c r="A12" s="21">
        <v>11</v>
      </c>
      <c r="B12" s="21" t="s">
        <v>16</v>
      </c>
      <c r="C12" s="21" t="s">
        <v>6</v>
      </c>
    </row>
    <row r="13" spans="1:26" ht="13" x14ac:dyDescent="0.15">
      <c r="A13" s="21">
        <v>12</v>
      </c>
      <c r="B13" s="21" t="s">
        <v>17</v>
      </c>
      <c r="C13" s="21" t="s">
        <v>6</v>
      </c>
    </row>
    <row r="14" spans="1:26" ht="13" x14ac:dyDescent="0.15">
      <c r="A14" s="21">
        <v>13</v>
      </c>
      <c r="B14" s="21" t="s">
        <v>18</v>
      </c>
      <c r="C14" s="21" t="s">
        <v>6</v>
      </c>
    </row>
    <row r="15" spans="1:26" ht="13" x14ac:dyDescent="0.15">
      <c r="A15" s="21">
        <v>14</v>
      </c>
      <c r="B15" s="21" t="s">
        <v>19</v>
      </c>
      <c r="C15" s="21" t="s">
        <v>6</v>
      </c>
    </row>
    <row r="16" spans="1:26" ht="13" x14ac:dyDescent="0.15">
      <c r="A16" s="21">
        <v>15</v>
      </c>
      <c r="B16" s="21" t="s">
        <v>20</v>
      </c>
      <c r="C16" s="21" t="s">
        <v>6</v>
      </c>
    </row>
    <row r="17" spans="1:3" ht="13" x14ac:dyDescent="0.15">
      <c r="A17" s="21">
        <v>16</v>
      </c>
      <c r="B17" s="21" t="s">
        <v>21</v>
      </c>
      <c r="C17" s="21" t="s">
        <v>8</v>
      </c>
    </row>
    <row r="18" spans="1:3" ht="13" x14ac:dyDescent="0.15">
      <c r="A18" s="21">
        <v>17</v>
      </c>
      <c r="B18" s="21" t="s">
        <v>22</v>
      </c>
      <c r="C18" s="21" t="s">
        <v>6</v>
      </c>
    </row>
    <row r="19" spans="1:3" ht="13" x14ac:dyDescent="0.15">
      <c r="A19" s="21">
        <v>18</v>
      </c>
      <c r="B19" s="21" t="s">
        <v>23</v>
      </c>
      <c r="C19" s="21" t="s">
        <v>6</v>
      </c>
    </row>
    <row r="20" spans="1:3" ht="13" x14ac:dyDescent="0.15">
      <c r="A20" s="21">
        <v>19</v>
      </c>
      <c r="B20" s="21" t="s">
        <v>24</v>
      </c>
      <c r="C20" s="21" t="s">
        <v>6</v>
      </c>
    </row>
    <row r="21" spans="1:3" ht="13" x14ac:dyDescent="0.15">
      <c r="A21" s="21">
        <v>20</v>
      </c>
      <c r="B21" s="21" t="s">
        <v>25</v>
      </c>
      <c r="C21" s="21" t="s">
        <v>8</v>
      </c>
    </row>
    <row r="22" spans="1:3" ht="13" x14ac:dyDescent="0.15">
      <c r="A22" s="21">
        <v>21</v>
      </c>
      <c r="B22" s="21" t="s">
        <v>26</v>
      </c>
      <c r="C22" s="21" t="s">
        <v>8</v>
      </c>
    </row>
    <row r="23" spans="1:3" ht="13" x14ac:dyDescent="0.15">
      <c r="A23" s="21">
        <v>22</v>
      </c>
      <c r="B23" s="21" t="s">
        <v>27</v>
      </c>
      <c r="C23" s="21" t="s">
        <v>6</v>
      </c>
    </row>
    <row r="24" spans="1:3" ht="13" x14ac:dyDescent="0.15">
      <c r="A24" s="21">
        <v>23</v>
      </c>
      <c r="B24" s="21" t="s">
        <v>28</v>
      </c>
      <c r="C24" s="21" t="s">
        <v>6</v>
      </c>
    </row>
    <row r="25" spans="1:3" ht="13" x14ac:dyDescent="0.15">
      <c r="A25" s="21">
        <v>24</v>
      </c>
      <c r="B25" s="21" t="s">
        <v>29</v>
      </c>
      <c r="C25" s="21" t="s">
        <v>6</v>
      </c>
    </row>
    <row r="26" spans="1:3" ht="13" x14ac:dyDescent="0.15">
      <c r="A26" s="21">
        <v>25</v>
      </c>
      <c r="B26" s="21" t="s">
        <v>30</v>
      </c>
      <c r="C26" s="21" t="s">
        <v>6</v>
      </c>
    </row>
    <row r="27" spans="1:3" ht="13" x14ac:dyDescent="0.15">
      <c r="A27" s="21">
        <v>26</v>
      </c>
      <c r="B27" s="21" t="s">
        <v>31</v>
      </c>
      <c r="C27" s="21" t="s">
        <v>6</v>
      </c>
    </row>
    <row r="28" spans="1:3" ht="13" x14ac:dyDescent="0.15">
      <c r="A28" s="21">
        <v>27</v>
      </c>
      <c r="B28" s="21" t="s">
        <v>32</v>
      </c>
      <c r="C28" s="21" t="s">
        <v>6</v>
      </c>
    </row>
    <row r="29" spans="1:3" ht="13" x14ac:dyDescent="0.15">
      <c r="A29" s="21">
        <v>28</v>
      </c>
      <c r="B29" s="21" t="s">
        <v>33</v>
      </c>
      <c r="C29" s="21" t="s">
        <v>6</v>
      </c>
    </row>
    <row r="30" spans="1:3" ht="13" x14ac:dyDescent="0.15">
      <c r="A30" s="21">
        <v>29</v>
      </c>
      <c r="B30" s="21" t="s">
        <v>34</v>
      </c>
      <c r="C30" s="21" t="s">
        <v>8</v>
      </c>
    </row>
    <row r="31" spans="1:3" ht="13" x14ac:dyDescent="0.15">
      <c r="A31" s="21">
        <v>30</v>
      </c>
      <c r="B31" s="21" t="s">
        <v>35</v>
      </c>
      <c r="C31" s="21" t="s">
        <v>8</v>
      </c>
    </row>
    <row r="32" spans="1:3" ht="13" x14ac:dyDescent="0.15">
      <c r="A32" s="21">
        <v>31</v>
      </c>
      <c r="B32" s="21" t="s">
        <v>36</v>
      </c>
      <c r="C32" s="21" t="s">
        <v>8</v>
      </c>
    </row>
    <row r="33" spans="1:3" ht="13" x14ac:dyDescent="0.15">
      <c r="A33" s="21">
        <v>32</v>
      </c>
      <c r="B33" s="21" t="s">
        <v>37</v>
      </c>
      <c r="C33" s="21" t="s">
        <v>4</v>
      </c>
    </row>
    <row r="34" spans="1:3" ht="13" x14ac:dyDescent="0.15">
      <c r="A34" s="21">
        <v>33</v>
      </c>
      <c r="B34" s="21" t="s">
        <v>38</v>
      </c>
      <c r="C34" s="21" t="s">
        <v>8</v>
      </c>
    </row>
    <row r="35" spans="1:3" ht="13" x14ac:dyDescent="0.15">
      <c r="A35" s="21">
        <v>34</v>
      </c>
      <c r="B35" s="21" t="s">
        <v>39</v>
      </c>
      <c r="C35" s="21" t="s">
        <v>6</v>
      </c>
    </row>
    <row r="36" spans="1:3" ht="13" x14ac:dyDescent="0.15">
      <c r="A36" s="21">
        <v>35</v>
      </c>
      <c r="B36" s="21" t="s">
        <v>40</v>
      </c>
      <c r="C36" s="21" t="s">
        <v>8</v>
      </c>
    </row>
    <row r="37" spans="1:3" ht="13" x14ac:dyDescent="0.15">
      <c r="A37" s="21">
        <v>36</v>
      </c>
      <c r="B37" s="21" t="s">
        <v>41</v>
      </c>
      <c r="C37" s="21" t="s">
        <v>6</v>
      </c>
    </row>
    <row r="38" spans="1:3" ht="13" x14ac:dyDescent="0.15">
      <c r="A38" s="21">
        <v>37</v>
      </c>
      <c r="B38" s="21" t="s">
        <v>42</v>
      </c>
      <c r="C38" s="21" t="s">
        <v>6</v>
      </c>
    </row>
    <row r="39" spans="1:3" ht="13" x14ac:dyDescent="0.15">
      <c r="A39" s="21">
        <v>38</v>
      </c>
      <c r="B39" s="21" t="s">
        <v>43</v>
      </c>
      <c r="C39" s="21" t="s">
        <v>4</v>
      </c>
    </row>
    <row r="40" spans="1:3" ht="13" x14ac:dyDescent="0.15">
      <c r="A40" s="21">
        <v>39</v>
      </c>
      <c r="B40" s="21" t="s">
        <v>44</v>
      </c>
      <c r="C40" s="21" t="s">
        <v>8</v>
      </c>
    </row>
    <row r="41" spans="1:3" ht="13" x14ac:dyDescent="0.15">
      <c r="A41" s="21">
        <v>40</v>
      </c>
      <c r="B41" s="21" t="s">
        <v>45</v>
      </c>
      <c r="C41" s="21" t="s">
        <v>6</v>
      </c>
    </row>
    <row r="42" spans="1:3" ht="13" x14ac:dyDescent="0.15">
      <c r="A42" s="21">
        <v>41</v>
      </c>
      <c r="B42" s="21" t="s">
        <v>46</v>
      </c>
      <c r="C42" s="21" t="s">
        <v>4</v>
      </c>
    </row>
    <row r="43" spans="1:3" ht="13" x14ac:dyDescent="0.15">
      <c r="A43" s="21">
        <v>42</v>
      </c>
      <c r="B43" s="21" t="s">
        <v>47</v>
      </c>
      <c r="C43" s="21" t="s">
        <v>4</v>
      </c>
    </row>
    <row r="44" spans="1:3" ht="13" x14ac:dyDescent="0.15">
      <c r="A44" s="21">
        <v>43</v>
      </c>
      <c r="B44" s="21" t="s">
        <v>48</v>
      </c>
      <c r="C44" s="21" t="s">
        <v>49</v>
      </c>
    </row>
    <row r="45" spans="1:3" ht="13" x14ac:dyDescent="0.15">
      <c r="A45" s="21">
        <v>44</v>
      </c>
      <c r="B45" s="21" t="s">
        <v>50</v>
      </c>
      <c r="C45" s="21" t="s">
        <v>4</v>
      </c>
    </row>
    <row r="46" spans="1:3" ht="13" x14ac:dyDescent="0.15">
      <c r="A46" s="21">
        <v>45</v>
      </c>
      <c r="B46" s="21" t="s">
        <v>51</v>
      </c>
      <c r="C46" s="21" t="s">
        <v>4</v>
      </c>
    </row>
    <row r="47" spans="1:3" ht="13" x14ac:dyDescent="0.15">
      <c r="A47" s="21">
        <v>46</v>
      </c>
      <c r="B47" s="21" t="s">
        <v>52</v>
      </c>
      <c r="C47" s="21" t="s">
        <v>6</v>
      </c>
    </row>
    <row r="48" spans="1:3" ht="13" x14ac:dyDescent="0.15">
      <c r="A48" s="21">
        <v>47</v>
      </c>
      <c r="B48" s="21" t="s">
        <v>53</v>
      </c>
      <c r="C48" s="21" t="s">
        <v>8</v>
      </c>
    </row>
    <row r="49" spans="1:3" ht="13" x14ac:dyDescent="0.15">
      <c r="A49" s="21">
        <v>48</v>
      </c>
      <c r="B49" s="21" t="s">
        <v>54</v>
      </c>
      <c r="C49" s="21" t="s">
        <v>6</v>
      </c>
    </row>
    <row r="50" spans="1:3" ht="13" x14ac:dyDescent="0.15">
      <c r="A50" s="21">
        <v>49</v>
      </c>
      <c r="B50" s="21" t="s">
        <v>55</v>
      </c>
      <c r="C50" s="21" t="s">
        <v>8</v>
      </c>
    </row>
    <row r="51" spans="1:3" ht="13" x14ac:dyDescent="0.15">
      <c r="A51" s="21">
        <v>50</v>
      </c>
      <c r="B51" s="21" t="s">
        <v>56</v>
      </c>
      <c r="C51" s="21" t="s">
        <v>8</v>
      </c>
    </row>
    <row r="52" spans="1:3" ht="13" x14ac:dyDescent="0.15">
      <c r="A52" s="21">
        <v>51</v>
      </c>
      <c r="B52" s="21" t="s">
        <v>57</v>
      </c>
      <c r="C52" s="21" t="s">
        <v>4</v>
      </c>
    </row>
    <row r="53" spans="1:3" ht="13" x14ac:dyDescent="0.15">
      <c r="A53" s="21">
        <v>52</v>
      </c>
      <c r="B53" s="21" t="s">
        <v>58</v>
      </c>
      <c r="C53" s="21" t="s">
        <v>6</v>
      </c>
    </row>
    <row r="54" spans="1:3" ht="13" x14ac:dyDescent="0.15">
      <c r="A54" s="21">
        <v>53</v>
      </c>
      <c r="B54" s="21" t="s">
        <v>59</v>
      </c>
      <c r="C54" s="21" t="s">
        <v>4</v>
      </c>
    </row>
    <row r="55" spans="1:3" ht="13" x14ac:dyDescent="0.15">
      <c r="A55" s="21">
        <v>54</v>
      </c>
      <c r="B55" s="21" t="s">
        <v>60</v>
      </c>
      <c r="C55" s="21" t="s">
        <v>4</v>
      </c>
    </row>
    <row r="56" spans="1:3" ht="13" x14ac:dyDescent="0.15">
      <c r="A56" s="21">
        <v>55</v>
      </c>
      <c r="B56" s="21" t="s">
        <v>61</v>
      </c>
      <c r="C56" s="21" t="s">
        <v>6</v>
      </c>
    </row>
    <row r="57" spans="1:3" ht="13" x14ac:dyDescent="0.15">
      <c r="A57" s="21">
        <v>56</v>
      </c>
      <c r="B57" s="21" t="s">
        <v>62</v>
      </c>
      <c r="C57" s="21" t="s">
        <v>6</v>
      </c>
    </row>
    <row r="58" spans="1:3" ht="13" x14ac:dyDescent="0.15">
      <c r="A58" s="21">
        <v>57</v>
      </c>
      <c r="B58" s="21" t="s">
        <v>63</v>
      </c>
      <c r="C58" s="21" t="s">
        <v>4</v>
      </c>
    </row>
    <row r="59" spans="1:3" ht="13" x14ac:dyDescent="0.15">
      <c r="A59" s="21">
        <v>58</v>
      </c>
      <c r="B59" s="21" t="s">
        <v>64</v>
      </c>
      <c r="C59" s="21" t="s">
        <v>6</v>
      </c>
    </row>
    <row r="60" spans="1:3" ht="13" x14ac:dyDescent="0.15">
      <c r="A60" s="21">
        <v>59</v>
      </c>
      <c r="B60" s="21" t="s">
        <v>65</v>
      </c>
      <c r="C60" s="21" t="s">
        <v>6</v>
      </c>
    </row>
    <row r="61" spans="1:3" ht="13" x14ac:dyDescent="0.15">
      <c r="A61" s="21">
        <v>60</v>
      </c>
      <c r="B61" s="21" t="s">
        <v>66</v>
      </c>
      <c r="C61" s="21" t="s">
        <v>8</v>
      </c>
    </row>
    <row r="62" spans="1:3" ht="13" x14ac:dyDescent="0.15">
      <c r="A62" s="21">
        <v>61</v>
      </c>
      <c r="B62" s="21" t="s">
        <v>67</v>
      </c>
      <c r="C62" s="21" t="s">
        <v>8</v>
      </c>
    </row>
    <row r="63" spans="1:3" ht="13" x14ac:dyDescent="0.15">
      <c r="A63" s="21">
        <v>62</v>
      </c>
      <c r="B63" s="21" t="s">
        <v>68</v>
      </c>
      <c r="C63" s="21" t="s">
        <v>4</v>
      </c>
    </row>
    <row r="64" spans="1:3" ht="13" x14ac:dyDescent="0.15">
      <c r="A64" s="21">
        <v>63</v>
      </c>
      <c r="B64" s="21" t="s">
        <v>69</v>
      </c>
      <c r="C64" s="21" t="s">
        <v>4</v>
      </c>
    </row>
    <row r="65" spans="1:3" ht="13" x14ac:dyDescent="0.15">
      <c r="A65" s="21">
        <v>64</v>
      </c>
      <c r="B65" s="21" t="s">
        <v>70</v>
      </c>
      <c r="C65" s="21" t="s">
        <v>8</v>
      </c>
    </row>
    <row r="66" spans="1:3" ht="13" x14ac:dyDescent="0.15">
      <c r="A66" s="21">
        <v>65</v>
      </c>
      <c r="B66" s="21" t="s">
        <v>71</v>
      </c>
      <c r="C66" s="21" t="s">
        <v>8</v>
      </c>
    </row>
    <row r="67" spans="1:3" ht="13" x14ac:dyDescent="0.15">
      <c r="A67" s="21">
        <v>66</v>
      </c>
      <c r="B67" s="21" t="s">
        <v>72</v>
      </c>
      <c r="C67" s="21" t="s">
        <v>4</v>
      </c>
    </row>
    <row r="68" spans="1:3" ht="13" x14ac:dyDescent="0.15">
      <c r="A68" s="21">
        <v>67</v>
      </c>
      <c r="B68" s="21" t="s">
        <v>73</v>
      </c>
      <c r="C68" s="21" t="s">
        <v>4</v>
      </c>
    </row>
    <row r="69" spans="1:3" ht="13" x14ac:dyDescent="0.15">
      <c r="A69" s="21">
        <v>68</v>
      </c>
      <c r="B69" s="21" t="s">
        <v>74</v>
      </c>
      <c r="C69" s="21" t="s">
        <v>6</v>
      </c>
    </row>
    <row r="70" spans="1:3" ht="13" x14ac:dyDescent="0.15">
      <c r="A70" s="21">
        <v>69</v>
      </c>
      <c r="B70" s="21" t="s">
        <v>75</v>
      </c>
      <c r="C70" s="21" t="s">
        <v>6</v>
      </c>
    </row>
    <row r="71" spans="1:3" ht="13" x14ac:dyDescent="0.15">
      <c r="A71" s="21">
        <v>70</v>
      </c>
      <c r="B71" s="21" t="s">
        <v>76</v>
      </c>
      <c r="C71" s="21" t="s">
        <v>8</v>
      </c>
    </row>
    <row r="72" spans="1:3" ht="13" x14ac:dyDescent="0.15">
      <c r="A72" s="21">
        <v>71</v>
      </c>
      <c r="B72" s="21" t="s">
        <v>77</v>
      </c>
      <c r="C72" s="21" t="s">
        <v>6</v>
      </c>
    </row>
    <row r="73" spans="1:3" ht="13" x14ac:dyDescent="0.15">
      <c r="A73" s="21">
        <v>72</v>
      </c>
      <c r="B73" s="21" t="s">
        <v>78</v>
      </c>
      <c r="C73" s="21" t="s">
        <v>6</v>
      </c>
    </row>
    <row r="74" spans="1:3" ht="13" x14ac:dyDescent="0.15">
      <c r="A74" s="21">
        <v>73</v>
      </c>
      <c r="B74" s="21" t="s">
        <v>79</v>
      </c>
      <c r="C74" s="21" t="s">
        <v>4</v>
      </c>
    </row>
    <row r="75" spans="1:3" ht="13" x14ac:dyDescent="0.15">
      <c r="A75" s="21">
        <v>74</v>
      </c>
      <c r="B75" s="21" t="s">
        <v>80</v>
      </c>
      <c r="C75" s="21" t="s">
        <v>8</v>
      </c>
    </row>
    <row r="76" spans="1:3" ht="13" x14ac:dyDescent="0.15">
      <c r="A76" s="21">
        <v>75</v>
      </c>
      <c r="B76" s="21" t="s">
        <v>81</v>
      </c>
      <c r="C76" s="21" t="s">
        <v>8</v>
      </c>
    </row>
    <row r="77" spans="1:3" ht="13" x14ac:dyDescent="0.15">
      <c r="A77" s="21">
        <v>76</v>
      </c>
      <c r="B77" s="21" t="s">
        <v>82</v>
      </c>
      <c r="C77" s="21" t="s">
        <v>4</v>
      </c>
    </row>
    <row r="78" spans="1:3" ht="13" x14ac:dyDescent="0.15">
      <c r="A78" s="21">
        <v>77</v>
      </c>
      <c r="B78" s="21" t="s">
        <v>83</v>
      </c>
      <c r="C78" s="21" t="s">
        <v>4</v>
      </c>
    </row>
    <row r="79" spans="1:3" ht="13" x14ac:dyDescent="0.15">
      <c r="A79" s="21">
        <v>78</v>
      </c>
      <c r="B79" s="21" t="s">
        <v>84</v>
      </c>
      <c r="C79" s="21" t="s">
        <v>6</v>
      </c>
    </row>
    <row r="80" spans="1:3" ht="13" x14ac:dyDescent="0.15">
      <c r="A80" s="21">
        <v>79</v>
      </c>
      <c r="B80" s="21" t="s">
        <v>85</v>
      </c>
      <c r="C80" s="21" t="s">
        <v>4</v>
      </c>
    </row>
    <row r="81" spans="1:3" ht="13" x14ac:dyDescent="0.15">
      <c r="A81" s="21">
        <v>80</v>
      </c>
      <c r="B81" s="21" t="s">
        <v>86</v>
      </c>
      <c r="C81" s="21" t="s">
        <v>8</v>
      </c>
    </row>
    <row r="82" spans="1:3" ht="13" x14ac:dyDescent="0.15">
      <c r="A82" s="21">
        <v>81</v>
      </c>
      <c r="B82" s="21" t="s">
        <v>87</v>
      </c>
      <c r="C82" s="21" t="s">
        <v>6</v>
      </c>
    </row>
    <row r="83" spans="1:3" ht="13" x14ac:dyDescent="0.15">
      <c r="A83" s="21">
        <v>82</v>
      </c>
      <c r="B83" s="21" t="s">
        <v>88</v>
      </c>
      <c r="C83" s="21" t="s">
        <v>8</v>
      </c>
    </row>
    <row r="84" spans="1:3" ht="13" x14ac:dyDescent="0.15">
      <c r="A84" s="21">
        <v>83</v>
      </c>
      <c r="B84" s="21" t="s">
        <v>89</v>
      </c>
      <c r="C84" s="21" t="s">
        <v>49</v>
      </c>
    </row>
    <row r="85" spans="1:3" ht="13" x14ac:dyDescent="0.15">
      <c r="A85" s="21">
        <v>84</v>
      </c>
      <c r="B85" s="21" t="s">
        <v>90</v>
      </c>
      <c r="C85" s="21" t="s">
        <v>6</v>
      </c>
    </row>
    <row r="86" spans="1:3" ht="13" x14ac:dyDescent="0.15">
      <c r="A86" s="21">
        <v>85</v>
      </c>
      <c r="B86" s="21" t="s">
        <v>91</v>
      </c>
      <c r="C86" s="21" t="s">
        <v>6</v>
      </c>
    </row>
    <row r="87" spans="1:3" ht="13" x14ac:dyDescent="0.15">
      <c r="A87" s="21">
        <v>86</v>
      </c>
      <c r="B87" s="21" t="s">
        <v>92</v>
      </c>
      <c r="C87" s="21" t="s">
        <v>8</v>
      </c>
    </row>
    <row r="88" spans="1:3" ht="13" x14ac:dyDescent="0.15">
      <c r="A88" s="21">
        <v>87</v>
      </c>
      <c r="B88" s="21" t="s">
        <v>93</v>
      </c>
      <c r="C88" s="21" t="s">
        <v>8</v>
      </c>
    </row>
    <row r="89" spans="1:3" ht="13" x14ac:dyDescent="0.15">
      <c r="A89" s="21">
        <v>88</v>
      </c>
      <c r="B89" s="21" t="s">
        <v>94</v>
      </c>
      <c r="C89" s="21" t="s">
        <v>6</v>
      </c>
    </row>
    <row r="90" spans="1:3" ht="13" x14ac:dyDescent="0.15">
      <c r="A90" s="21">
        <v>89</v>
      </c>
      <c r="B90" s="21" t="s">
        <v>95</v>
      </c>
      <c r="C90" s="21" t="s">
        <v>8</v>
      </c>
    </row>
    <row r="91" spans="1:3" ht="13" x14ac:dyDescent="0.15">
      <c r="A91" s="21">
        <v>90</v>
      </c>
      <c r="B91" s="21" t="s">
        <v>96</v>
      </c>
      <c r="C91" s="21" t="s">
        <v>49</v>
      </c>
    </row>
    <row r="92" spans="1:3" ht="13" x14ac:dyDescent="0.15">
      <c r="A92" s="21">
        <v>91</v>
      </c>
      <c r="B92" s="21" t="s">
        <v>97</v>
      </c>
      <c r="C92" s="21" t="s">
        <v>6</v>
      </c>
    </row>
    <row r="93" spans="1:3" ht="13" x14ac:dyDescent="0.15">
      <c r="A93" s="21">
        <v>92</v>
      </c>
      <c r="B93" s="21" t="s">
        <v>98</v>
      </c>
      <c r="C93" s="21" t="s">
        <v>6</v>
      </c>
    </row>
    <row r="94" spans="1:3" ht="13" x14ac:dyDescent="0.15">
      <c r="A94" s="21">
        <v>93</v>
      </c>
      <c r="B94" s="21" t="s">
        <v>99</v>
      </c>
      <c r="C94" s="21" t="s">
        <v>8</v>
      </c>
    </row>
    <row r="95" spans="1:3" ht="13" x14ac:dyDescent="0.15">
      <c r="A95" s="21">
        <v>94</v>
      </c>
      <c r="B95" s="21" t="s">
        <v>100</v>
      </c>
      <c r="C95" s="21" t="s">
        <v>8</v>
      </c>
    </row>
    <row r="96" spans="1:3" ht="13" x14ac:dyDescent="0.15">
      <c r="A96" s="21">
        <v>95</v>
      </c>
      <c r="B96" s="21" t="s">
        <v>101</v>
      </c>
      <c r="C96" s="21" t="s">
        <v>8</v>
      </c>
    </row>
    <row r="97" spans="1:3" ht="13" x14ac:dyDescent="0.15">
      <c r="A97" s="21">
        <v>96</v>
      </c>
      <c r="B97" s="21" t="s">
        <v>102</v>
      </c>
      <c r="C97" s="21" t="s">
        <v>6</v>
      </c>
    </row>
    <row r="98" spans="1:3" ht="13" x14ac:dyDescent="0.15">
      <c r="A98" s="21">
        <v>97</v>
      </c>
      <c r="B98" s="21" t="s">
        <v>103</v>
      </c>
      <c r="C98" s="21" t="s">
        <v>6</v>
      </c>
    </row>
    <row r="99" spans="1:3" ht="13" x14ac:dyDescent="0.15">
      <c r="A99" s="21">
        <v>98</v>
      </c>
      <c r="B99" s="21" t="s">
        <v>104</v>
      </c>
      <c r="C99" s="21" t="s">
        <v>8</v>
      </c>
    </row>
    <row r="100" spans="1:3" ht="13" x14ac:dyDescent="0.15">
      <c r="A100" s="21">
        <v>99</v>
      </c>
      <c r="B100" s="21" t="s">
        <v>105</v>
      </c>
      <c r="C100" s="21" t="s">
        <v>49</v>
      </c>
    </row>
    <row r="101" spans="1:3" ht="13" x14ac:dyDescent="0.15">
      <c r="A101" s="21">
        <v>100</v>
      </c>
      <c r="B101" s="21" t="s">
        <v>106</v>
      </c>
      <c r="C101" s="21" t="s">
        <v>6</v>
      </c>
    </row>
    <row r="102" spans="1:3" ht="13" x14ac:dyDescent="0.15">
      <c r="A102" s="21">
        <v>101</v>
      </c>
      <c r="B102" s="21" t="s">
        <v>107</v>
      </c>
      <c r="C102" s="21" t="s">
        <v>49</v>
      </c>
    </row>
    <row r="103" spans="1:3" ht="13" x14ac:dyDescent="0.15">
      <c r="A103" s="21">
        <v>102</v>
      </c>
      <c r="B103" s="21" t="s">
        <v>108</v>
      </c>
      <c r="C103" s="21" t="s">
        <v>8</v>
      </c>
    </row>
    <row r="104" spans="1:3" ht="13" x14ac:dyDescent="0.15">
      <c r="A104" s="21">
        <v>103</v>
      </c>
      <c r="B104" s="21" t="s">
        <v>109</v>
      </c>
      <c r="C104" s="21" t="s">
        <v>6</v>
      </c>
    </row>
    <row r="105" spans="1:3" ht="13" x14ac:dyDescent="0.15">
      <c r="A105" s="21">
        <v>104</v>
      </c>
      <c r="B105" s="21" t="s">
        <v>110</v>
      </c>
      <c r="C105" s="21" t="s">
        <v>4</v>
      </c>
    </row>
    <row r="106" spans="1:3" ht="13" x14ac:dyDescent="0.15">
      <c r="A106" s="21">
        <v>105</v>
      </c>
      <c r="B106" s="21" t="s">
        <v>111</v>
      </c>
      <c r="C106" s="21" t="s">
        <v>4</v>
      </c>
    </row>
    <row r="107" spans="1:3" ht="13" x14ac:dyDescent="0.15">
      <c r="A107" s="21">
        <v>106</v>
      </c>
      <c r="B107" s="21" t="s">
        <v>112</v>
      </c>
      <c r="C107" s="21" t="s">
        <v>49</v>
      </c>
    </row>
    <row r="108" spans="1:3" ht="13" x14ac:dyDescent="0.15">
      <c r="A108" s="21">
        <v>107</v>
      </c>
      <c r="B108" s="21" t="s">
        <v>113</v>
      </c>
      <c r="C108" s="21" t="s">
        <v>4</v>
      </c>
    </row>
    <row r="109" spans="1:3" ht="13" x14ac:dyDescent="0.15">
      <c r="A109" s="21">
        <v>108</v>
      </c>
      <c r="B109" s="21" t="s">
        <v>114</v>
      </c>
      <c r="C109" s="21" t="s">
        <v>4</v>
      </c>
    </row>
    <row r="110" spans="1:3" ht="13" x14ac:dyDescent="0.15">
      <c r="A110" s="21">
        <v>109</v>
      </c>
      <c r="B110" s="21" t="s">
        <v>115</v>
      </c>
      <c r="C110" s="21" t="s">
        <v>6</v>
      </c>
    </row>
    <row r="111" spans="1:3" ht="13" x14ac:dyDescent="0.15">
      <c r="A111" s="21">
        <v>110</v>
      </c>
      <c r="B111" s="21" t="s">
        <v>116</v>
      </c>
      <c r="C111" s="21" t="s">
        <v>49</v>
      </c>
    </row>
    <row r="112" spans="1:3" ht="13" x14ac:dyDescent="0.15">
      <c r="A112" s="21">
        <v>111</v>
      </c>
      <c r="B112" s="21" t="s">
        <v>117</v>
      </c>
      <c r="C112" s="21" t="s">
        <v>6</v>
      </c>
    </row>
    <row r="113" spans="1:3" ht="13" x14ac:dyDescent="0.15">
      <c r="A113" s="21">
        <v>112</v>
      </c>
      <c r="B113" s="21" t="s">
        <v>118</v>
      </c>
      <c r="C113" s="21" t="s">
        <v>49</v>
      </c>
    </row>
    <row r="114" spans="1:3" ht="13" x14ac:dyDescent="0.15">
      <c r="A114" s="21">
        <v>113</v>
      </c>
      <c r="B114" s="21" t="s">
        <v>119</v>
      </c>
      <c r="C114" s="21" t="s">
        <v>49</v>
      </c>
    </row>
    <row r="115" spans="1:3" ht="13" x14ac:dyDescent="0.15">
      <c r="A115" s="21">
        <v>114</v>
      </c>
      <c r="B115" s="21" t="s">
        <v>120</v>
      </c>
      <c r="C115" s="21" t="s">
        <v>49</v>
      </c>
    </row>
    <row r="116" spans="1:3" ht="13" x14ac:dyDescent="0.15">
      <c r="A116" s="21">
        <v>115</v>
      </c>
      <c r="B116" s="21" t="s">
        <v>121</v>
      </c>
      <c r="C116" s="21" t="s">
        <v>49</v>
      </c>
    </row>
    <row r="117" spans="1:3" ht="13" x14ac:dyDescent="0.15">
      <c r="A117" s="21">
        <v>116</v>
      </c>
      <c r="B117" s="21" t="s">
        <v>122</v>
      </c>
      <c r="C117" s="21" t="s">
        <v>8</v>
      </c>
    </row>
    <row r="118" spans="1:3" ht="13" x14ac:dyDescent="0.15">
      <c r="A118" s="21">
        <v>117</v>
      </c>
      <c r="B118" s="21" t="s">
        <v>123</v>
      </c>
      <c r="C118" s="21" t="s">
        <v>49</v>
      </c>
    </row>
    <row r="119" spans="1:3" ht="13" x14ac:dyDescent="0.15">
      <c r="A119" s="21">
        <v>118</v>
      </c>
      <c r="B119" s="21" t="s">
        <v>124</v>
      </c>
      <c r="C119" s="21" t="s">
        <v>49</v>
      </c>
    </row>
    <row r="120" spans="1:3" ht="13" x14ac:dyDescent="0.15">
      <c r="A120" s="21">
        <v>119</v>
      </c>
      <c r="B120" s="21" t="s">
        <v>125</v>
      </c>
      <c r="C120" s="21" t="s">
        <v>4</v>
      </c>
    </row>
    <row r="121" spans="1:3" ht="13" x14ac:dyDescent="0.15">
      <c r="A121" s="21">
        <v>120</v>
      </c>
      <c r="B121" s="21" t="s">
        <v>126</v>
      </c>
      <c r="C121" s="21" t="s">
        <v>8</v>
      </c>
    </row>
    <row r="122" spans="1:3" ht="13" x14ac:dyDescent="0.15">
      <c r="A122" s="21">
        <v>121</v>
      </c>
      <c r="B122" s="21" t="s">
        <v>127</v>
      </c>
      <c r="C122" s="21" t="s">
        <v>49</v>
      </c>
    </row>
    <row r="123" spans="1:3" ht="13" x14ac:dyDescent="0.15">
      <c r="A123" s="21">
        <v>122</v>
      </c>
      <c r="B123" s="21" t="s">
        <v>128</v>
      </c>
      <c r="C123" s="21" t="s">
        <v>49</v>
      </c>
    </row>
    <row r="124" spans="1:3" ht="13" x14ac:dyDescent="0.15">
      <c r="A124" s="21">
        <v>123</v>
      </c>
      <c r="B124" s="21" t="s">
        <v>129</v>
      </c>
      <c r="C124" s="21" t="s">
        <v>49</v>
      </c>
    </row>
    <row r="125" spans="1:3" ht="13" x14ac:dyDescent="0.15">
      <c r="A125" s="21">
        <v>124</v>
      </c>
      <c r="B125" s="21" t="s">
        <v>130</v>
      </c>
      <c r="C125" s="21" t="s">
        <v>4</v>
      </c>
    </row>
    <row r="126" spans="1:3" ht="13" x14ac:dyDescent="0.15">
      <c r="A126" s="21">
        <v>125</v>
      </c>
      <c r="B126" s="21" t="s">
        <v>131</v>
      </c>
      <c r="C126" s="21" t="s">
        <v>8</v>
      </c>
    </row>
    <row r="127" spans="1:3" ht="13" x14ac:dyDescent="0.15">
      <c r="A127" s="21">
        <v>126</v>
      </c>
      <c r="B127" s="21" t="s">
        <v>132</v>
      </c>
      <c r="C127" s="21" t="s">
        <v>6</v>
      </c>
    </row>
    <row r="128" spans="1:3" ht="13" x14ac:dyDescent="0.15">
      <c r="A128" s="21">
        <v>127</v>
      </c>
      <c r="B128" s="21" t="s">
        <v>133</v>
      </c>
      <c r="C128" s="21" t="s">
        <v>8</v>
      </c>
    </row>
    <row r="129" spans="1:3" ht="13" x14ac:dyDescent="0.15">
      <c r="A129" s="21">
        <v>128</v>
      </c>
      <c r="B129" s="21" t="s">
        <v>134</v>
      </c>
      <c r="C129" s="21" t="s">
        <v>8</v>
      </c>
    </row>
    <row r="130" spans="1:3" ht="13" x14ac:dyDescent="0.15">
      <c r="A130" s="21">
        <v>129</v>
      </c>
      <c r="B130" s="21" t="s">
        <v>135</v>
      </c>
      <c r="C130" s="21" t="s">
        <v>6</v>
      </c>
    </row>
    <row r="131" spans="1:3" ht="13" x14ac:dyDescent="0.15">
      <c r="A131" s="21">
        <v>130</v>
      </c>
      <c r="B131" s="21" t="s">
        <v>136</v>
      </c>
      <c r="C131" s="21" t="s">
        <v>8</v>
      </c>
    </row>
    <row r="132" spans="1:3" ht="13" x14ac:dyDescent="0.15">
      <c r="A132" s="21">
        <v>131</v>
      </c>
      <c r="B132" s="21" t="s">
        <v>137</v>
      </c>
      <c r="C132" s="21" t="s">
        <v>6</v>
      </c>
    </row>
    <row r="133" spans="1:3" ht="13" x14ac:dyDescent="0.15">
      <c r="A133" s="21">
        <v>132</v>
      </c>
      <c r="B133" s="21" t="s">
        <v>138</v>
      </c>
      <c r="C133" s="21" t="s">
        <v>49</v>
      </c>
    </row>
    <row r="134" spans="1:3" ht="13" x14ac:dyDescent="0.15">
      <c r="A134" s="21">
        <v>133</v>
      </c>
      <c r="B134" s="21" t="s">
        <v>139</v>
      </c>
      <c r="C134" s="21" t="s">
        <v>8</v>
      </c>
    </row>
    <row r="135" spans="1:3" ht="13" x14ac:dyDescent="0.15">
      <c r="A135" s="21">
        <v>134</v>
      </c>
      <c r="B135" s="21" t="s">
        <v>140</v>
      </c>
      <c r="C135" s="21" t="s">
        <v>6</v>
      </c>
    </row>
    <row r="136" spans="1:3" ht="13" x14ac:dyDescent="0.15">
      <c r="A136" s="21">
        <v>135</v>
      </c>
      <c r="B136" s="21" t="s">
        <v>141</v>
      </c>
      <c r="C136" s="21" t="s">
        <v>6</v>
      </c>
    </row>
    <row r="137" spans="1:3" ht="13" x14ac:dyDescent="0.15">
      <c r="A137" s="21">
        <v>136</v>
      </c>
      <c r="B137" s="21" t="s">
        <v>142</v>
      </c>
      <c r="C137" s="21" t="s">
        <v>49</v>
      </c>
    </row>
    <row r="138" spans="1:3" ht="13" x14ac:dyDescent="0.15">
      <c r="A138" s="21">
        <v>137</v>
      </c>
      <c r="B138" s="21" t="s">
        <v>143</v>
      </c>
      <c r="C138" s="21" t="s">
        <v>8</v>
      </c>
    </row>
    <row r="139" spans="1:3" ht="13" x14ac:dyDescent="0.15">
      <c r="A139" s="21">
        <v>138</v>
      </c>
      <c r="B139" s="21" t="s">
        <v>144</v>
      </c>
      <c r="C139" s="21" t="s">
        <v>6</v>
      </c>
    </row>
    <row r="140" spans="1:3" ht="13" x14ac:dyDescent="0.15">
      <c r="A140" s="21">
        <v>139</v>
      </c>
      <c r="B140" s="21" t="s">
        <v>145</v>
      </c>
      <c r="C140" s="21" t="s">
        <v>6</v>
      </c>
    </row>
    <row r="141" spans="1:3" ht="13" x14ac:dyDescent="0.15">
      <c r="A141" s="21">
        <v>140</v>
      </c>
      <c r="B141" s="21" t="s">
        <v>146</v>
      </c>
      <c r="C141" s="21" t="s">
        <v>6</v>
      </c>
    </row>
    <row r="142" spans="1:3" ht="13" x14ac:dyDescent="0.15">
      <c r="A142" s="21">
        <v>141</v>
      </c>
      <c r="B142" s="21" t="s">
        <v>147</v>
      </c>
      <c r="C142" s="21" t="s">
        <v>4</v>
      </c>
    </row>
    <row r="143" spans="1:3" ht="13" x14ac:dyDescent="0.15">
      <c r="A143" s="21">
        <v>142</v>
      </c>
      <c r="B143" s="21" t="s">
        <v>148</v>
      </c>
      <c r="C143" s="21" t="s">
        <v>8</v>
      </c>
    </row>
    <row r="144" spans="1:3" ht="13" x14ac:dyDescent="0.15">
      <c r="A144" s="21">
        <v>143</v>
      </c>
      <c r="B144" s="21" t="s">
        <v>149</v>
      </c>
      <c r="C144" s="21" t="s">
        <v>6</v>
      </c>
    </row>
    <row r="145" spans="1:3" ht="13" x14ac:dyDescent="0.15">
      <c r="A145" s="21">
        <v>144</v>
      </c>
      <c r="B145" s="21" t="s">
        <v>150</v>
      </c>
      <c r="C145" s="21" t="s">
        <v>49</v>
      </c>
    </row>
    <row r="146" spans="1:3" ht="13" x14ac:dyDescent="0.15">
      <c r="A146" s="21">
        <v>145</v>
      </c>
      <c r="B146" s="21" t="s">
        <v>151</v>
      </c>
      <c r="C146" s="21" t="s">
        <v>8</v>
      </c>
    </row>
    <row r="147" spans="1:3" ht="13" x14ac:dyDescent="0.15">
      <c r="A147" s="21">
        <v>146</v>
      </c>
      <c r="B147" s="21" t="s">
        <v>152</v>
      </c>
      <c r="C147" s="21" t="s">
        <v>6</v>
      </c>
    </row>
    <row r="148" spans="1:3" ht="13" x14ac:dyDescent="0.15">
      <c r="A148" s="21">
        <v>147</v>
      </c>
      <c r="B148" s="21" t="s">
        <v>153</v>
      </c>
      <c r="C148" s="21" t="s">
        <v>6</v>
      </c>
    </row>
    <row r="149" spans="1:3" ht="13" x14ac:dyDescent="0.15">
      <c r="A149" s="21">
        <v>148</v>
      </c>
      <c r="B149" s="21" t="s">
        <v>154</v>
      </c>
      <c r="C149" s="21" t="s">
        <v>6</v>
      </c>
    </row>
    <row r="150" spans="1:3" ht="13" x14ac:dyDescent="0.15">
      <c r="A150" s="21">
        <v>149</v>
      </c>
      <c r="B150" s="21" t="s">
        <v>155</v>
      </c>
      <c r="C150" s="21" t="s">
        <v>49</v>
      </c>
    </row>
    <row r="151" spans="1:3" ht="13" x14ac:dyDescent="0.15">
      <c r="A151" s="21">
        <v>150</v>
      </c>
      <c r="B151" s="21" t="s">
        <v>156</v>
      </c>
      <c r="C151" s="21" t="s">
        <v>49</v>
      </c>
    </row>
    <row r="152" spans="1:3" ht="13" x14ac:dyDescent="0.15">
      <c r="A152" s="21">
        <v>151</v>
      </c>
      <c r="B152" s="21" t="s">
        <v>157</v>
      </c>
      <c r="C152" s="21" t="s">
        <v>4</v>
      </c>
    </row>
    <row r="153" spans="1:3" ht="13" x14ac:dyDescent="0.15">
      <c r="A153" s="21">
        <v>152</v>
      </c>
      <c r="B153" s="21" t="s">
        <v>158</v>
      </c>
      <c r="C153" s="21" t="s">
        <v>6</v>
      </c>
    </row>
    <row r="154" spans="1:3" ht="13" x14ac:dyDescent="0.15">
      <c r="A154" s="21">
        <v>153</v>
      </c>
      <c r="B154" s="21" t="s">
        <v>159</v>
      </c>
      <c r="C154" s="21" t="s">
        <v>6</v>
      </c>
    </row>
    <row r="155" spans="1:3" ht="13" x14ac:dyDescent="0.15">
      <c r="A155" s="21">
        <v>154</v>
      </c>
      <c r="B155" s="21" t="s">
        <v>160</v>
      </c>
      <c r="C155" s="21" t="s">
        <v>8</v>
      </c>
    </row>
    <row r="156" spans="1:3" ht="13" x14ac:dyDescent="0.15">
      <c r="A156" s="21">
        <v>155</v>
      </c>
      <c r="B156" s="21" t="s">
        <v>161</v>
      </c>
      <c r="C156" s="21" t="s">
        <v>6</v>
      </c>
    </row>
    <row r="157" spans="1:3" ht="13" x14ac:dyDescent="0.15">
      <c r="A157" s="21">
        <v>156</v>
      </c>
      <c r="B157" s="21" t="s">
        <v>162</v>
      </c>
      <c r="C157" s="21" t="s">
        <v>6</v>
      </c>
    </row>
    <row r="158" spans="1:3" ht="13" x14ac:dyDescent="0.15">
      <c r="A158" s="21">
        <v>157</v>
      </c>
      <c r="B158" s="21" t="s">
        <v>163</v>
      </c>
      <c r="C158" s="21" t="s">
        <v>6</v>
      </c>
    </row>
    <row r="159" spans="1:3" ht="13" x14ac:dyDescent="0.15">
      <c r="A159" s="21">
        <v>158</v>
      </c>
      <c r="B159" s="21" t="s">
        <v>164</v>
      </c>
      <c r="C159" s="21" t="s">
        <v>4</v>
      </c>
    </row>
    <row r="160" spans="1:3" ht="13" x14ac:dyDescent="0.15">
      <c r="A160" s="21">
        <v>159</v>
      </c>
      <c r="B160" s="21" t="s">
        <v>165</v>
      </c>
      <c r="C160" s="21" t="s">
        <v>6</v>
      </c>
    </row>
    <row r="161" spans="1:3" ht="13" x14ac:dyDescent="0.15">
      <c r="A161" s="21">
        <v>160</v>
      </c>
      <c r="B161" s="21" t="s">
        <v>166</v>
      </c>
      <c r="C161" s="21" t="s">
        <v>8</v>
      </c>
    </row>
    <row r="162" spans="1:3" ht="13" x14ac:dyDescent="0.15">
      <c r="A162" s="21">
        <v>161</v>
      </c>
      <c r="B162" s="21" t="s">
        <v>167</v>
      </c>
      <c r="C162" s="21" t="s">
        <v>8</v>
      </c>
    </row>
    <row r="163" spans="1:3" ht="13" x14ac:dyDescent="0.15">
      <c r="A163" s="21">
        <v>162</v>
      </c>
      <c r="B163" s="21" t="s">
        <v>168</v>
      </c>
      <c r="C163" s="21" t="s">
        <v>6</v>
      </c>
    </row>
    <row r="164" spans="1:3" ht="13" x14ac:dyDescent="0.15">
      <c r="A164" s="21">
        <v>163</v>
      </c>
      <c r="B164" s="21" t="s">
        <v>169</v>
      </c>
      <c r="C164" s="21" t="s">
        <v>8</v>
      </c>
    </row>
    <row r="165" spans="1:3" ht="13" x14ac:dyDescent="0.15">
      <c r="A165" s="21">
        <v>164</v>
      </c>
      <c r="B165" s="21" t="s">
        <v>170</v>
      </c>
      <c r="C165" s="21" t="s">
        <v>49</v>
      </c>
    </row>
    <row r="166" spans="1:3" ht="13" x14ac:dyDescent="0.15">
      <c r="A166" s="21">
        <v>165</v>
      </c>
      <c r="B166" s="21" t="s">
        <v>171</v>
      </c>
      <c r="C166" s="21" t="s">
        <v>49</v>
      </c>
    </row>
    <row r="167" spans="1:3" ht="13" x14ac:dyDescent="0.15">
      <c r="A167" s="21">
        <v>166</v>
      </c>
      <c r="B167" s="21" t="s">
        <v>172</v>
      </c>
      <c r="C167" s="21" t="s">
        <v>8</v>
      </c>
    </row>
    <row r="168" spans="1:3" ht="13" x14ac:dyDescent="0.15">
      <c r="A168" s="21">
        <v>167</v>
      </c>
      <c r="B168" s="21" t="s">
        <v>173</v>
      </c>
      <c r="C168" s="21" t="s">
        <v>6</v>
      </c>
    </row>
    <row r="169" spans="1:3" ht="13" x14ac:dyDescent="0.15">
      <c r="A169" s="21">
        <v>168</v>
      </c>
      <c r="B169" s="21" t="s">
        <v>174</v>
      </c>
      <c r="C169" s="21" t="s">
        <v>49</v>
      </c>
    </row>
    <row r="170" spans="1:3" ht="13" x14ac:dyDescent="0.15">
      <c r="A170" s="21">
        <v>169</v>
      </c>
      <c r="B170" s="21" t="s">
        <v>175</v>
      </c>
      <c r="C170" s="21" t="s">
        <v>49</v>
      </c>
    </row>
    <row r="171" spans="1:3" ht="13" x14ac:dyDescent="0.15">
      <c r="A171" s="21">
        <v>170</v>
      </c>
      <c r="B171" s="21" t="s">
        <v>176</v>
      </c>
      <c r="C171" s="21" t="s">
        <v>6</v>
      </c>
    </row>
    <row r="172" spans="1:3" ht="13" x14ac:dyDescent="0.15">
      <c r="A172" s="21">
        <v>171</v>
      </c>
      <c r="B172" s="21" t="s">
        <v>177</v>
      </c>
      <c r="C172" s="21" t="s">
        <v>4</v>
      </c>
    </row>
    <row r="173" spans="1:3" ht="13" x14ac:dyDescent="0.15">
      <c r="A173" s="21">
        <v>172</v>
      </c>
      <c r="B173" s="21" t="s">
        <v>178</v>
      </c>
      <c r="C173" s="21" t="s">
        <v>6</v>
      </c>
    </row>
    <row r="174" spans="1:3" ht="13" x14ac:dyDescent="0.15">
      <c r="A174" s="21">
        <v>173</v>
      </c>
      <c r="B174" s="21" t="s">
        <v>179</v>
      </c>
      <c r="C174" s="21" t="s">
        <v>4</v>
      </c>
    </row>
    <row r="175" spans="1:3" ht="13" x14ac:dyDescent="0.15">
      <c r="A175" s="21">
        <v>174</v>
      </c>
      <c r="B175" s="21" t="s">
        <v>180</v>
      </c>
      <c r="C175" s="21" t="s">
        <v>6</v>
      </c>
    </row>
    <row r="176" spans="1:3" ht="13" x14ac:dyDescent="0.15">
      <c r="A176" s="21">
        <v>175</v>
      </c>
      <c r="B176" s="21" t="s">
        <v>181</v>
      </c>
      <c r="C176" s="21" t="s">
        <v>8</v>
      </c>
    </row>
    <row r="177" spans="1:3" ht="13" x14ac:dyDescent="0.15">
      <c r="A177" s="21">
        <v>176</v>
      </c>
      <c r="B177" s="21" t="s">
        <v>182</v>
      </c>
      <c r="C177" s="21" t="s">
        <v>8</v>
      </c>
    </row>
    <row r="178" spans="1:3" ht="13" x14ac:dyDescent="0.15">
      <c r="A178" s="21">
        <v>177</v>
      </c>
      <c r="B178" s="21" t="s">
        <v>183</v>
      </c>
      <c r="C178" s="21" t="s">
        <v>8</v>
      </c>
    </row>
    <row r="179" spans="1:3" ht="13" x14ac:dyDescent="0.15">
      <c r="A179" s="21">
        <v>178</v>
      </c>
      <c r="B179" s="21" t="s">
        <v>184</v>
      </c>
      <c r="C179" s="21" t="s">
        <v>8</v>
      </c>
    </row>
    <row r="180" spans="1:3" ht="13" x14ac:dyDescent="0.15">
      <c r="A180" s="21">
        <v>179</v>
      </c>
      <c r="B180" s="21" t="s">
        <v>185</v>
      </c>
      <c r="C180" s="21" t="s">
        <v>6</v>
      </c>
    </row>
    <row r="181" spans="1:3" ht="13" x14ac:dyDescent="0.15">
      <c r="A181" s="21">
        <v>180</v>
      </c>
      <c r="B181" s="21" t="s">
        <v>186</v>
      </c>
      <c r="C181" s="21" t="s">
        <v>6</v>
      </c>
    </row>
    <row r="182" spans="1:3" ht="13" x14ac:dyDescent="0.15">
      <c r="A182" s="21">
        <v>181</v>
      </c>
      <c r="B182" s="21" t="s">
        <v>187</v>
      </c>
      <c r="C182" s="21" t="s">
        <v>4</v>
      </c>
    </row>
    <row r="183" spans="1:3" ht="13" x14ac:dyDescent="0.15">
      <c r="A183" s="21">
        <v>182</v>
      </c>
      <c r="B183" s="21" t="s">
        <v>188</v>
      </c>
      <c r="C183" s="21" t="s">
        <v>6</v>
      </c>
    </row>
    <row r="184" spans="1:3" ht="13" x14ac:dyDescent="0.15">
      <c r="A184" s="21">
        <v>183</v>
      </c>
      <c r="B184" s="21" t="s">
        <v>189</v>
      </c>
      <c r="C184" s="21" t="s">
        <v>8</v>
      </c>
    </row>
    <row r="185" spans="1:3" ht="13" x14ac:dyDescent="0.15">
      <c r="A185" s="21">
        <v>184</v>
      </c>
      <c r="B185" s="21" t="s">
        <v>190</v>
      </c>
      <c r="C185" s="21" t="s">
        <v>4</v>
      </c>
    </row>
    <row r="186" spans="1:3" ht="13" x14ac:dyDescent="0.15">
      <c r="A186" s="21">
        <v>185</v>
      </c>
      <c r="B186" s="21" t="s">
        <v>191</v>
      </c>
      <c r="C186" s="21" t="s">
        <v>6</v>
      </c>
    </row>
    <row r="187" spans="1:3" ht="13" x14ac:dyDescent="0.15">
      <c r="A187" s="21">
        <v>186</v>
      </c>
      <c r="B187" s="21" t="s">
        <v>192</v>
      </c>
      <c r="C187" s="21" t="s">
        <v>49</v>
      </c>
    </row>
    <row r="188" spans="1:3" ht="13" x14ac:dyDescent="0.15">
      <c r="A188" s="21">
        <v>187</v>
      </c>
      <c r="B188" s="21" t="s">
        <v>193</v>
      </c>
      <c r="C188" s="21" t="s">
        <v>8</v>
      </c>
    </row>
    <row r="189" spans="1:3" ht="13" x14ac:dyDescent="0.15">
      <c r="A189" s="21">
        <v>188</v>
      </c>
      <c r="B189" s="21" t="s">
        <v>194</v>
      </c>
      <c r="C189" s="21" t="s">
        <v>49</v>
      </c>
    </row>
    <row r="190" spans="1:3" ht="13" x14ac:dyDescent="0.15">
      <c r="A190" s="21">
        <v>189</v>
      </c>
      <c r="B190" s="21" t="s">
        <v>195</v>
      </c>
      <c r="C190" s="21" t="s">
        <v>8</v>
      </c>
    </row>
    <row r="191" spans="1:3" ht="13" x14ac:dyDescent="0.15">
      <c r="A191" s="21">
        <v>190</v>
      </c>
      <c r="B191" s="21" t="s">
        <v>196</v>
      </c>
      <c r="C191" s="21" t="s">
        <v>6</v>
      </c>
    </row>
    <row r="192" spans="1:3" ht="13" x14ac:dyDescent="0.15">
      <c r="A192" s="21">
        <v>191</v>
      </c>
      <c r="B192" s="21" t="s">
        <v>197</v>
      </c>
      <c r="C192" s="21" t="s">
        <v>49</v>
      </c>
    </row>
    <row r="193" spans="1:3" ht="13" x14ac:dyDescent="0.15">
      <c r="A193" s="21">
        <v>192</v>
      </c>
      <c r="B193" s="21" t="s">
        <v>198</v>
      </c>
      <c r="C193" s="21" t="s">
        <v>6</v>
      </c>
    </row>
    <row r="194" spans="1:3" ht="13" x14ac:dyDescent="0.15">
      <c r="A194" s="21">
        <v>193</v>
      </c>
      <c r="B194" s="21" t="s">
        <v>199</v>
      </c>
      <c r="C194" s="21" t="s">
        <v>4</v>
      </c>
    </row>
    <row r="195" spans="1:3" ht="13" x14ac:dyDescent="0.15">
      <c r="A195" s="21">
        <v>194</v>
      </c>
      <c r="B195" s="21" t="s">
        <v>200</v>
      </c>
      <c r="C195" s="21" t="s">
        <v>8</v>
      </c>
    </row>
    <row r="196" spans="1:3" ht="13" x14ac:dyDescent="0.15">
      <c r="A196" s="21">
        <v>195</v>
      </c>
      <c r="B196" s="21" t="s">
        <v>201</v>
      </c>
      <c r="C196" s="21" t="s">
        <v>8</v>
      </c>
    </row>
    <row r="197" spans="1:3" ht="13" x14ac:dyDescent="0.15">
      <c r="A197" s="21">
        <v>196</v>
      </c>
      <c r="B197" s="21" t="s">
        <v>202</v>
      </c>
      <c r="C197" s="21" t="s">
        <v>49</v>
      </c>
    </row>
    <row r="198" spans="1:3" ht="13" x14ac:dyDescent="0.15">
      <c r="A198" s="21">
        <v>197</v>
      </c>
      <c r="B198" s="21" t="s">
        <v>203</v>
      </c>
      <c r="C198" s="21" t="s">
        <v>4</v>
      </c>
    </row>
    <row r="199" spans="1:3" ht="13" x14ac:dyDescent="0.15">
      <c r="A199" s="21">
        <v>198</v>
      </c>
      <c r="B199" s="21" t="s">
        <v>204</v>
      </c>
      <c r="C199" s="21" t="s">
        <v>6</v>
      </c>
    </row>
    <row r="200" spans="1:3" ht="13" x14ac:dyDescent="0.15">
      <c r="A200" s="21">
        <v>199</v>
      </c>
      <c r="B200" s="21" t="s">
        <v>205</v>
      </c>
      <c r="C200" s="21" t="s">
        <v>4</v>
      </c>
    </row>
    <row r="201" spans="1:3" ht="13" x14ac:dyDescent="0.15">
      <c r="A201" s="21">
        <v>200</v>
      </c>
      <c r="B201" s="21" t="s">
        <v>206</v>
      </c>
      <c r="C201" s="21" t="s">
        <v>6</v>
      </c>
    </row>
    <row r="202" spans="1:3" ht="13" x14ac:dyDescent="0.15">
      <c r="A202" s="21">
        <v>201</v>
      </c>
      <c r="B202" s="21" t="s">
        <v>207</v>
      </c>
      <c r="C202" s="21" t="s">
        <v>8</v>
      </c>
    </row>
    <row r="203" spans="1:3" ht="13" x14ac:dyDescent="0.15">
      <c r="A203" s="21">
        <v>202</v>
      </c>
      <c r="B203" s="21" t="s">
        <v>208</v>
      </c>
      <c r="C203" s="21" t="s">
        <v>6</v>
      </c>
    </row>
    <row r="204" spans="1:3" ht="13" x14ac:dyDescent="0.15">
      <c r="A204" s="21">
        <v>203</v>
      </c>
      <c r="B204" s="21" t="s">
        <v>209</v>
      </c>
      <c r="C204" s="21" t="s">
        <v>49</v>
      </c>
    </row>
    <row r="205" spans="1:3" ht="13" x14ac:dyDescent="0.15">
      <c r="A205" s="21">
        <v>204</v>
      </c>
      <c r="B205" s="21" t="s">
        <v>210</v>
      </c>
      <c r="C205" s="21" t="s">
        <v>4</v>
      </c>
    </row>
    <row r="206" spans="1:3" ht="13" x14ac:dyDescent="0.15">
      <c r="A206" s="21">
        <v>205</v>
      </c>
      <c r="B206" s="21" t="s">
        <v>211</v>
      </c>
      <c r="C206" s="21" t="s">
        <v>49</v>
      </c>
    </row>
    <row r="207" spans="1:3" ht="13" x14ac:dyDescent="0.15">
      <c r="A207" s="21">
        <v>206</v>
      </c>
      <c r="B207" s="21" t="s">
        <v>212</v>
      </c>
      <c r="C207" s="21" t="s">
        <v>4</v>
      </c>
    </row>
    <row r="208" spans="1:3" ht="13" x14ac:dyDescent="0.15">
      <c r="A208" s="21">
        <v>207</v>
      </c>
      <c r="B208" s="21" t="s">
        <v>213</v>
      </c>
      <c r="C208" s="21" t="s">
        <v>4</v>
      </c>
    </row>
    <row r="209" spans="1:3" ht="13" x14ac:dyDescent="0.15">
      <c r="A209" s="21">
        <v>208</v>
      </c>
      <c r="B209" s="21" t="s">
        <v>214</v>
      </c>
      <c r="C209" s="21" t="s">
        <v>8</v>
      </c>
    </row>
    <row r="210" spans="1:3" ht="13" x14ac:dyDescent="0.15">
      <c r="A210" s="21">
        <v>209</v>
      </c>
      <c r="B210" s="21" t="s">
        <v>215</v>
      </c>
      <c r="C210" s="21" t="s">
        <v>6</v>
      </c>
    </row>
    <row r="211" spans="1:3" ht="13" x14ac:dyDescent="0.15">
      <c r="A211" s="21">
        <v>210</v>
      </c>
      <c r="B211" s="21" t="s">
        <v>216</v>
      </c>
      <c r="C211" s="21" t="s">
        <v>8</v>
      </c>
    </row>
    <row r="212" spans="1:3" ht="13" x14ac:dyDescent="0.15">
      <c r="A212" s="21">
        <v>211</v>
      </c>
      <c r="B212" s="21" t="s">
        <v>217</v>
      </c>
      <c r="C212" s="21" t="s">
        <v>8</v>
      </c>
    </row>
    <row r="213" spans="1:3" ht="13" x14ac:dyDescent="0.15">
      <c r="A213" s="21">
        <v>212</v>
      </c>
      <c r="B213" s="21" t="s">
        <v>218</v>
      </c>
      <c r="C213" s="21" t="s">
        <v>6</v>
      </c>
    </row>
    <row r="214" spans="1:3" ht="13" x14ac:dyDescent="0.15">
      <c r="A214" s="21">
        <v>213</v>
      </c>
      <c r="B214" s="21" t="s">
        <v>219</v>
      </c>
      <c r="C214" s="21" t="s">
        <v>6</v>
      </c>
    </row>
    <row r="215" spans="1:3" ht="13" x14ac:dyDescent="0.15">
      <c r="A215" s="21">
        <v>214</v>
      </c>
      <c r="B215" s="21" t="s">
        <v>220</v>
      </c>
      <c r="C215" s="21" t="s">
        <v>4</v>
      </c>
    </row>
    <row r="216" spans="1:3" ht="13" x14ac:dyDescent="0.15">
      <c r="A216" s="21">
        <v>215</v>
      </c>
      <c r="B216" s="21" t="s">
        <v>221</v>
      </c>
      <c r="C216" s="21" t="s">
        <v>4</v>
      </c>
    </row>
    <row r="217" spans="1:3" ht="13" x14ac:dyDescent="0.15">
      <c r="A217" s="21">
        <v>216</v>
      </c>
      <c r="B217" s="21" t="s">
        <v>222</v>
      </c>
      <c r="C217" s="21" t="s">
        <v>6</v>
      </c>
    </row>
    <row r="218" spans="1:3" ht="13" x14ac:dyDescent="0.15">
      <c r="A218" s="21">
        <v>217</v>
      </c>
      <c r="B218" s="21" t="s">
        <v>223</v>
      </c>
      <c r="C218" s="21" t="s">
        <v>6</v>
      </c>
    </row>
    <row r="219" spans="1:3" ht="13" x14ac:dyDescent="0.15">
      <c r="A219" s="21">
        <v>218</v>
      </c>
      <c r="B219" s="21" t="s">
        <v>224</v>
      </c>
      <c r="C219" s="21" t="s">
        <v>6</v>
      </c>
    </row>
    <row r="220" spans="1:3" ht="13" x14ac:dyDescent="0.15">
      <c r="A220" s="21">
        <v>219</v>
      </c>
      <c r="B220" s="21" t="s">
        <v>225</v>
      </c>
      <c r="C220" s="21" t="s">
        <v>8</v>
      </c>
    </row>
    <row r="221" spans="1:3" ht="13" x14ac:dyDescent="0.15">
      <c r="A221" s="21">
        <v>220</v>
      </c>
      <c r="B221" s="21" t="s">
        <v>226</v>
      </c>
      <c r="C221" s="21" t="s">
        <v>8</v>
      </c>
    </row>
    <row r="222" spans="1:3" ht="13" x14ac:dyDescent="0.15">
      <c r="A222" s="21">
        <v>221</v>
      </c>
      <c r="B222" s="21" t="s">
        <v>227</v>
      </c>
      <c r="C222" s="21" t="s">
        <v>8</v>
      </c>
    </row>
    <row r="223" spans="1:3" ht="13" x14ac:dyDescent="0.15">
      <c r="A223" s="21">
        <v>222</v>
      </c>
      <c r="B223" s="21" t="s">
        <v>228</v>
      </c>
      <c r="C223" s="21" t="s">
        <v>6</v>
      </c>
    </row>
    <row r="224" spans="1:3" ht="13" x14ac:dyDescent="0.15">
      <c r="A224" s="21">
        <v>223</v>
      </c>
      <c r="B224" s="21" t="s">
        <v>229</v>
      </c>
      <c r="C224" s="21" t="s">
        <v>6</v>
      </c>
    </row>
    <row r="225" spans="1:3" ht="13" x14ac:dyDescent="0.15">
      <c r="A225" s="21">
        <v>224</v>
      </c>
      <c r="B225" s="21" t="s">
        <v>230</v>
      </c>
      <c r="C225" s="21" t="s">
        <v>49</v>
      </c>
    </row>
    <row r="226" spans="1:3" ht="13" x14ac:dyDescent="0.15">
      <c r="A226" s="21">
        <v>225</v>
      </c>
      <c r="B226" s="21" t="s">
        <v>231</v>
      </c>
      <c r="C226" s="21" t="s">
        <v>6</v>
      </c>
    </row>
    <row r="227" spans="1:3" ht="13" x14ac:dyDescent="0.15">
      <c r="A227" s="21">
        <v>226</v>
      </c>
      <c r="B227" s="21" t="s">
        <v>232</v>
      </c>
      <c r="C227" s="21" t="s">
        <v>6</v>
      </c>
    </row>
    <row r="228" spans="1:3" ht="13" x14ac:dyDescent="0.15">
      <c r="A228" s="21">
        <v>227</v>
      </c>
      <c r="B228" s="21" t="s">
        <v>233</v>
      </c>
      <c r="C228" s="21" t="s">
        <v>8</v>
      </c>
    </row>
    <row r="229" spans="1:3" ht="13" x14ac:dyDescent="0.15">
      <c r="A229" s="21">
        <v>228</v>
      </c>
      <c r="B229" s="21" t="s">
        <v>234</v>
      </c>
      <c r="C229" s="21" t="s">
        <v>8</v>
      </c>
    </row>
    <row r="230" spans="1:3" ht="13" x14ac:dyDescent="0.15">
      <c r="A230" s="21">
        <v>229</v>
      </c>
      <c r="B230" s="21" t="s">
        <v>235</v>
      </c>
      <c r="C230" s="21" t="s">
        <v>6</v>
      </c>
    </row>
    <row r="231" spans="1:3" ht="13" x14ac:dyDescent="0.15">
      <c r="A231" s="21">
        <v>230</v>
      </c>
      <c r="B231" s="21" t="s">
        <v>236</v>
      </c>
      <c r="C231" s="21" t="s">
        <v>4</v>
      </c>
    </row>
    <row r="232" spans="1:3" ht="13" x14ac:dyDescent="0.15">
      <c r="A232" s="21">
        <v>231</v>
      </c>
      <c r="B232" s="21" t="s">
        <v>237</v>
      </c>
      <c r="C232" s="21" t="s">
        <v>6</v>
      </c>
    </row>
    <row r="233" spans="1:3" ht="13" x14ac:dyDescent="0.15">
      <c r="A233" s="21">
        <v>232</v>
      </c>
      <c r="B233" s="21" t="s">
        <v>238</v>
      </c>
      <c r="C233" s="21" t="s">
        <v>8</v>
      </c>
    </row>
    <row r="234" spans="1:3" ht="13" x14ac:dyDescent="0.15">
      <c r="A234" s="21">
        <v>233</v>
      </c>
      <c r="B234" s="21" t="s">
        <v>239</v>
      </c>
      <c r="C234" s="21" t="s">
        <v>4</v>
      </c>
    </row>
    <row r="235" spans="1:3" ht="13" x14ac:dyDescent="0.15">
      <c r="A235" s="21">
        <v>234</v>
      </c>
      <c r="B235" s="21" t="s">
        <v>240</v>
      </c>
      <c r="C235" s="21" t="s">
        <v>6</v>
      </c>
    </row>
    <row r="236" spans="1:3" ht="13" x14ac:dyDescent="0.15">
      <c r="A236" s="21">
        <v>235</v>
      </c>
      <c r="B236" s="21" t="s">
        <v>241</v>
      </c>
      <c r="C236" s="21" t="s">
        <v>6</v>
      </c>
    </row>
    <row r="237" spans="1:3" ht="13" x14ac:dyDescent="0.15">
      <c r="A237" s="21">
        <v>236</v>
      </c>
      <c r="B237" s="21" t="s">
        <v>242</v>
      </c>
      <c r="C237" s="21" t="s">
        <v>6</v>
      </c>
    </row>
    <row r="238" spans="1:3" ht="13" x14ac:dyDescent="0.15">
      <c r="A238" s="21">
        <v>237</v>
      </c>
      <c r="B238" s="21" t="s">
        <v>243</v>
      </c>
      <c r="C238" s="21" t="s">
        <v>6</v>
      </c>
    </row>
    <row r="239" spans="1:3" ht="13" x14ac:dyDescent="0.15">
      <c r="A239" s="21">
        <v>238</v>
      </c>
      <c r="B239" s="21" t="s">
        <v>244</v>
      </c>
      <c r="C239" s="21" t="s">
        <v>6</v>
      </c>
    </row>
    <row r="240" spans="1:3" ht="13" x14ac:dyDescent="0.15">
      <c r="A240" s="21">
        <v>239</v>
      </c>
      <c r="B240" s="21" t="s">
        <v>245</v>
      </c>
      <c r="C240" s="21" t="s">
        <v>4</v>
      </c>
    </row>
    <row r="241" spans="1:3" ht="13" x14ac:dyDescent="0.15">
      <c r="A241" s="21">
        <v>240</v>
      </c>
      <c r="B241" s="21" t="s">
        <v>246</v>
      </c>
      <c r="C241" s="21" t="s">
        <v>8</v>
      </c>
    </row>
    <row r="242" spans="1:3" ht="13" x14ac:dyDescent="0.15">
      <c r="A242" s="21">
        <v>241</v>
      </c>
      <c r="B242" s="21" t="s">
        <v>247</v>
      </c>
      <c r="C242" s="21" t="s">
        <v>49</v>
      </c>
    </row>
    <row r="243" spans="1:3" ht="13" x14ac:dyDescent="0.15">
      <c r="A243" s="21">
        <v>242</v>
      </c>
      <c r="B243" s="21" t="s">
        <v>248</v>
      </c>
      <c r="C243" s="21" t="s">
        <v>49</v>
      </c>
    </row>
    <row r="244" spans="1:3" ht="13" x14ac:dyDescent="0.15">
      <c r="A244" s="21">
        <v>243</v>
      </c>
      <c r="B244" s="21" t="s">
        <v>249</v>
      </c>
      <c r="C244" s="21" t="s">
        <v>4</v>
      </c>
    </row>
    <row r="245" spans="1:3" ht="13" x14ac:dyDescent="0.15">
      <c r="A245" s="21">
        <v>244</v>
      </c>
      <c r="B245" s="21" t="s">
        <v>250</v>
      </c>
      <c r="C245" s="21" t="s">
        <v>6</v>
      </c>
    </row>
    <row r="246" spans="1:3" ht="13" x14ac:dyDescent="0.15">
      <c r="A246" s="21">
        <v>245</v>
      </c>
      <c r="B246" s="21" t="s">
        <v>251</v>
      </c>
      <c r="C246" s="21" t="s">
        <v>6</v>
      </c>
    </row>
    <row r="247" spans="1:3" ht="13" x14ac:dyDescent="0.15">
      <c r="A247" s="21">
        <v>246</v>
      </c>
      <c r="B247" s="21" t="s">
        <v>252</v>
      </c>
      <c r="C247" s="21" t="s">
        <v>8</v>
      </c>
    </row>
    <row r="248" spans="1:3" ht="13" x14ac:dyDescent="0.15">
      <c r="A248" s="21">
        <v>247</v>
      </c>
      <c r="B248" s="21" t="s">
        <v>253</v>
      </c>
      <c r="C248" s="21" t="s">
        <v>6</v>
      </c>
    </row>
    <row r="249" spans="1:3" ht="13" x14ac:dyDescent="0.15">
      <c r="A249" s="21">
        <v>248</v>
      </c>
      <c r="B249" s="21" t="s">
        <v>254</v>
      </c>
      <c r="C249" s="21" t="s">
        <v>6</v>
      </c>
    </row>
    <row r="250" spans="1:3" ht="13" x14ac:dyDescent="0.15">
      <c r="A250" s="21">
        <v>249</v>
      </c>
      <c r="B250" s="21" t="s">
        <v>255</v>
      </c>
      <c r="C250" s="21" t="s">
        <v>6</v>
      </c>
    </row>
    <row r="251" spans="1:3" ht="13" x14ac:dyDescent="0.15">
      <c r="A251" s="21">
        <v>250</v>
      </c>
      <c r="B251" s="21" t="s">
        <v>256</v>
      </c>
      <c r="C251" s="21" t="s">
        <v>4</v>
      </c>
    </row>
    <row r="252" spans="1:3" ht="13" x14ac:dyDescent="0.15">
      <c r="A252" s="21">
        <v>251</v>
      </c>
      <c r="B252" s="21" t="s">
        <v>257</v>
      </c>
      <c r="C252" s="21" t="s">
        <v>4</v>
      </c>
    </row>
    <row r="253" spans="1:3" ht="13" x14ac:dyDescent="0.15">
      <c r="A253" s="21">
        <v>252</v>
      </c>
      <c r="B253" s="21" t="s">
        <v>258</v>
      </c>
      <c r="C253" s="21" t="s">
        <v>8</v>
      </c>
    </row>
    <row r="254" spans="1:3" ht="13" x14ac:dyDescent="0.15">
      <c r="A254" s="21">
        <v>253</v>
      </c>
      <c r="B254" s="21" t="s">
        <v>259</v>
      </c>
      <c r="C254" s="21" t="s">
        <v>8</v>
      </c>
    </row>
    <row r="255" spans="1:3" ht="13" x14ac:dyDescent="0.15">
      <c r="A255" s="21">
        <v>254</v>
      </c>
      <c r="B255" s="21" t="s">
        <v>260</v>
      </c>
      <c r="C255" s="21" t="s">
        <v>4</v>
      </c>
    </row>
    <row r="256" spans="1:3" ht="13" x14ac:dyDescent="0.15">
      <c r="A256" s="21">
        <v>255</v>
      </c>
      <c r="B256" s="21" t="s">
        <v>261</v>
      </c>
      <c r="C256" s="21" t="s">
        <v>6</v>
      </c>
    </row>
    <row r="257" spans="1:3" ht="13" x14ac:dyDescent="0.15">
      <c r="A257" s="21">
        <v>256</v>
      </c>
      <c r="B257" s="21" t="s">
        <v>262</v>
      </c>
      <c r="C257" s="21" t="s">
        <v>4</v>
      </c>
    </row>
    <row r="258" spans="1:3" ht="13" x14ac:dyDescent="0.15">
      <c r="A258" s="21">
        <v>257</v>
      </c>
      <c r="B258" s="21" t="s">
        <v>263</v>
      </c>
      <c r="C258" s="21" t="s">
        <v>4</v>
      </c>
    </row>
    <row r="259" spans="1:3" ht="13" x14ac:dyDescent="0.15">
      <c r="A259" s="21">
        <v>258</v>
      </c>
      <c r="B259" s="21" t="s">
        <v>264</v>
      </c>
      <c r="C259" s="21" t="s">
        <v>6</v>
      </c>
    </row>
    <row r="260" spans="1:3" ht="13" x14ac:dyDescent="0.15">
      <c r="A260" s="21">
        <v>259</v>
      </c>
      <c r="B260" s="21" t="s">
        <v>265</v>
      </c>
      <c r="C260" s="21" t="s">
        <v>8</v>
      </c>
    </row>
    <row r="261" spans="1:3" ht="13" x14ac:dyDescent="0.15">
      <c r="A261" s="21">
        <v>260</v>
      </c>
      <c r="B261" s="21" t="s">
        <v>266</v>
      </c>
      <c r="C261" s="21" t="s">
        <v>8</v>
      </c>
    </row>
    <row r="262" spans="1:3" ht="13" x14ac:dyDescent="0.15">
      <c r="A262" s="21">
        <v>261</v>
      </c>
      <c r="B262" s="21" t="s">
        <v>267</v>
      </c>
      <c r="C262" s="21" t="s">
        <v>8</v>
      </c>
    </row>
    <row r="263" spans="1:3" ht="13" x14ac:dyDescent="0.15">
      <c r="A263" s="21">
        <v>262</v>
      </c>
      <c r="B263" s="21" t="s">
        <v>268</v>
      </c>
      <c r="C263" s="21" t="s">
        <v>4</v>
      </c>
    </row>
    <row r="264" spans="1:3" ht="13" x14ac:dyDescent="0.15">
      <c r="A264" s="21">
        <v>263</v>
      </c>
      <c r="B264" s="21" t="s">
        <v>269</v>
      </c>
      <c r="C264" s="21" t="s">
        <v>6</v>
      </c>
    </row>
    <row r="265" spans="1:3" ht="13" x14ac:dyDescent="0.15">
      <c r="A265" s="21">
        <v>264</v>
      </c>
      <c r="B265" s="21" t="s">
        <v>270</v>
      </c>
      <c r="C265" s="21" t="s">
        <v>8</v>
      </c>
    </row>
    <row r="266" spans="1:3" ht="13" x14ac:dyDescent="0.15">
      <c r="A266" s="21">
        <v>265</v>
      </c>
      <c r="B266" s="21" t="s">
        <v>271</v>
      </c>
      <c r="C266" s="21" t="s">
        <v>8</v>
      </c>
    </row>
    <row r="267" spans="1:3" ht="13" x14ac:dyDescent="0.15">
      <c r="A267" s="21">
        <v>266</v>
      </c>
      <c r="B267" s="21" t="s">
        <v>272</v>
      </c>
      <c r="C267" s="21" t="s">
        <v>49</v>
      </c>
    </row>
    <row r="268" spans="1:3" ht="13" x14ac:dyDescent="0.15">
      <c r="A268" s="21">
        <v>267</v>
      </c>
      <c r="B268" s="21" t="s">
        <v>273</v>
      </c>
      <c r="C268" s="21" t="s">
        <v>8</v>
      </c>
    </row>
    <row r="269" spans="1:3" ht="13" x14ac:dyDescent="0.15">
      <c r="A269" s="21">
        <v>268</v>
      </c>
      <c r="B269" s="21" t="s">
        <v>274</v>
      </c>
      <c r="C269" s="21" t="s">
        <v>8</v>
      </c>
    </row>
    <row r="270" spans="1:3" ht="13" x14ac:dyDescent="0.15">
      <c r="A270" s="21">
        <v>269</v>
      </c>
      <c r="B270" s="21" t="s">
        <v>275</v>
      </c>
      <c r="C270" s="21" t="s">
        <v>8</v>
      </c>
    </row>
    <row r="271" spans="1:3" ht="13" x14ac:dyDescent="0.15">
      <c r="A271" s="21">
        <v>270</v>
      </c>
      <c r="B271" s="21" t="s">
        <v>276</v>
      </c>
      <c r="C271" s="21" t="s">
        <v>6</v>
      </c>
    </row>
    <row r="272" spans="1:3" ht="13" x14ac:dyDescent="0.15">
      <c r="A272" s="21">
        <v>271</v>
      </c>
      <c r="B272" s="21" t="s">
        <v>277</v>
      </c>
      <c r="C272" s="21" t="s">
        <v>6</v>
      </c>
    </row>
    <row r="273" spans="1:3" ht="13" x14ac:dyDescent="0.15">
      <c r="A273" s="21">
        <v>272</v>
      </c>
      <c r="B273" s="21" t="s">
        <v>278</v>
      </c>
      <c r="C273" s="21" t="s">
        <v>8</v>
      </c>
    </row>
    <row r="274" spans="1:3" ht="13" x14ac:dyDescent="0.15">
      <c r="A274" s="21">
        <v>273</v>
      </c>
      <c r="B274" s="21" t="s">
        <v>279</v>
      </c>
      <c r="C274" s="21" t="s">
        <v>6</v>
      </c>
    </row>
    <row r="275" spans="1:3" ht="13" x14ac:dyDescent="0.15">
      <c r="A275" s="21">
        <v>274</v>
      </c>
      <c r="B275" s="21" t="s">
        <v>280</v>
      </c>
      <c r="C275" s="21" t="s">
        <v>6</v>
      </c>
    </row>
    <row r="276" spans="1:3" ht="13" x14ac:dyDescent="0.15">
      <c r="A276" s="21">
        <v>275</v>
      </c>
      <c r="B276" s="21" t="s">
        <v>281</v>
      </c>
      <c r="C276" s="21" t="s">
        <v>4</v>
      </c>
    </row>
    <row r="277" spans="1:3" ht="13" x14ac:dyDescent="0.15">
      <c r="A277" s="21">
        <v>276</v>
      </c>
      <c r="B277" s="21" t="s">
        <v>282</v>
      </c>
      <c r="C277" s="21" t="s">
        <v>6</v>
      </c>
    </row>
    <row r="278" spans="1:3" ht="13" x14ac:dyDescent="0.15">
      <c r="A278" s="21">
        <v>277</v>
      </c>
      <c r="B278" s="21" t="s">
        <v>283</v>
      </c>
      <c r="C278" s="21" t="s">
        <v>8</v>
      </c>
    </row>
    <row r="279" spans="1:3" ht="13" x14ac:dyDescent="0.15">
      <c r="A279" s="21">
        <v>278</v>
      </c>
      <c r="B279" s="21" t="s">
        <v>284</v>
      </c>
      <c r="C279" s="21" t="s">
        <v>6</v>
      </c>
    </row>
    <row r="280" spans="1:3" ht="13" x14ac:dyDescent="0.15">
      <c r="A280" s="21">
        <v>279</v>
      </c>
      <c r="B280" s="21" t="s">
        <v>285</v>
      </c>
      <c r="C280" s="21" t="s">
        <v>6</v>
      </c>
    </row>
    <row r="281" spans="1:3" ht="13" x14ac:dyDescent="0.15">
      <c r="A281" s="21">
        <v>280</v>
      </c>
      <c r="B281" s="21" t="s">
        <v>286</v>
      </c>
      <c r="C281" s="21" t="s">
        <v>8</v>
      </c>
    </row>
    <row r="282" spans="1:3" ht="13" x14ac:dyDescent="0.15">
      <c r="A282" s="21">
        <v>281</v>
      </c>
      <c r="B282" s="21" t="s">
        <v>287</v>
      </c>
      <c r="C282" s="21" t="s">
        <v>8</v>
      </c>
    </row>
    <row r="283" spans="1:3" ht="13" x14ac:dyDescent="0.15">
      <c r="A283" s="21">
        <v>282</v>
      </c>
      <c r="B283" s="21" t="s">
        <v>288</v>
      </c>
      <c r="C283" s="21" t="s">
        <v>49</v>
      </c>
    </row>
    <row r="284" spans="1:3" ht="13" x14ac:dyDescent="0.15">
      <c r="A284" s="21">
        <v>283</v>
      </c>
      <c r="B284" s="21" t="s">
        <v>289</v>
      </c>
      <c r="C284" s="21" t="s">
        <v>6</v>
      </c>
    </row>
    <row r="285" spans="1:3" ht="13" x14ac:dyDescent="0.15">
      <c r="A285" s="21">
        <v>284</v>
      </c>
      <c r="B285" s="21" t="s">
        <v>290</v>
      </c>
      <c r="C285" s="21" t="s">
        <v>8</v>
      </c>
    </row>
    <row r="286" spans="1:3" ht="13" x14ac:dyDescent="0.15">
      <c r="A286" s="21">
        <v>285</v>
      </c>
      <c r="B286" s="21" t="s">
        <v>291</v>
      </c>
      <c r="C286" s="21" t="s">
        <v>4</v>
      </c>
    </row>
    <row r="287" spans="1:3" ht="13" x14ac:dyDescent="0.15">
      <c r="A287" s="21">
        <v>286</v>
      </c>
      <c r="B287" s="21" t="s">
        <v>292</v>
      </c>
      <c r="C287" s="21" t="s">
        <v>4</v>
      </c>
    </row>
    <row r="288" spans="1:3" ht="13" x14ac:dyDescent="0.15">
      <c r="A288" s="21">
        <v>287</v>
      </c>
      <c r="B288" s="21" t="s">
        <v>293</v>
      </c>
      <c r="C288" s="21" t="s">
        <v>8</v>
      </c>
    </row>
    <row r="289" spans="1:3" ht="13" x14ac:dyDescent="0.15">
      <c r="A289" s="21">
        <v>288</v>
      </c>
      <c r="B289" s="21" t="s">
        <v>294</v>
      </c>
      <c r="C289" s="21" t="s">
        <v>49</v>
      </c>
    </row>
    <row r="290" spans="1:3" ht="13" x14ac:dyDescent="0.15">
      <c r="A290" s="21">
        <v>289</v>
      </c>
      <c r="B290" s="21" t="s">
        <v>295</v>
      </c>
      <c r="C290" s="21" t="s">
        <v>4</v>
      </c>
    </row>
    <row r="291" spans="1:3" ht="13" x14ac:dyDescent="0.15">
      <c r="A291" s="21">
        <v>290</v>
      </c>
      <c r="B291" s="21" t="s">
        <v>296</v>
      </c>
      <c r="C291" s="21" t="s">
        <v>4</v>
      </c>
    </row>
    <row r="292" spans="1:3" ht="13" x14ac:dyDescent="0.15">
      <c r="A292" s="21">
        <v>291</v>
      </c>
      <c r="B292" s="21" t="s">
        <v>297</v>
      </c>
      <c r="C292" s="21" t="s">
        <v>49</v>
      </c>
    </row>
    <row r="293" spans="1:3" ht="13" x14ac:dyDescent="0.15">
      <c r="A293" s="21">
        <v>292</v>
      </c>
      <c r="B293" s="21" t="s">
        <v>298</v>
      </c>
      <c r="C293" s="21" t="s">
        <v>8</v>
      </c>
    </row>
    <row r="294" spans="1:3" ht="13" x14ac:dyDescent="0.15">
      <c r="A294" s="21">
        <v>293</v>
      </c>
      <c r="B294" s="21" t="s">
        <v>299</v>
      </c>
      <c r="C294" s="21" t="s">
        <v>6</v>
      </c>
    </row>
    <row r="295" spans="1:3" ht="13" x14ac:dyDescent="0.15">
      <c r="A295" s="21">
        <v>294</v>
      </c>
      <c r="B295" s="21" t="s">
        <v>300</v>
      </c>
      <c r="C295" s="21" t="s">
        <v>6</v>
      </c>
    </row>
    <row r="296" spans="1:3" ht="13" x14ac:dyDescent="0.15">
      <c r="A296" s="21">
        <v>295</v>
      </c>
      <c r="B296" s="21" t="s">
        <v>301</v>
      </c>
      <c r="C296" s="21" t="s">
        <v>8</v>
      </c>
    </row>
    <row r="297" spans="1:3" ht="13" x14ac:dyDescent="0.15">
      <c r="A297" s="21">
        <v>296</v>
      </c>
      <c r="B297" s="21" t="s">
        <v>302</v>
      </c>
      <c r="C297" s="21" t="s">
        <v>6</v>
      </c>
    </row>
    <row r="298" spans="1:3" ht="13" x14ac:dyDescent="0.15">
      <c r="A298" s="21">
        <v>297</v>
      </c>
      <c r="B298" s="21" t="s">
        <v>303</v>
      </c>
      <c r="C298" s="21" t="s">
        <v>4</v>
      </c>
    </row>
    <row r="299" spans="1:3" ht="13" x14ac:dyDescent="0.15">
      <c r="A299" s="21">
        <v>298</v>
      </c>
      <c r="B299" s="21" t="s">
        <v>304</v>
      </c>
      <c r="C299" s="21" t="s">
        <v>6</v>
      </c>
    </row>
    <row r="300" spans="1:3" ht="13" x14ac:dyDescent="0.15">
      <c r="A300" s="21">
        <v>299</v>
      </c>
      <c r="B300" s="21" t="s">
        <v>305</v>
      </c>
      <c r="C300" s="21" t="s">
        <v>6</v>
      </c>
    </row>
    <row r="301" spans="1:3" ht="13" x14ac:dyDescent="0.15">
      <c r="A301" s="21">
        <v>300</v>
      </c>
      <c r="B301" s="21" t="s">
        <v>306</v>
      </c>
      <c r="C301" s="21" t="s">
        <v>8</v>
      </c>
    </row>
    <row r="302" spans="1:3" ht="13" x14ac:dyDescent="0.15">
      <c r="A302" s="21">
        <v>301</v>
      </c>
      <c r="B302" s="21" t="s">
        <v>307</v>
      </c>
      <c r="C302" s="21" t="s">
        <v>8</v>
      </c>
    </row>
    <row r="303" spans="1:3" ht="13" x14ac:dyDescent="0.15">
      <c r="A303" s="21">
        <v>302</v>
      </c>
      <c r="B303" s="21" t="s">
        <v>308</v>
      </c>
      <c r="C303" s="21" t="s">
        <v>6</v>
      </c>
    </row>
    <row r="304" spans="1:3" ht="13" x14ac:dyDescent="0.15">
      <c r="A304" s="21">
        <v>303</v>
      </c>
      <c r="B304" s="21" t="s">
        <v>309</v>
      </c>
      <c r="C304" s="21" t="s">
        <v>8</v>
      </c>
    </row>
    <row r="305" spans="1:3" ht="13" x14ac:dyDescent="0.15">
      <c r="A305" s="21">
        <v>304</v>
      </c>
      <c r="B305" s="21" t="s">
        <v>310</v>
      </c>
      <c r="C305" s="21" t="s">
        <v>8</v>
      </c>
    </row>
    <row r="306" spans="1:3" ht="13" x14ac:dyDescent="0.15">
      <c r="A306" s="21">
        <v>305</v>
      </c>
      <c r="B306" s="21" t="s">
        <v>311</v>
      </c>
      <c r="C306" s="21" t="s">
        <v>6</v>
      </c>
    </row>
    <row r="307" spans="1:3" ht="13" x14ac:dyDescent="0.15">
      <c r="A307" s="21">
        <v>306</v>
      </c>
      <c r="B307" s="21" t="s">
        <v>312</v>
      </c>
      <c r="C307" s="21" t="s">
        <v>8</v>
      </c>
    </row>
    <row r="308" spans="1:3" ht="13" x14ac:dyDescent="0.15">
      <c r="A308" s="21">
        <v>307</v>
      </c>
      <c r="B308" s="21" t="s">
        <v>313</v>
      </c>
      <c r="C308" s="21" t="s">
        <v>49</v>
      </c>
    </row>
    <row r="309" spans="1:3" ht="13" x14ac:dyDescent="0.15">
      <c r="A309" s="21">
        <v>308</v>
      </c>
      <c r="B309" s="21" t="s">
        <v>314</v>
      </c>
      <c r="C309" s="21" t="s">
        <v>6</v>
      </c>
    </row>
    <row r="310" spans="1:3" ht="13" x14ac:dyDescent="0.15">
      <c r="A310" s="21">
        <v>309</v>
      </c>
      <c r="B310" s="21" t="s">
        <v>315</v>
      </c>
      <c r="C310" s="21" t="s">
        <v>49</v>
      </c>
    </row>
    <row r="311" spans="1:3" ht="13" x14ac:dyDescent="0.15">
      <c r="A311" s="21">
        <v>310</v>
      </c>
      <c r="B311" s="21" t="s">
        <v>316</v>
      </c>
      <c r="C311" s="21" t="s">
        <v>6</v>
      </c>
    </row>
    <row r="312" spans="1:3" ht="13" x14ac:dyDescent="0.15">
      <c r="A312" s="21">
        <v>311</v>
      </c>
      <c r="B312" s="21" t="s">
        <v>317</v>
      </c>
      <c r="C312" s="21" t="s">
        <v>49</v>
      </c>
    </row>
    <row r="313" spans="1:3" ht="13" x14ac:dyDescent="0.15">
      <c r="A313" s="21">
        <v>312</v>
      </c>
      <c r="B313" s="21" t="s">
        <v>318</v>
      </c>
      <c r="C313" s="21" t="s">
        <v>6</v>
      </c>
    </row>
    <row r="314" spans="1:3" ht="13" x14ac:dyDescent="0.15">
      <c r="A314" s="21">
        <v>313</v>
      </c>
      <c r="B314" s="21" t="s">
        <v>319</v>
      </c>
      <c r="C314" s="21" t="s">
        <v>4</v>
      </c>
    </row>
    <row r="315" spans="1:3" ht="13" x14ac:dyDescent="0.15">
      <c r="A315" s="21">
        <v>314</v>
      </c>
      <c r="B315" s="21" t="s">
        <v>320</v>
      </c>
      <c r="C315" s="21" t="s">
        <v>6</v>
      </c>
    </row>
    <row r="316" spans="1:3" ht="13" x14ac:dyDescent="0.15">
      <c r="A316" s="21">
        <v>315</v>
      </c>
      <c r="B316" s="21" t="s">
        <v>321</v>
      </c>
      <c r="C316" s="21" t="s">
        <v>6</v>
      </c>
    </row>
    <row r="317" spans="1:3" ht="13" x14ac:dyDescent="0.15">
      <c r="A317" s="21">
        <v>316</v>
      </c>
      <c r="B317" s="21" t="s">
        <v>322</v>
      </c>
      <c r="C317" s="21" t="s">
        <v>6</v>
      </c>
    </row>
    <row r="318" spans="1:3" ht="13" x14ac:dyDescent="0.15">
      <c r="A318" s="21">
        <v>317</v>
      </c>
      <c r="B318" s="21" t="s">
        <v>323</v>
      </c>
      <c r="C318" s="21" t="s">
        <v>8</v>
      </c>
    </row>
    <row r="319" spans="1:3" ht="13" x14ac:dyDescent="0.15">
      <c r="A319" s="21">
        <v>318</v>
      </c>
      <c r="B319" s="21" t="s">
        <v>324</v>
      </c>
      <c r="C319" s="21" t="s">
        <v>4</v>
      </c>
    </row>
    <row r="320" spans="1:3" ht="13" x14ac:dyDescent="0.15">
      <c r="A320" s="21">
        <v>319</v>
      </c>
      <c r="B320" s="21" t="s">
        <v>325</v>
      </c>
      <c r="C320" s="21" t="s">
        <v>6</v>
      </c>
    </row>
    <row r="321" spans="1:3" ht="13" x14ac:dyDescent="0.15">
      <c r="A321" s="21">
        <v>320</v>
      </c>
      <c r="B321" s="21" t="s">
        <v>326</v>
      </c>
      <c r="C321" s="21" t="s">
        <v>8</v>
      </c>
    </row>
    <row r="322" spans="1:3" ht="13" x14ac:dyDescent="0.15">
      <c r="A322" s="21">
        <v>321</v>
      </c>
      <c r="B322" s="21" t="s">
        <v>327</v>
      </c>
      <c r="C322" s="21" t="s">
        <v>8</v>
      </c>
    </row>
    <row r="323" spans="1:3" ht="13" x14ac:dyDescent="0.15">
      <c r="A323" s="21">
        <v>322</v>
      </c>
      <c r="B323" s="21" t="s">
        <v>328</v>
      </c>
      <c r="C323" s="21" t="s">
        <v>6</v>
      </c>
    </row>
    <row r="324" spans="1:3" ht="13" x14ac:dyDescent="0.15">
      <c r="A324" s="21">
        <v>323</v>
      </c>
      <c r="B324" s="21" t="s">
        <v>329</v>
      </c>
      <c r="C324" s="21" t="s">
        <v>6</v>
      </c>
    </row>
    <row r="325" spans="1:3" ht="13" x14ac:dyDescent="0.15">
      <c r="A325" s="21">
        <v>324</v>
      </c>
      <c r="B325" s="21" t="s">
        <v>330</v>
      </c>
      <c r="C325" s="21" t="s">
        <v>49</v>
      </c>
    </row>
    <row r="326" spans="1:3" ht="13" x14ac:dyDescent="0.15">
      <c r="A326" s="21">
        <v>325</v>
      </c>
      <c r="B326" s="21" t="s">
        <v>331</v>
      </c>
      <c r="C326" s="21" t="s">
        <v>4</v>
      </c>
    </row>
    <row r="327" spans="1:3" ht="13" x14ac:dyDescent="0.15">
      <c r="A327" s="21">
        <v>326</v>
      </c>
      <c r="B327" s="21" t="s">
        <v>332</v>
      </c>
      <c r="C327" s="21" t="s">
        <v>6</v>
      </c>
    </row>
    <row r="328" spans="1:3" ht="13" x14ac:dyDescent="0.15">
      <c r="A328" s="21">
        <v>327</v>
      </c>
      <c r="B328" s="21" t="s">
        <v>333</v>
      </c>
      <c r="C328" s="21" t="s">
        <v>8</v>
      </c>
    </row>
    <row r="329" spans="1:3" ht="13" x14ac:dyDescent="0.15">
      <c r="A329" s="21">
        <v>328</v>
      </c>
      <c r="B329" s="21" t="s">
        <v>334</v>
      </c>
      <c r="C329" s="21" t="s">
        <v>49</v>
      </c>
    </row>
    <row r="330" spans="1:3" ht="13" x14ac:dyDescent="0.15">
      <c r="A330" s="21">
        <v>329</v>
      </c>
      <c r="B330" s="21" t="s">
        <v>335</v>
      </c>
      <c r="C330" s="21" t="s">
        <v>4</v>
      </c>
    </row>
    <row r="331" spans="1:3" ht="13" x14ac:dyDescent="0.15">
      <c r="A331" s="21">
        <v>330</v>
      </c>
      <c r="B331" s="21" t="s">
        <v>336</v>
      </c>
      <c r="C331" s="21" t="s">
        <v>6</v>
      </c>
    </row>
    <row r="332" spans="1:3" ht="13" x14ac:dyDescent="0.15">
      <c r="A332" s="21">
        <v>331</v>
      </c>
      <c r="B332" s="21" t="s">
        <v>337</v>
      </c>
      <c r="C332" s="21" t="s">
        <v>8</v>
      </c>
    </row>
    <row r="333" spans="1:3" ht="13" x14ac:dyDescent="0.15">
      <c r="A333" s="21">
        <v>332</v>
      </c>
      <c r="B333" s="21" t="s">
        <v>338</v>
      </c>
      <c r="C333" s="21" t="s">
        <v>6</v>
      </c>
    </row>
    <row r="334" spans="1:3" ht="13" x14ac:dyDescent="0.15">
      <c r="A334" s="21">
        <v>333</v>
      </c>
      <c r="B334" s="21" t="s">
        <v>339</v>
      </c>
      <c r="C334" s="21" t="s">
        <v>6</v>
      </c>
    </row>
    <row r="335" spans="1:3" ht="13" x14ac:dyDescent="0.15">
      <c r="A335" s="21">
        <v>334</v>
      </c>
      <c r="B335" s="21" t="s">
        <v>340</v>
      </c>
      <c r="C335" s="21" t="s">
        <v>6</v>
      </c>
    </row>
    <row r="336" spans="1:3" ht="13" x14ac:dyDescent="0.15">
      <c r="A336" s="21">
        <v>335</v>
      </c>
      <c r="B336" s="21" t="s">
        <v>341</v>
      </c>
      <c r="C336" s="21" t="s">
        <v>6</v>
      </c>
    </row>
    <row r="337" spans="1:3" ht="13" x14ac:dyDescent="0.15">
      <c r="A337" s="21">
        <v>336</v>
      </c>
      <c r="B337" s="21" t="s">
        <v>342</v>
      </c>
      <c r="C337" s="21" t="s">
        <v>49</v>
      </c>
    </row>
    <row r="338" spans="1:3" ht="13" x14ac:dyDescent="0.15">
      <c r="A338" s="21">
        <v>337</v>
      </c>
      <c r="B338" s="21" t="s">
        <v>343</v>
      </c>
      <c r="C338" s="21" t="s">
        <v>49</v>
      </c>
    </row>
    <row r="339" spans="1:3" ht="13" x14ac:dyDescent="0.15">
      <c r="A339" s="21">
        <v>338</v>
      </c>
      <c r="B339" s="21" t="s">
        <v>344</v>
      </c>
      <c r="C339" s="21" t="s">
        <v>6</v>
      </c>
    </row>
    <row r="340" spans="1:3" ht="13" x14ac:dyDescent="0.15">
      <c r="A340" s="21">
        <v>339</v>
      </c>
      <c r="B340" s="21" t="s">
        <v>345</v>
      </c>
      <c r="C340" s="21" t="s">
        <v>6</v>
      </c>
    </row>
    <row r="341" spans="1:3" ht="13" x14ac:dyDescent="0.15">
      <c r="A341" s="21">
        <v>340</v>
      </c>
      <c r="B341" s="21" t="s">
        <v>346</v>
      </c>
      <c r="C341" s="21" t="s">
        <v>8</v>
      </c>
    </row>
    <row r="342" spans="1:3" ht="13" x14ac:dyDescent="0.15">
      <c r="A342" s="21">
        <v>341</v>
      </c>
      <c r="B342" s="21" t="s">
        <v>347</v>
      </c>
      <c r="C342" s="21" t="s">
        <v>6</v>
      </c>
    </row>
    <row r="343" spans="1:3" ht="13" x14ac:dyDescent="0.15">
      <c r="A343" s="21">
        <v>342</v>
      </c>
      <c r="B343" s="21" t="s">
        <v>348</v>
      </c>
      <c r="C343" s="21" t="s">
        <v>4</v>
      </c>
    </row>
    <row r="344" spans="1:3" ht="13" x14ac:dyDescent="0.15">
      <c r="A344" s="21">
        <v>343</v>
      </c>
      <c r="B344" s="21" t="s">
        <v>349</v>
      </c>
      <c r="C344" s="21" t="s">
        <v>6</v>
      </c>
    </row>
    <row r="345" spans="1:3" ht="13" x14ac:dyDescent="0.15">
      <c r="A345" s="21">
        <v>344</v>
      </c>
      <c r="B345" s="21" t="s">
        <v>350</v>
      </c>
      <c r="C345" s="21" t="s">
        <v>4</v>
      </c>
    </row>
    <row r="346" spans="1:3" ht="13" x14ac:dyDescent="0.15">
      <c r="A346" s="21">
        <v>345</v>
      </c>
      <c r="B346" s="21" t="s">
        <v>351</v>
      </c>
      <c r="C346" s="21" t="s">
        <v>8</v>
      </c>
    </row>
    <row r="347" spans="1:3" ht="13" x14ac:dyDescent="0.15">
      <c r="A347" s="21">
        <v>346</v>
      </c>
      <c r="B347" s="21" t="s">
        <v>352</v>
      </c>
      <c r="C347" s="21" t="s">
        <v>8</v>
      </c>
    </row>
    <row r="348" spans="1:3" ht="13" x14ac:dyDescent="0.15">
      <c r="A348" s="21">
        <v>347</v>
      </c>
      <c r="B348" s="21" t="s">
        <v>353</v>
      </c>
      <c r="C348" s="21" t="s">
        <v>6</v>
      </c>
    </row>
    <row r="349" spans="1:3" ht="13" x14ac:dyDescent="0.15">
      <c r="A349" s="21">
        <v>348</v>
      </c>
      <c r="B349" s="21" t="s">
        <v>354</v>
      </c>
      <c r="C349" s="21" t="s">
        <v>8</v>
      </c>
    </row>
    <row r="350" spans="1:3" ht="13" x14ac:dyDescent="0.15">
      <c r="A350" s="21">
        <v>349</v>
      </c>
      <c r="B350" s="21" t="s">
        <v>355</v>
      </c>
      <c r="C350" s="21" t="s">
        <v>8</v>
      </c>
    </row>
    <row r="351" spans="1:3" ht="13" x14ac:dyDescent="0.15">
      <c r="A351" s="21">
        <v>350</v>
      </c>
      <c r="B351" s="21" t="s">
        <v>356</v>
      </c>
      <c r="C351" s="21" t="s">
        <v>8</v>
      </c>
    </row>
    <row r="352" spans="1:3" ht="13" x14ac:dyDescent="0.15">
      <c r="A352" s="21">
        <v>351</v>
      </c>
      <c r="B352" s="21" t="s">
        <v>357</v>
      </c>
      <c r="C352" s="21" t="s">
        <v>8</v>
      </c>
    </row>
    <row r="353" spans="1:3" ht="13" x14ac:dyDescent="0.15">
      <c r="A353" s="21">
        <v>352</v>
      </c>
      <c r="B353" s="21" t="s">
        <v>358</v>
      </c>
      <c r="C353" s="21" t="s">
        <v>8</v>
      </c>
    </row>
    <row r="354" spans="1:3" ht="13" x14ac:dyDescent="0.15">
      <c r="A354" s="21">
        <v>353</v>
      </c>
      <c r="B354" s="21" t="s">
        <v>359</v>
      </c>
      <c r="C354" s="21" t="s">
        <v>6</v>
      </c>
    </row>
    <row r="355" spans="1:3" ht="13" x14ac:dyDescent="0.15">
      <c r="A355" s="21">
        <v>354</v>
      </c>
      <c r="B355" s="21" t="s">
        <v>360</v>
      </c>
      <c r="C355" s="21" t="s">
        <v>49</v>
      </c>
    </row>
    <row r="356" spans="1:3" ht="13" x14ac:dyDescent="0.15">
      <c r="A356" s="21">
        <v>355</v>
      </c>
      <c r="B356" s="21" t="s">
        <v>361</v>
      </c>
      <c r="C356" s="21" t="s">
        <v>49</v>
      </c>
    </row>
    <row r="357" spans="1:3" ht="13" x14ac:dyDescent="0.15">
      <c r="A357" s="21">
        <v>356</v>
      </c>
      <c r="B357" s="21" t="s">
        <v>362</v>
      </c>
      <c r="C357" s="21" t="s">
        <v>6</v>
      </c>
    </row>
    <row r="358" spans="1:3" ht="13" x14ac:dyDescent="0.15">
      <c r="A358" s="21">
        <v>357</v>
      </c>
      <c r="B358" s="21" t="s">
        <v>363</v>
      </c>
      <c r="C358" s="21" t="s">
        <v>49</v>
      </c>
    </row>
    <row r="359" spans="1:3" ht="13" x14ac:dyDescent="0.15">
      <c r="A359" s="21">
        <v>358</v>
      </c>
      <c r="B359" s="21" t="s">
        <v>364</v>
      </c>
      <c r="C359" s="21" t="s">
        <v>49</v>
      </c>
    </row>
    <row r="360" spans="1:3" ht="13" x14ac:dyDescent="0.15">
      <c r="A360" s="21">
        <v>359</v>
      </c>
      <c r="B360" s="21" t="s">
        <v>365</v>
      </c>
      <c r="C360" s="21" t="s">
        <v>6</v>
      </c>
    </row>
    <row r="361" spans="1:3" ht="13" x14ac:dyDescent="0.15">
      <c r="A361" s="21">
        <v>360</v>
      </c>
      <c r="B361" s="21" t="s">
        <v>366</v>
      </c>
      <c r="C361" s="21" t="s">
        <v>4</v>
      </c>
    </row>
    <row r="362" spans="1:3" ht="13" x14ac:dyDescent="0.15">
      <c r="A362" s="21">
        <v>361</v>
      </c>
      <c r="B362" s="21" t="s">
        <v>367</v>
      </c>
      <c r="C362" s="21" t="s">
        <v>6</v>
      </c>
    </row>
    <row r="363" spans="1:3" ht="13" x14ac:dyDescent="0.15">
      <c r="A363" s="21">
        <v>362</v>
      </c>
      <c r="B363" s="21" t="s">
        <v>368</v>
      </c>
      <c r="C363" s="21" t="s">
        <v>49</v>
      </c>
    </row>
    <row r="364" spans="1:3" ht="13" x14ac:dyDescent="0.15">
      <c r="A364" s="21">
        <v>363</v>
      </c>
      <c r="B364" s="21" t="s">
        <v>369</v>
      </c>
      <c r="C364" s="21" t="s">
        <v>6</v>
      </c>
    </row>
    <row r="365" spans="1:3" ht="13" x14ac:dyDescent="0.15">
      <c r="A365" s="21">
        <v>364</v>
      </c>
      <c r="B365" s="21" t="s">
        <v>370</v>
      </c>
      <c r="C365" s="21" t="s">
        <v>4</v>
      </c>
    </row>
    <row r="366" spans="1:3" ht="13" x14ac:dyDescent="0.15">
      <c r="A366" s="21">
        <v>365</v>
      </c>
      <c r="B366" s="21" t="s">
        <v>371</v>
      </c>
      <c r="C366" s="21" t="s">
        <v>8</v>
      </c>
    </row>
    <row r="367" spans="1:3" ht="13" x14ac:dyDescent="0.15">
      <c r="A367" s="21">
        <v>366</v>
      </c>
      <c r="B367" s="21" t="s">
        <v>372</v>
      </c>
      <c r="C367" s="21" t="s">
        <v>6</v>
      </c>
    </row>
    <row r="368" spans="1:3" ht="13" x14ac:dyDescent="0.15">
      <c r="A368" s="21">
        <v>367</v>
      </c>
      <c r="B368" s="21" t="s">
        <v>373</v>
      </c>
      <c r="C368" s="21" t="s">
        <v>8</v>
      </c>
    </row>
    <row r="369" spans="1:3" ht="13" x14ac:dyDescent="0.15">
      <c r="A369" s="21">
        <v>368</v>
      </c>
      <c r="B369" s="21" t="s">
        <v>374</v>
      </c>
      <c r="C369" s="21" t="s">
        <v>6</v>
      </c>
    </row>
    <row r="370" spans="1:3" ht="13" x14ac:dyDescent="0.15">
      <c r="A370" s="21">
        <v>369</v>
      </c>
      <c r="B370" s="21" t="s">
        <v>375</v>
      </c>
      <c r="C370" s="21" t="s">
        <v>4</v>
      </c>
    </row>
    <row r="371" spans="1:3" ht="13" x14ac:dyDescent="0.15">
      <c r="A371" s="21">
        <v>370</v>
      </c>
      <c r="B371" s="21" t="s">
        <v>376</v>
      </c>
      <c r="C371" s="21" t="s">
        <v>6</v>
      </c>
    </row>
    <row r="372" spans="1:3" ht="13" x14ac:dyDescent="0.15">
      <c r="A372" s="21">
        <v>371</v>
      </c>
      <c r="B372" s="21" t="s">
        <v>377</v>
      </c>
      <c r="C372" s="21" t="s">
        <v>8</v>
      </c>
    </row>
    <row r="373" spans="1:3" ht="13" x14ac:dyDescent="0.15">
      <c r="A373" s="21">
        <v>372</v>
      </c>
      <c r="B373" s="21" t="s">
        <v>378</v>
      </c>
      <c r="C373" s="21" t="s">
        <v>49</v>
      </c>
    </row>
    <row r="374" spans="1:3" ht="13" x14ac:dyDescent="0.15">
      <c r="A374" s="21">
        <v>373</v>
      </c>
      <c r="B374" s="21" t="s">
        <v>379</v>
      </c>
      <c r="C374" s="21" t="s">
        <v>8</v>
      </c>
    </row>
    <row r="375" spans="1:3" ht="13" x14ac:dyDescent="0.15">
      <c r="A375" s="21">
        <v>374</v>
      </c>
      <c r="B375" s="21" t="s">
        <v>380</v>
      </c>
      <c r="C375" s="21" t="s">
        <v>6</v>
      </c>
    </row>
    <row r="376" spans="1:3" ht="13" x14ac:dyDescent="0.15">
      <c r="A376" s="21">
        <v>375</v>
      </c>
      <c r="B376" s="21" t="s">
        <v>381</v>
      </c>
      <c r="C376" s="21" t="s">
        <v>6</v>
      </c>
    </row>
    <row r="377" spans="1:3" ht="13" x14ac:dyDescent="0.15">
      <c r="A377" s="21">
        <v>376</v>
      </c>
      <c r="B377" s="21" t="s">
        <v>382</v>
      </c>
      <c r="C377" s="21" t="s">
        <v>6</v>
      </c>
    </row>
    <row r="378" spans="1:3" ht="13" x14ac:dyDescent="0.15">
      <c r="A378" s="21">
        <v>377</v>
      </c>
      <c r="B378" s="21" t="s">
        <v>383</v>
      </c>
      <c r="C378" s="21" t="s">
        <v>6</v>
      </c>
    </row>
    <row r="379" spans="1:3" ht="13" x14ac:dyDescent="0.15">
      <c r="A379" s="21">
        <v>378</v>
      </c>
      <c r="B379" s="21" t="s">
        <v>384</v>
      </c>
      <c r="C379" s="21" t="s">
        <v>6</v>
      </c>
    </row>
    <row r="380" spans="1:3" ht="13" x14ac:dyDescent="0.15">
      <c r="A380" s="21">
        <v>379</v>
      </c>
      <c r="B380" s="21" t="s">
        <v>385</v>
      </c>
      <c r="C380" s="21" t="s">
        <v>4</v>
      </c>
    </row>
    <row r="381" spans="1:3" ht="13" x14ac:dyDescent="0.15">
      <c r="A381" s="21">
        <v>380</v>
      </c>
      <c r="B381" s="21" t="s">
        <v>386</v>
      </c>
      <c r="C381" s="21" t="s">
        <v>49</v>
      </c>
    </row>
    <row r="382" spans="1:3" ht="13" x14ac:dyDescent="0.15">
      <c r="A382" s="21">
        <v>381</v>
      </c>
      <c r="B382" s="21" t="s">
        <v>387</v>
      </c>
      <c r="C382" s="21" t="s">
        <v>6</v>
      </c>
    </row>
    <row r="383" spans="1:3" ht="13" x14ac:dyDescent="0.15">
      <c r="A383" s="21">
        <v>382</v>
      </c>
      <c r="B383" s="21" t="s">
        <v>388</v>
      </c>
      <c r="C383" s="21" t="s">
        <v>8</v>
      </c>
    </row>
    <row r="384" spans="1:3" ht="13" x14ac:dyDescent="0.15">
      <c r="A384" s="21">
        <v>383</v>
      </c>
      <c r="B384" s="21" t="s">
        <v>389</v>
      </c>
      <c r="C384" s="21" t="s">
        <v>6</v>
      </c>
    </row>
    <row r="385" spans="1:3" ht="13" x14ac:dyDescent="0.15">
      <c r="A385" s="21">
        <v>384</v>
      </c>
      <c r="B385" s="21" t="s">
        <v>390</v>
      </c>
      <c r="C385" s="21" t="s">
        <v>8</v>
      </c>
    </row>
    <row r="386" spans="1:3" ht="13" x14ac:dyDescent="0.15">
      <c r="A386" s="21">
        <v>385</v>
      </c>
      <c r="B386" s="21" t="s">
        <v>391</v>
      </c>
      <c r="C386" s="21" t="s">
        <v>6</v>
      </c>
    </row>
    <row r="387" spans="1:3" ht="13" x14ac:dyDescent="0.15">
      <c r="A387" s="21">
        <v>386</v>
      </c>
      <c r="B387" s="21" t="s">
        <v>392</v>
      </c>
      <c r="C387" s="21" t="s">
        <v>6</v>
      </c>
    </row>
    <row r="388" spans="1:3" ht="13" x14ac:dyDescent="0.15">
      <c r="A388" s="21">
        <v>387</v>
      </c>
      <c r="B388" s="21" t="s">
        <v>393</v>
      </c>
      <c r="C388" s="21" t="s">
        <v>6</v>
      </c>
    </row>
    <row r="389" spans="1:3" ht="13" x14ac:dyDescent="0.15">
      <c r="A389" s="21">
        <v>388</v>
      </c>
      <c r="B389" s="21" t="s">
        <v>394</v>
      </c>
      <c r="C389" s="21" t="s">
        <v>6</v>
      </c>
    </row>
    <row r="390" spans="1:3" ht="13" x14ac:dyDescent="0.15">
      <c r="A390" s="21">
        <v>389</v>
      </c>
      <c r="B390" s="21" t="s">
        <v>395</v>
      </c>
      <c r="C390" s="21" t="s">
        <v>6</v>
      </c>
    </row>
    <row r="391" spans="1:3" ht="13" x14ac:dyDescent="0.15">
      <c r="A391" s="21">
        <v>390</v>
      </c>
      <c r="B391" s="21" t="s">
        <v>396</v>
      </c>
      <c r="C391" s="21" t="s">
        <v>6</v>
      </c>
    </row>
    <row r="392" spans="1:3" ht="13" x14ac:dyDescent="0.15">
      <c r="A392" s="21">
        <v>391</v>
      </c>
      <c r="B392" s="21" t="s">
        <v>397</v>
      </c>
      <c r="C392" s="21" t="s">
        <v>4</v>
      </c>
    </row>
    <row r="393" spans="1:3" ht="13" x14ac:dyDescent="0.15">
      <c r="A393" s="21">
        <v>392</v>
      </c>
      <c r="B393" s="21" t="s">
        <v>398</v>
      </c>
      <c r="C393" s="21" t="s">
        <v>4</v>
      </c>
    </row>
    <row r="394" spans="1:3" ht="13" x14ac:dyDescent="0.15">
      <c r="A394" s="21">
        <v>393</v>
      </c>
      <c r="B394" s="21" t="s">
        <v>399</v>
      </c>
      <c r="C394" s="21" t="s">
        <v>4</v>
      </c>
    </row>
    <row r="395" spans="1:3" ht="13" x14ac:dyDescent="0.15">
      <c r="A395" s="21">
        <v>394</v>
      </c>
      <c r="B395" s="21" t="s">
        <v>400</v>
      </c>
      <c r="C395" s="21" t="s">
        <v>6</v>
      </c>
    </row>
    <row r="396" spans="1:3" ht="13" x14ac:dyDescent="0.15">
      <c r="A396" s="21">
        <v>395</v>
      </c>
      <c r="B396" s="21" t="s">
        <v>401</v>
      </c>
      <c r="C396" s="21" t="s">
        <v>6</v>
      </c>
    </row>
    <row r="397" spans="1:3" ht="13" x14ac:dyDescent="0.15">
      <c r="A397" s="21">
        <v>396</v>
      </c>
      <c r="B397" s="21" t="s">
        <v>133</v>
      </c>
      <c r="C397" s="21" t="s">
        <v>6</v>
      </c>
    </row>
    <row r="398" spans="1:3" ht="13" x14ac:dyDescent="0.15">
      <c r="A398" s="21">
        <v>397</v>
      </c>
      <c r="B398" s="21" t="s">
        <v>402</v>
      </c>
      <c r="C398" s="21" t="s">
        <v>6</v>
      </c>
    </row>
    <row r="399" spans="1:3" ht="13" x14ac:dyDescent="0.15">
      <c r="A399" s="21">
        <v>398</v>
      </c>
      <c r="B399" s="21" t="s">
        <v>403</v>
      </c>
      <c r="C399" s="21" t="s">
        <v>6</v>
      </c>
    </row>
    <row r="400" spans="1:3" ht="13" x14ac:dyDescent="0.15">
      <c r="A400" s="21">
        <v>399</v>
      </c>
      <c r="B400" s="21" t="s">
        <v>404</v>
      </c>
      <c r="C400" s="21" t="s">
        <v>8</v>
      </c>
    </row>
    <row r="401" spans="1:3" ht="13" x14ac:dyDescent="0.15">
      <c r="A401" s="21">
        <v>400</v>
      </c>
      <c r="B401" s="21" t="s">
        <v>405</v>
      </c>
      <c r="C401" s="21" t="s">
        <v>8</v>
      </c>
    </row>
    <row r="402" spans="1:3" ht="13" x14ac:dyDescent="0.15">
      <c r="A402" s="21">
        <v>401</v>
      </c>
      <c r="B402" s="21" t="s">
        <v>406</v>
      </c>
      <c r="C402" s="21" t="s">
        <v>8</v>
      </c>
    </row>
    <row r="403" spans="1:3" ht="13" x14ac:dyDescent="0.15">
      <c r="A403" s="21">
        <v>402</v>
      </c>
      <c r="B403" s="21" t="s">
        <v>407</v>
      </c>
      <c r="C403" s="21" t="s">
        <v>8</v>
      </c>
    </row>
    <row r="404" spans="1:3" ht="13" x14ac:dyDescent="0.15">
      <c r="A404" s="21">
        <v>403</v>
      </c>
      <c r="B404" s="21" t="s">
        <v>408</v>
      </c>
      <c r="C404" s="21" t="s">
        <v>8</v>
      </c>
    </row>
    <row r="405" spans="1:3" ht="13" x14ac:dyDescent="0.15">
      <c r="A405" s="21">
        <v>404</v>
      </c>
      <c r="B405" s="21" t="s">
        <v>409</v>
      </c>
      <c r="C405" s="21" t="s">
        <v>49</v>
      </c>
    </row>
    <row r="406" spans="1:3" ht="13" x14ac:dyDescent="0.15">
      <c r="A406" s="21">
        <v>405</v>
      </c>
      <c r="B406" s="21" t="s">
        <v>410</v>
      </c>
      <c r="C406" s="21" t="s">
        <v>49</v>
      </c>
    </row>
    <row r="407" spans="1:3" ht="13" x14ac:dyDescent="0.15">
      <c r="A407" s="21">
        <v>406</v>
      </c>
      <c r="B407" s="21" t="s">
        <v>411</v>
      </c>
      <c r="C407" s="21" t="s">
        <v>6</v>
      </c>
    </row>
    <row r="408" spans="1:3" ht="13" x14ac:dyDescent="0.15">
      <c r="A408" s="21">
        <v>407</v>
      </c>
      <c r="B408" s="21" t="s">
        <v>412</v>
      </c>
      <c r="C408" s="21" t="s">
        <v>6</v>
      </c>
    </row>
    <row r="409" spans="1:3" ht="13" x14ac:dyDescent="0.15">
      <c r="A409" s="21">
        <v>408</v>
      </c>
      <c r="B409" s="21" t="s">
        <v>413</v>
      </c>
      <c r="C409" s="21" t="s">
        <v>6</v>
      </c>
    </row>
    <row r="410" spans="1:3" ht="13" x14ac:dyDescent="0.15">
      <c r="A410" s="21">
        <v>409</v>
      </c>
      <c r="B410" s="21" t="s">
        <v>414</v>
      </c>
      <c r="C410" s="21" t="s">
        <v>6</v>
      </c>
    </row>
    <row r="411" spans="1:3" ht="13" x14ac:dyDescent="0.15">
      <c r="A411" s="21">
        <v>410</v>
      </c>
      <c r="B411" s="21" t="s">
        <v>415</v>
      </c>
      <c r="C411" s="21" t="s">
        <v>6</v>
      </c>
    </row>
    <row r="412" spans="1:3" ht="13" x14ac:dyDescent="0.15">
      <c r="A412" s="21">
        <v>411</v>
      </c>
      <c r="B412" s="21" t="s">
        <v>416</v>
      </c>
      <c r="C412" s="21" t="s">
        <v>6</v>
      </c>
    </row>
    <row r="413" spans="1:3" ht="13" x14ac:dyDescent="0.15">
      <c r="A413" s="21">
        <v>412</v>
      </c>
      <c r="B413" s="21" t="s">
        <v>417</v>
      </c>
      <c r="C413" s="21" t="s">
        <v>6</v>
      </c>
    </row>
    <row r="414" spans="1:3" ht="13" x14ac:dyDescent="0.15">
      <c r="A414" s="21">
        <v>413</v>
      </c>
      <c r="B414" s="21" t="s">
        <v>418</v>
      </c>
      <c r="C414" s="21" t="s">
        <v>6</v>
      </c>
    </row>
    <row r="415" spans="1:3" ht="13" x14ac:dyDescent="0.15">
      <c r="A415" s="21">
        <v>414</v>
      </c>
      <c r="B415" s="21" t="s">
        <v>419</v>
      </c>
      <c r="C415" s="21" t="s">
        <v>8</v>
      </c>
    </row>
    <row r="416" spans="1:3" ht="13" x14ac:dyDescent="0.15">
      <c r="A416" s="21">
        <v>415</v>
      </c>
      <c r="B416" s="21" t="s">
        <v>420</v>
      </c>
      <c r="C416" s="21" t="s">
        <v>6</v>
      </c>
    </row>
    <row r="417" spans="1:3" ht="13" x14ac:dyDescent="0.15">
      <c r="A417" s="21">
        <v>416</v>
      </c>
      <c r="B417" s="21" t="s">
        <v>421</v>
      </c>
      <c r="C417" s="21" t="s">
        <v>6</v>
      </c>
    </row>
    <row r="418" spans="1:3" ht="13" x14ac:dyDescent="0.15">
      <c r="A418" s="21">
        <v>417</v>
      </c>
      <c r="B418" s="21" t="s">
        <v>422</v>
      </c>
      <c r="C418" s="21" t="s">
        <v>8</v>
      </c>
    </row>
    <row r="419" spans="1:3" ht="13" x14ac:dyDescent="0.15">
      <c r="A419" s="21">
        <v>418</v>
      </c>
      <c r="B419" s="21" t="s">
        <v>423</v>
      </c>
      <c r="C419" s="21" t="s">
        <v>6</v>
      </c>
    </row>
    <row r="420" spans="1:3" ht="13" x14ac:dyDescent="0.15">
      <c r="A420" s="21">
        <v>419</v>
      </c>
      <c r="B420" s="21" t="s">
        <v>424</v>
      </c>
      <c r="C420" s="21" t="s">
        <v>8</v>
      </c>
    </row>
    <row r="421" spans="1:3" ht="13" x14ac:dyDescent="0.15">
      <c r="A421" s="21">
        <v>420</v>
      </c>
      <c r="B421" s="21" t="s">
        <v>425</v>
      </c>
      <c r="C421" s="21" t="s">
        <v>8</v>
      </c>
    </row>
    <row r="422" spans="1:3" ht="13" x14ac:dyDescent="0.15">
      <c r="A422" s="21">
        <v>421</v>
      </c>
      <c r="B422" s="21" t="s">
        <v>426</v>
      </c>
      <c r="C422" s="21" t="s">
        <v>4</v>
      </c>
    </row>
    <row r="423" spans="1:3" ht="13" x14ac:dyDescent="0.15">
      <c r="A423" s="21">
        <v>422</v>
      </c>
      <c r="B423" s="21" t="s">
        <v>427</v>
      </c>
      <c r="C423" s="21" t="s">
        <v>49</v>
      </c>
    </row>
    <row r="424" spans="1:3" ht="13" x14ac:dyDescent="0.15">
      <c r="A424" s="21">
        <v>423</v>
      </c>
      <c r="B424" s="21" t="s">
        <v>428</v>
      </c>
      <c r="C424" s="21" t="s">
        <v>8</v>
      </c>
    </row>
    <row r="425" spans="1:3" ht="13" x14ac:dyDescent="0.15">
      <c r="A425" s="21">
        <v>424</v>
      </c>
      <c r="B425" s="21" t="s">
        <v>429</v>
      </c>
      <c r="C425" s="21" t="s">
        <v>4</v>
      </c>
    </row>
    <row r="426" spans="1:3" ht="13" x14ac:dyDescent="0.15">
      <c r="A426" s="21">
        <v>425</v>
      </c>
      <c r="B426" s="21" t="s">
        <v>430</v>
      </c>
      <c r="C426" s="21" t="s">
        <v>6</v>
      </c>
    </row>
    <row r="427" spans="1:3" ht="13" x14ac:dyDescent="0.15">
      <c r="A427" s="21">
        <v>426</v>
      </c>
      <c r="B427" s="21" t="s">
        <v>431</v>
      </c>
      <c r="C427" s="21" t="s">
        <v>4</v>
      </c>
    </row>
    <row r="428" spans="1:3" ht="13" x14ac:dyDescent="0.15">
      <c r="A428" s="21">
        <v>427</v>
      </c>
      <c r="B428" s="21" t="s">
        <v>432</v>
      </c>
      <c r="C428" s="21" t="s">
        <v>4</v>
      </c>
    </row>
    <row r="429" spans="1:3" ht="13" x14ac:dyDescent="0.15">
      <c r="A429" s="21">
        <v>428</v>
      </c>
      <c r="B429" s="21" t="s">
        <v>433</v>
      </c>
      <c r="C429" s="21" t="s">
        <v>6</v>
      </c>
    </row>
    <row r="430" spans="1:3" ht="13" x14ac:dyDescent="0.15">
      <c r="A430" s="21">
        <v>429</v>
      </c>
      <c r="B430" s="21" t="s">
        <v>434</v>
      </c>
      <c r="C430" s="21" t="s">
        <v>8</v>
      </c>
    </row>
    <row r="431" spans="1:3" ht="13" x14ac:dyDescent="0.15">
      <c r="A431" s="21">
        <v>430</v>
      </c>
      <c r="B431" s="21" t="s">
        <v>435</v>
      </c>
      <c r="C431" s="21" t="s">
        <v>8</v>
      </c>
    </row>
    <row r="432" spans="1:3" ht="13" x14ac:dyDescent="0.15">
      <c r="A432" s="21">
        <v>431</v>
      </c>
      <c r="B432" s="21" t="s">
        <v>436</v>
      </c>
      <c r="C432" s="21" t="s">
        <v>8</v>
      </c>
    </row>
    <row r="433" spans="1:3" ht="13" x14ac:dyDescent="0.15">
      <c r="A433" s="21">
        <v>432</v>
      </c>
      <c r="B433" s="21" t="s">
        <v>437</v>
      </c>
      <c r="C433" s="21" t="s">
        <v>6</v>
      </c>
    </row>
    <row r="434" spans="1:3" ht="13" x14ac:dyDescent="0.15">
      <c r="A434" s="21">
        <v>433</v>
      </c>
      <c r="B434" s="21" t="s">
        <v>438</v>
      </c>
      <c r="C434" s="21" t="s">
        <v>6</v>
      </c>
    </row>
    <row r="435" spans="1:3" ht="13" x14ac:dyDescent="0.15">
      <c r="A435" s="21">
        <v>434</v>
      </c>
      <c r="B435" s="21" t="s">
        <v>439</v>
      </c>
      <c r="C435" s="21" t="s">
        <v>49</v>
      </c>
    </row>
    <row r="436" spans="1:3" ht="13" x14ac:dyDescent="0.15">
      <c r="A436" s="21">
        <v>435</v>
      </c>
      <c r="B436" s="21" t="s">
        <v>440</v>
      </c>
      <c r="C436" s="21" t="s">
        <v>8</v>
      </c>
    </row>
    <row r="437" spans="1:3" ht="13" x14ac:dyDescent="0.15">
      <c r="A437" s="21">
        <v>436</v>
      </c>
      <c r="B437" s="21" t="s">
        <v>441</v>
      </c>
      <c r="C437" s="21" t="s">
        <v>6</v>
      </c>
    </row>
    <row r="438" spans="1:3" ht="13" x14ac:dyDescent="0.15">
      <c r="A438" s="21">
        <v>437</v>
      </c>
      <c r="B438" s="21" t="s">
        <v>442</v>
      </c>
      <c r="C438" s="21" t="s">
        <v>8</v>
      </c>
    </row>
    <row r="439" spans="1:3" ht="13" x14ac:dyDescent="0.15">
      <c r="A439" s="21">
        <v>438</v>
      </c>
      <c r="B439" s="21" t="s">
        <v>443</v>
      </c>
      <c r="C439" s="21" t="s">
        <v>8</v>
      </c>
    </row>
    <row r="440" spans="1:3" ht="13" x14ac:dyDescent="0.15">
      <c r="A440" s="21">
        <v>439</v>
      </c>
      <c r="B440" s="21" t="s">
        <v>444</v>
      </c>
      <c r="C440" s="21" t="s">
        <v>8</v>
      </c>
    </row>
    <row r="441" spans="1:3" ht="13" x14ac:dyDescent="0.15">
      <c r="A441" s="21">
        <v>440</v>
      </c>
      <c r="B441" s="21" t="s">
        <v>445</v>
      </c>
      <c r="C441" s="21" t="s">
        <v>4</v>
      </c>
    </row>
    <row r="442" spans="1:3" ht="13" x14ac:dyDescent="0.15">
      <c r="A442" s="21">
        <v>441</v>
      </c>
      <c r="B442" s="21" t="s">
        <v>446</v>
      </c>
      <c r="C442" s="21" t="s">
        <v>4</v>
      </c>
    </row>
    <row r="443" spans="1:3" ht="13" x14ac:dyDescent="0.15">
      <c r="A443" s="21">
        <v>442</v>
      </c>
      <c r="B443" s="21" t="s">
        <v>447</v>
      </c>
      <c r="C443" s="21" t="s">
        <v>4</v>
      </c>
    </row>
    <row r="444" spans="1:3" ht="13" x14ac:dyDescent="0.15">
      <c r="A444" s="21">
        <v>443</v>
      </c>
      <c r="B444" s="21" t="s">
        <v>448</v>
      </c>
      <c r="C444" s="21" t="s">
        <v>4</v>
      </c>
    </row>
    <row r="445" spans="1:3" ht="13" x14ac:dyDescent="0.15">
      <c r="A445" s="21">
        <v>444</v>
      </c>
      <c r="B445" s="21" t="s">
        <v>449</v>
      </c>
      <c r="C445" s="21" t="s">
        <v>6</v>
      </c>
    </row>
    <row r="446" spans="1:3" ht="13" x14ac:dyDescent="0.15">
      <c r="A446" s="21">
        <v>445</v>
      </c>
      <c r="B446" s="21" t="s">
        <v>450</v>
      </c>
      <c r="C446" s="21" t="s">
        <v>4</v>
      </c>
    </row>
    <row r="447" spans="1:3" ht="13" x14ac:dyDescent="0.15">
      <c r="A447" s="21">
        <v>446</v>
      </c>
      <c r="B447" s="21" t="s">
        <v>451</v>
      </c>
      <c r="C447" s="21" t="s">
        <v>49</v>
      </c>
    </row>
    <row r="448" spans="1:3" ht="13" x14ac:dyDescent="0.15">
      <c r="A448" s="21">
        <v>447</v>
      </c>
      <c r="B448" s="21" t="s">
        <v>452</v>
      </c>
      <c r="C448" s="21" t="s">
        <v>49</v>
      </c>
    </row>
    <row r="449" spans="1:3" ht="13" x14ac:dyDescent="0.15">
      <c r="A449" s="21">
        <v>448</v>
      </c>
      <c r="B449" s="21" t="s">
        <v>453</v>
      </c>
      <c r="C449" s="21" t="s">
        <v>4</v>
      </c>
    </row>
    <row r="450" spans="1:3" ht="13" x14ac:dyDescent="0.15">
      <c r="A450" s="21">
        <v>449</v>
      </c>
      <c r="B450" s="21" t="s">
        <v>454</v>
      </c>
      <c r="C450" s="21" t="s">
        <v>4</v>
      </c>
    </row>
    <row r="451" spans="1:3" ht="13" x14ac:dyDescent="0.15">
      <c r="A451" s="21">
        <v>450</v>
      </c>
      <c r="B451" s="21" t="s">
        <v>455</v>
      </c>
      <c r="C451" s="21" t="s">
        <v>8</v>
      </c>
    </row>
    <row r="452" spans="1:3" ht="13" x14ac:dyDescent="0.15">
      <c r="A452" s="21">
        <v>451</v>
      </c>
      <c r="B452" s="21" t="s">
        <v>456</v>
      </c>
      <c r="C452" s="21" t="s">
        <v>4</v>
      </c>
    </row>
    <row r="453" spans="1:3" ht="13" x14ac:dyDescent="0.15">
      <c r="A453" s="21">
        <v>452</v>
      </c>
      <c r="B453" s="21" t="s">
        <v>457</v>
      </c>
      <c r="C453" s="21" t="s">
        <v>8</v>
      </c>
    </row>
    <row r="454" spans="1:3" ht="13" x14ac:dyDescent="0.15">
      <c r="A454" s="21">
        <v>453</v>
      </c>
      <c r="B454" s="21" t="s">
        <v>458</v>
      </c>
      <c r="C454" s="21" t="s">
        <v>6</v>
      </c>
    </row>
    <row r="455" spans="1:3" ht="13" x14ac:dyDescent="0.15">
      <c r="A455" s="21">
        <v>454</v>
      </c>
      <c r="B455" s="21" t="s">
        <v>459</v>
      </c>
      <c r="C455" s="21" t="s">
        <v>4</v>
      </c>
    </row>
    <row r="456" spans="1:3" ht="13" x14ac:dyDescent="0.15">
      <c r="A456" s="21">
        <v>455</v>
      </c>
      <c r="B456" s="21" t="s">
        <v>460</v>
      </c>
      <c r="C456" s="21" t="s">
        <v>6</v>
      </c>
    </row>
    <row r="457" spans="1:3" ht="13" x14ac:dyDescent="0.15">
      <c r="A457" s="21">
        <v>456</v>
      </c>
      <c r="B457" s="21" t="s">
        <v>461</v>
      </c>
      <c r="C457" s="21" t="s">
        <v>4</v>
      </c>
    </row>
    <row r="458" spans="1:3" ht="13" x14ac:dyDescent="0.15">
      <c r="A458" s="21">
        <v>457</v>
      </c>
      <c r="B458" s="21" t="s">
        <v>462</v>
      </c>
      <c r="C458" s="21" t="s">
        <v>6</v>
      </c>
    </row>
    <row r="459" spans="1:3" ht="13" x14ac:dyDescent="0.15">
      <c r="A459" s="21">
        <v>458</v>
      </c>
      <c r="B459" s="21" t="s">
        <v>463</v>
      </c>
      <c r="C459" s="21" t="s">
        <v>4</v>
      </c>
    </row>
    <row r="460" spans="1:3" ht="13" x14ac:dyDescent="0.15">
      <c r="A460" s="21">
        <v>459</v>
      </c>
      <c r="B460" s="21" t="s">
        <v>464</v>
      </c>
      <c r="C460" s="21" t="s">
        <v>6</v>
      </c>
    </row>
    <row r="461" spans="1:3" ht="13" x14ac:dyDescent="0.15">
      <c r="A461" s="21">
        <v>460</v>
      </c>
      <c r="B461" s="21" t="s">
        <v>465</v>
      </c>
      <c r="C461" s="21" t="s">
        <v>6</v>
      </c>
    </row>
    <row r="462" spans="1:3" ht="13" x14ac:dyDescent="0.15">
      <c r="A462" s="21">
        <v>461</v>
      </c>
      <c r="B462" s="21" t="s">
        <v>466</v>
      </c>
      <c r="C462" s="21" t="s">
        <v>8</v>
      </c>
    </row>
    <row r="463" spans="1:3" ht="13" x14ac:dyDescent="0.15">
      <c r="A463" s="21">
        <v>462</v>
      </c>
      <c r="B463" s="21" t="s">
        <v>467</v>
      </c>
      <c r="C463" s="21" t="s">
        <v>4</v>
      </c>
    </row>
    <row r="464" spans="1:3" ht="13" x14ac:dyDescent="0.15">
      <c r="A464" s="21">
        <v>463</v>
      </c>
      <c r="B464" s="21" t="s">
        <v>468</v>
      </c>
      <c r="C464" s="21" t="s">
        <v>6</v>
      </c>
    </row>
    <row r="465" spans="1:3" ht="13" x14ac:dyDescent="0.15">
      <c r="A465" s="21">
        <v>464</v>
      </c>
      <c r="B465" s="21" t="s">
        <v>469</v>
      </c>
      <c r="C465" s="21" t="s">
        <v>8</v>
      </c>
    </row>
    <row r="466" spans="1:3" ht="13" x14ac:dyDescent="0.15">
      <c r="A466" s="21">
        <v>465</v>
      </c>
      <c r="B466" s="21" t="s">
        <v>470</v>
      </c>
      <c r="C466" s="21" t="s">
        <v>6</v>
      </c>
    </row>
    <row r="467" spans="1:3" ht="13" x14ac:dyDescent="0.15">
      <c r="A467" s="21">
        <v>466</v>
      </c>
      <c r="B467" s="21" t="s">
        <v>471</v>
      </c>
      <c r="C467" s="21" t="s">
        <v>8</v>
      </c>
    </row>
    <row r="468" spans="1:3" ht="13" x14ac:dyDescent="0.15">
      <c r="A468" s="21">
        <v>467</v>
      </c>
      <c r="B468" s="21" t="s">
        <v>472</v>
      </c>
      <c r="C468" s="21" t="s">
        <v>6</v>
      </c>
    </row>
    <row r="469" spans="1:3" ht="13" x14ac:dyDescent="0.15">
      <c r="A469" s="21">
        <v>468</v>
      </c>
      <c r="B469" s="21" t="s">
        <v>473</v>
      </c>
      <c r="C469" s="21" t="s">
        <v>8</v>
      </c>
    </row>
    <row r="470" spans="1:3" ht="13" x14ac:dyDescent="0.15">
      <c r="A470" s="21">
        <v>469</v>
      </c>
      <c r="B470" s="21" t="s">
        <v>474</v>
      </c>
      <c r="C470" s="21" t="s">
        <v>6</v>
      </c>
    </row>
    <row r="471" spans="1:3" ht="13" x14ac:dyDescent="0.15">
      <c r="A471" s="21">
        <v>470</v>
      </c>
      <c r="B471" s="21" t="s">
        <v>475</v>
      </c>
      <c r="C471" s="21" t="s">
        <v>8</v>
      </c>
    </row>
    <row r="472" spans="1:3" ht="13" x14ac:dyDescent="0.15">
      <c r="A472" s="21">
        <v>471</v>
      </c>
      <c r="B472" s="21" t="s">
        <v>476</v>
      </c>
      <c r="C472" s="21" t="s">
        <v>4</v>
      </c>
    </row>
    <row r="473" spans="1:3" ht="13" x14ac:dyDescent="0.15">
      <c r="A473" s="21">
        <v>472</v>
      </c>
      <c r="B473" s="21" t="s">
        <v>477</v>
      </c>
      <c r="C473" s="21" t="s">
        <v>6</v>
      </c>
    </row>
    <row r="474" spans="1:3" ht="13" x14ac:dyDescent="0.15">
      <c r="A474" s="21">
        <v>473</v>
      </c>
      <c r="B474" s="21" t="s">
        <v>478</v>
      </c>
      <c r="C474" s="21" t="s">
        <v>8</v>
      </c>
    </row>
    <row r="475" spans="1:3" ht="13" x14ac:dyDescent="0.15">
      <c r="A475" s="21">
        <v>474</v>
      </c>
      <c r="B475" s="21" t="s">
        <v>479</v>
      </c>
      <c r="C475" s="21" t="s">
        <v>6</v>
      </c>
    </row>
    <row r="476" spans="1:3" ht="13" x14ac:dyDescent="0.15">
      <c r="A476" s="21">
        <v>475</v>
      </c>
      <c r="B476" s="21" t="s">
        <v>480</v>
      </c>
      <c r="C476" s="21" t="s">
        <v>4</v>
      </c>
    </row>
    <row r="477" spans="1:3" ht="13" x14ac:dyDescent="0.15">
      <c r="A477" s="21">
        <v>476</v>
      </c>
      <c r="B477" s="21" t="s">
        <v>481</v>
      </c>
      <c r="C477" s="21" t="s">
        <v>8</v>
      </c>
    </row>
    <row r="478" spans="1:3" ht="13" x14ac:dyDescent="0.15">
      <c r="A478" s="21">
        <v>477</v>
      </c>
      <c r="B478" s="21" t="s">
        <v>482</v>
      </c>
      <c r="C478" s="21" t="s">
        <v>4</v>
      </c>
    </row>
    <row r="479" spans="1:3" ht="13" x14ac:dyDescent="0.15">
      <c r="A479" s="21">
        <v>478</v>
      </c>
      <c r="B479" s="21" t="s">
        <v>483</v>
      </c>
      <c r="C479" s="21" t="s">
        <v>6</v>
      </c>
    </row>
    <row r="480" spans="1:3" ht="13" x14ac:dyDescent="0.15">
      <c r="A480" s="21">
        <v>479</v>
      </c>
      <c r="B480" s="21" t="s">
        <v>484</v>
      </c>
      <c r="C480" s="21" t="s">
        <v>8</v>
      </c>
    </row>
    <row r="481" spans="1:3" ht="13" x14ac:dyDescent="0.15">
      <c r="A481" s="21">
        <v>480</v>
      </c>
      <c r="B481" s="21" t="s">
        <v>485</v>
      </c>
      <c r="C481" s="21" t="s">
        <v>49</v>
      </c>
    </row>
    <row r="482" spans="1:3" ht="13" x14ac:dyDescent="0.15">
      <c r="A482" s="21">
        <v>481</v>
      </c>
      <c r="B482" s="21" t="s">
        <v>486</v>
      </c>
      <c r="C482" s="21" t="s">
        <v>6</v>
      </c>
    </row>
    <row r="483" spans="1:3" ht="13" x14ac:dyDescent="0.15">
      <c r="A483" s="21">
        <v>482</v>
      </c>
      <c r="B483" s="21" t="s">
        <v>487</v>
      </c>
      <c r="C483" s="21" t="s">
        <v>49</v>
      </c>
    </row>
    <row r="484" spans="1:3" ht="13" x14ac:dyDescent="0.15">
      <c r="A484" s="21">
        <v>483</v>
      </c>
      <c r="B484" s="21" t="s">
        <v>488</v>
      </c>
      <c r="C484" s="21" t="s">
        <v>8</v>
      </c>
    </row>
    <row r="485" spans="1:3" ht="13" x14ac:dyDescent="0.15">
      <c r="A485" s="21">
        <v>484</v>
      </c>
      <c r="B485" s="21" t="s">
        <v>489</v>
      </c>
      <c r="C485" s="21" t="s">
        <v>8</v>
      </c>
    </row>
    <row r="486" spans="1:3" ht="13" x14ac:dyDescent="0.15">
      <c r="A486" s="21">
        <v>485</v>
      </c>
      <c r="B486" s="21" t="s">
        <v>490</v>
      </c>
      <c r="C486" s="21" t="s">
        <v>49</v>
      </c>
    </row>
    <row r="487" spans="1:3" ht="13" x14ac:dyDescent="0.15">
      <c r="A487" s="21">
        <v>486</v>
      </c>
      <c r="B487" s="21" t="s">
        <v>491</v>
      </c>
      <c r="C487" s="21" t="s">
        <v>6</v>
      </c>
    </row>
    <row r="488" spans="1:3" ht="13" x14ac:dyDescent="0.15">
      <c r="A488" s="21">
        <v>487</v>
      </c>
      <c r="B488" s="21" t="s">
        <v>492</v>
      </c>
      <c r="C488" s="21" t="s">
        <v>8</v>
      </c>
    </row>
    <row r="489" spans="1:3" ht="13" x14ac:dyDescent="0.15">
      <c r="A489" s="21">
        <v>488</v>
      </c>
      <c r="B489" s="21" t="s">
        <v>493</v>
      </c>
      <c r="C489" s="21" t="s">
        <v>8</v>
      </c>
    </row>
    <row r="490" spans="1:3" ht="13" x14ac:dyDescent="0.15">
      <c r="A490" s="21">
        <v>489</v>
      </c>
      <c r="B490" s="21" t="s">
        <v>494</v>
      </c>
      <c r="C490" s="21" t="s">
        <v>8</v>
      </c>
    </row>
    <row r="491" spans="1:3" ht="13" x14ac:dyDescent="0.15">
      <c r="A491" s="21">
        <v>490</v>
      </c>
      <c r="B491" s="21" t="s">
        <v>495</v>
      </c>
      <c r="C491" s="21" t="s">
        <v>6</v>
      </c>
    </row>
    <row r="492" spans="1:3" ht="13" x14ac:dyDescent="0.15">
      <c r="A492" s="21">
        <v>491</v>
      </c>
      <c r="B492" s="21" t="s">
        <v>496</v>
      </c>
      <c r="C492" s="21" t="s">
        <v>8</v>
      </c>
    </row>
    <row r="493" spans="1:3" ht="13" x14ac:dyDescent="0.15">
      <c r="A493" s="21">
        <v>492</v>
      </c>
      <c r="B493" s="21" t="s">
        <v>497</v>
      </c>
      <c r="C493" s="21" t="s">
        <v>4</v>
      </c>
    </row>
    <row r="494" spans="1:3" ht="13" x14ac:dyDescent="0.15">
      <c r="A494" s="21">
        <v>493</v>
      </c>
      <c r="B494" s="21" t="s">
        <v>498</v>
      </c>
      <c r="C494" s="21" t="s">
        <v>4</v>
      </c>
    </row>
    <row r="495" spans="1:3" ht="13" x14ac:dyDescent="0.15">
      <c r="A495" s="21">
        <v>494</v>
      </c>
      <c r="B495" s="21" t="s">
        <v>499</v>
      </c>
      <c r="C495" s="21" t="s">
        <v>4</v>
      </c>
    </row>
    <row r="496" spans="1:3" ht="13" x14ac:dyDescent="0.15">
      <c r="A496" s="21">
        <v>495</v>
      </c>
      <c r="B496" s="21" t="s">
        <v>500</v>
      </c>
      <c r="C496" s="21" t="s">
        <v>6</v>
      </c>
    </row>
    <row r="497" spans="1:3" ht="13" x14ac:dyDescent="0.15">
      <c r="A497" s="21">
        <v>496</v>
      </c>
      <c r="B497" s="21" t="s">
        <v>501</v>
      </c>
      <c r="C497" s="21" t="s">
        <v>6</v>
      </c>
    </row>
    <row r="498" spans="1:3" ht="13" x14ac:dyDescent="0.15">
      <c r="A498" s="21">
        <v>497</v>
      </c>
      <c r="B498" s="21" t="s">
        <v>502</v>
      </c>
      <c r="C498" s="21" t="s">
        <v>8</v>
      </c>
    </row>
    <row r="499" spans="1:3" ht="13" x14ac:dyDescent="0.15">
      <c r="A499" s="21">
        <v>498</v>
      </c>
      <c r="B499" s="21" t="s">
        <v>503</v>
      </c>
      <c r="C499" s="21" t="s">
        <v>49</v>
      </c>
    </row>
    <row r="500" spans="1:3" ht="13" x14ac:dyDescent="0.15">
      <c r="A500" s="21">
        <v>499</v>
      </c>
      <c r="B500" s="21" t="s">
        <v>504</v>
      </c>
      <c r="C500" s="21" t="s">
        <v>6</v>
      </c>
    </row>
    <row r="501" spans="1:3" ht="13" x14ac:dyDescent="0.15">
      <c r="A501" s="21">
        <v>500</v>
      </c>
      <c r="B501" s="21" t="s">
        <v>505</v>
      </c>
      <c r="C501" s="21" t="s">
        <v>6</v>
      </c>
    </row>
    <row r="502" spans="1:3" ht="13" x14ac:dyDescent="0.15">
      <c r="A502" s="21">
        <v>501</v>
      </c>
      <c r="B502" s="21" t="s">
        <v>506</v>
      </c>
      <c r="C502" s="21" t="s">
        <v>6</v>
      </c>
    </row>
    <row r="503" spans="1:3" ht="13" x14ac:dyDescent="0.15">
      <c r="A503" s="21">
        <v>502</v>
      </c>
      <c r="B503" s="21" t="s">
        <v>507</v>
      </c>
      <c r="C503" s="21" t="s">
        <v>6</v>
      </c>
    </row>
    <row r="504" spans="1:3" ht="13" x14ac:dyDescent="0.15">
      <c r="A504" s="21">
        <v>503</v>
      </c>
      <c r="B504" s="21" t="s">
        <v>508</v>
      </c>
      <c r="C504" s="21" t="s">
        <v>6</v>
      </c>
    </row>
    <row r="505" spans="1:3" ht="13" x14ac:dyDescent="0.15">
      <c r="A505" s="21">
        <v>504</v>
      </c>
      <c r="B505" s="21" t="s">
        <v>509</v>
      </c>
      <c r="C505" s="21" t="s">
        <v>8</v>
      </c>
    </row>
    <row r="506" spans="1:3" ht="13" x14ac:dyDescent="0.15">
      <c r="A506" s="21">
        <v>505</v>
      </c>
      <c r="B506" s="21" t="s">
        <v>510</v>
      </c>
      <c r="C506" s="21" t="s">
        <v>8</v>
      </c>
    </row>
    <row r="507" spans="1:3" ht="13" x14ac:dyDescent="0.15">
      <c r="A507" s="21">
        <v>506</v>
      </c>
      <c r="B507" s="21" t="s">
        <v>511</v>
      </c>
      <c r="C507" s="21" t="s">
        <v>6</v>
      </c>
    </row>
    <row r="508" spans="1:3" ht="13" x14ac:dyDescent="0.15">
      <c r="A508" s="21">
        <v>507</v>
      </c>
      <c r="B508" s="21" t="s">
        <v>512</v>
      </c>
      <c r="C508" s="21" t="s">
        <v>6</v>
      </c>
    </row>
    <row r="509" spans="1:3" ht="13" x14ac:dyDescent="0.15">
      <c r="A509" s="21">
        <v>508</v>
      </c>
      <c r="B509" s="21" t="s">
        <v>513</v>
      </c>
      <c r="C509" s="21" t="s">
        <v>6</v>
      </c>
    </row>
    <row r="510" spans="1:3" ht="13" x14ac:dyDescent="0.15">
      <c r="A510" s="21">
        <v>509</v>
      </c>
      <c r="B510" s="21" t="s">
        <v>514</v>
      </c>
      <c r="C510" s="21" t="s">
        <v>6</v>
      </c>
    </row>
    <row r="511" spans="1:3" ht="13" x14ac:dyDescent="0.15">
      <c r="A511" s="21">
        <v>510</v>
      </c>
      <c r="B511" s="21" t="s">
        <v>515</v>
      </c>
      <c r="C511" s="21" t="s">
        <v>49</v>
      </c>
    </row>
    <row r="512" spans="1:3" ht="13" x14ac:dyDescent="0.15">
      <c r="A512" s="21">
        <v>511</v>
      </c>
      <c r="B512" s="21" t="s">
        <v>516</v>
      </c>
      <c r="C512" s="21" t="s">
        <v>8</v>
      </c>
    </row>
    <row r="513" spans="1:3" ht="13" x14ac:dyDescent="0.15">
      <c r="A513" s="21">
        <v>512</v>
      </c>
      <c r="B513" s="21" t="s">
        <v>517</v>
      </c>
      <c r="C513" s="21" t="s">
        <v>8</v>
      </c>
    </row>
    <row r="514" spans="1:3" ht="13" x14ac:dyDescent="0.15">
      <c r="A514" s="21">
        <v>513</v>
      </c>
      <c r="B514" s="21" t="s">
        <v>518</v>
      </c>
      <c r="C514" s="21" t="s">
        <v>8</v>
      </c>
    </row>
    <row r="515" spans="1:3" ht="13" x14ac:dyDescent="0.15">
      <c r="A515" s="21">
        <v>514</v>
      </c>
      <c r="B515" s="21" t="s">
        <v>519</v>
      </c>
      <c r="C515" s="21" t="s">
        <v>49</v>
      </c>
    </row>
    <row r="516" spans="1:3" ht="13" x14ac:dyDescent="0.15">
      <c r="A516" s="21">
        <v>515</v>
      </c>
      <c r="B516" s="21" t="s">
        <v>520</v>
      </c>
      <c r="C516" s="21" t="s">
        <v>49</v>
      </c>
    </row>
    <row r="517" spans="1:3" ht="13" x14ac:dyDescent="0.15">
      <c r="A517" s="21">
        <v>516</v>
      </c>
      <c r="B517" s="21" t="s">
        <v>521</v>
      </c>
      <c r="C517" s="21" t="s">
        <v>49</v>
      </c>
    </row>
    <row r="518" spans="1:3" ht="13" x14ac:dyDescent="0.15">
      <c r="A518" s="21">
        <v>517</v>
      </c>
      <c r="B518" s="21" t="s">
        <v>522</v>
      </c>
      <c r="C518" s="21" t="s">
        <v>49</v>
      </c>
    </row>
    <row r="519" spans="1:3" ht="13" x14ac:dyDescent="0.15">
      <c r="A519" s="21">
        <v>518</v>
      </c>
      <c r="B519" s="21" t="s">
        <v>523</v>
      </c>
      <c r="C519" s="21" t="s">
        <v>49</v>
      </c>
    </row>
    <row r="520" spans="1:3" ht="13" x14ac:dyDescent="0.15">
      <c r="A520" s="21">
        <v>519</v>
      </c>
      <c r="B520" s="21" t="s">
        <v>524</v>
      </c>
      <c r="C520" s="21" t="s">
        <v>6</v>
      </c>
    </row>
    <row r="521" spans="1:3" ht="13" x14ac:dyDescent="0.15">
      <c r="A521" s="21">
        <v>520</v>
      </c>
      <c r="B521" s="21" t="s">
        <v>525</v>
      </c>
      <c r="C521" s="21" t="s">
        <v>49</v>
      </c>
    </row>
    <row r="522" spans="1:3" ht="13" x14ac:dyDescent="0.15">
      <c r="A522" s="21">
        <v>521</v>
      </c>
      <c r="B522" s="21" t="s">
        <v>526</v>
      </c>
      <c r="C522" s="21" t="s">
        <v>49</v>
      </c>
    </row>
    <row r="523" spans="1:3" ht="13" x14ac:dyDescent="0.15">
      <c r="A523" s="21">
        <v>522</v>
      </c>
      <c r="B523" s="21" t="s">
        <v>527</v>
      </c>
      <c r="C523" s="21" t="s">
        <v>49</v>
      </c>
    </row>
    <row r="524" spans="1:3" ht="13" x14ac:dyDescent="0.15">
      <c r="A524" s="21">
        <v>523</v>
      </c>
      <c r="B524" s="21" t="s">
        <v>528</v>
      </c>
      <c r="C524" s="21" t="s">
        <v>49</v>
      </c>
    </row>
    <row r="525" spans="1:3" ht="13" x14ac:dyDescent="0.15">
      <c r="A525" s="21">
        <v>524</v>
      </c>
      <c r="B525" s="21" t="s">
        <v>529</v>
      </c>
      <c r="C525" s="21" t="s">
        <v>8</v>
      </c>
    </row>
    <row r="526" spans="1:3" ht="13" x14ac:dyDescent="0.15">
      <c r="A526" s="21">
        <v>526</v>
      </c>
      <c r="B526" s="21" t="s">
        <v>530</v>
      </c>
      <c r="C526" s="21" t="s">
        <v>49</v>
      </c>
    </row>
    <row r="527" spans="1:3" ht="13" x14ac:dyDescent="0.15">
      <c r="A527" s="21">
        <v>527</v>
      </c>
      <c r="B527" s="21" t="s">
        <v>531</v>
      </c>
      <c r="C527" s="21" t="s">
        <v>49</v>
      </c>
    </row>
    <row r="528" spans="1:3" ht="13" x14ac:dyDescent="0.15">
      <c r="A528" s="21">
        <v>528</v>
      </c>
      <c r="B528" s="21" t="s">
        <v>532</v>
      </c>
      <c r="C528" s="21" t="s">
        <v>8</v>
      </c>
    </row>
    <row r="529" spans="1:3" ht="13" x14ac:dyDescent="0.15">
      <c r="A529" s="21">
        <v>529</v>
      </c>
      <c r="B529" s="21" t="s">
        <v>533</v>
      </c>
      <c r="C529" s="21" t="s">
        <v>8</v>
      </c>
    </row>
    <row r="530" spans="1:3" ht="13" x14ac:dyDescent="0.15">
      <c r="A530" s="21">
        <v>530</v>
      </c>
      <c r="B530" s="21" t="s">
        <v>534</v>
      </c>
      <c r="C530" s="21" t="s">
        <v>49</v>
      </c>
    </row>
    <row r="531" spans="1:3" ht="13" x14ac:dyDescent="0.15">
      <c r="A531" s="21">
        <v>531</v>
      </c>
      <c r="B531" s="21" t="s">
        <v>391</v>
      </c>
      <c r="C531" s="21" t="s">
        <v>8</v>
      </c>
    </row>
    <row r="532" spans="1:3" ht="13" x14ac:dyDescent="0.15">
      <c r="A532" s="21">
        <v>532</v>
      </c>
      <c r="B532" s="21" t="s">
        <v>535</v>
      </c>
      <c r="C532" s="21" t="s">
        <v>49</v>
      </c>
    </row>
    <row r="533" spans="1:3" ht="13" x14ac:dyDescent="0.15">
      <c r="A533" s="21">
        <v>533</v>
      </c>
      <c r="B533" s="21" t="s">
        <v>536</v>
      </c>
      <c r="C533" s="21" t="s">
        <v>6</v>
      </c>
    </row>
    <row r="534" spans="1:3" ht="13" x14ac:dyDescent="0.15">
      <c r="A534" s="21">
        <v>534</v>
      </c>
      <c r="B534" s="21" t="s">
        <v>537</v>
      </c>
      <c r="C534" s="21" t="s">
        <v>49</v>
      </c>
    </row>
    <row r="535" spans="1:3" ht="13" x14ac:dyDescent="0.15">
      <c r="A535" s="21">
        <v>535</v>
      </c>
      <c r="B535" s="21" t="s">
        <v>538</v>
      </c>
      <c r="C535" s="21" t="s">
        <v>6</v>
      </c>
    </row>
    <row r="536" spans="1:3" ht="13" x14ac:dyDescent="0.15">
      <c r="A536" s="21">
        <v>536</v>
      </c>
      <c r="B536" s="21" t="s">
        <v>539</v>
      </c>
      <c r="C536" s="21" t="s">
        <v>8</v>
      </c>
    </row>
    <row r="537" spans="1:3" ht="13" x14ac:dyDescent="0.15">
      <c r="A537" s="21">
        <v>537</v>
      </c>
      <c r="B537" s="21" t="s">
        <v>540</v>
      </c>
      <c r="C537" s="21" t="s">
        <v>49</v>
      </c>
    </row>
    <row r="538" spans="1:3" ht="13" x14ac:dyDescent="0.15">
      <c r="A538" s="21">
        <v>538</v>
      </c>
      <c r="B538" s="21" t="s">
        <v>541</v>
      </c>
      <c r="C538" s="21" t="s">
        <v>49</v>
      </c>
    </row>
    <row r="539" spans="1:3" ht="13" x14ac:dyDescent="0.15">
      <c r="A539" s="21">
        <v>539</v>
      </c>
      <c r="B539" s="21" t="s">
        <v>542</v>
      </c>
      <c r="C539" s="21" t="s">
        <v>8</v>
      </c>
    </row>
    <row r="540" spans="1:3" ht="13" x14ac:dyDescent="0.15">
      <c r="A540" s="21">
        <v>540</v>
      </c>
      <c r="B540" s="21" t="s">
        <v>543</v>
      </c>
      <c r="C540" s="21" t="s">
        <v>6</v>
      </c>
    </row>
    <row r="541" spans="1:3" ht="13" x14ac:dyDescent="0.15">
      <c r="A541" s="21">
        <v>541</v>
      </c>
      <c r="B541" s="21" t="s">
        <v>544</v>
      </c>
      <c r="C541" s="21" t="s">
        <v>8</v>
      </c>
    </row>
    <row r="542" spans="1:3" ht="13" x14ac:dyDescent="0.15">
      <c r="A542" s="21">
        <v>542</v>
      </c>
      <c r="B542" s="21" t="s">
        <v>545</v>
      </c>
      <c r="C542" s="21" t="s">
        <v>6</v>
      </c>
    </row>
    <row r="543" spans="1:3" ht="13" x14ac:dyDescent="0.15">
      <c r="A543" s="21">
        <v>543</v>
      </c>
      <c r="B543" s="21" t="s">
        <v>546</v>
      </c>
      <c r="C543" s="21" t="s">
        <v>6</v>
      </c>
    </row>
    <row r="544" spans="1:3" ht="13" x14ac:dyDescent="0.15">
      <c r="A544" s="21">
        <v>544</v>
      </c>
      <c r="B544" s="21" t="s">
        <v>547</v>
      </c>
      <c r="C544" s="21" t="s">
        <v>8</v>
      </c>
    </row>
    <row r="545" spans="1:3" ht="13" x14ac:dyDescent="0.15">
      <c r="A545" s="21">
        <v>545</v>
      </c>
      <c r="B545" s="21" t="s">
        <v>548</v>
      </c>
      <c r="C545" s="21" t="s">
        <v>8</v>
      </c>
    </row>
    <row r="546" spans="1:3" ht="13" x14ac:dyDescent="0.15">
      <c r="A546" s="21">
        <v>546</v>
      </c>
      <c r="B546" s="21" t="s">
        <v>549</v>
      </c>
      <c r="C546" s="21" t="s">
        <v>6</v>
      </c>
    </row>
    <row r="547" spans="1:3" ht="13" x14ac:dyDescent="0.15">
      <c r="A547" s="21">
        <v>547</v>
      </c>
      <c r="B547" s="21" t="s">
        <v>550</v>
      </c>
      <c r="C547" s="21" t="s">
        <v>49</v>
      </c>
    </row>
    <row r="548" spans="1:3" ht="13" x14ac:dyDescent="0.15">
      <c r="A548" s="21">
        <v>548</v>
      </c>
      <c r="B548" s="21" t="s">
        <v>551</v>
      </c>
      <c r="C548" s="21" t="s">
        <v>6</v>
      </c>
    </row>
    <row r="549" spans="1:3" ht="13" x14ac:dyDescent="0.15">
      <c r="A549" s="21">
        <v>549</v>
      </c>
      <c r="B549" s="21" t="s">
        <v>552</v>
      </c>
      <c r="C549" s="21" t="s">
        <v>6</v>
      </c>
    </row>
    <row r="550" spans="1:3" ht="13" x14ac:dyDescent="0.15">
      <c r="A550" s="21">
        <v>550</v>
      </c>
      <c r="B550" s="21" t="s">
        <v>553</v>
      </c>
      <c r="C550" s="21" t="s">
        <v>8</v>
      </c>
    </row>
    <row r="551" spans="1:3" ht="13" x14ac:dyDescent="0.15">
      <c r="A551" s="21">
        <v>551</v>
      </c>
      <c r="B551" s="21" t="s">
        <v>554</v>
      </c>
      <c r="C551" s="21" t="s">
        <v>6</v>
      </c>
    </row>
    <row r="552" spans="1:3" ht="13" x14ac:dyDescent="0.15">
      <c r="A552" s="21">
        <v>552</v>
      </c>
      <c r="B552" s="21" t="s">
        <v>555</v>
      </c>
      <c r="C552" s="21" t="s">
        <v>4</v>
      </c>
    </row>
    <row r="553" spans="1:3" ht="13" x14ac:dyDescent="0.15">
      <c r="A553" s="21">
        <v>553</v>
      </c>
      <c r="B553" s="21" t="s">
        <v>556</v>
      </c>
      <c r="C553" s="21" t="s">
        <v>4</v>
      </c>
    </row>
    <row r="554" spans="1:3" ht="13" x14ac:dyDescent="0.15">
      <c r="A554" s="21">
        <v>554</v>
      </c>
      <c r="B554" s="21" t="s">
        <v>557</v>
      </c>
      <c r="C554" s="21" t="s">
        <v>6</v>
      </c>
    </row>
    <row r="555" spans="1:3" ht="13" x14ac:dyDescent="0.15">
      <c r="A555" s="21">
        <v>555</v>
      </c>
      <c r="B555" s="21" t="s">
        <v>558</v>
      </c>
      <c r="C555" s="21" t="s">
        <v>6</v>
      </c>
    </row>
    <row r="556" spans="1:3" ht="13" x14ac:dyDescent="0.15">
      <c r="A556" s="21">
        <v>556</v>
      </c>
      <c r="B556" s="21" t="s">
        <v>559</v>
      </c>
      <c r="C556" s="21" t="s">
        <v>6</v>
      </c>
    </row>
    <row r="557" spans="1:3" ht="13" x14ac:dyDescent="0.15">
      <c r="A557" s="21">
        <v>557</v>
      </c>
      <c r="B557" s="21" t="s">
        <v>560</v>
      </c>
      <c r="C557" s="21" t="s">
        <v>8</v>
      </c>
    </row>
    <row r="558" spans="1:3" ht="13" x14ac:dyDescent="0.15">
      <c r="A558" s="21">
        <v>558</v>
      </c>
      <c r="B558" s="21" t="s">
        <v>561</v>
      </c>
      <c r="C558" s="21" t="s">
        <v>6</v>
      </c>
    </row>
    <row r="559" spans="1:3" ht="13" x14ac:dyDescent="0.15">
      <c r="A559" s="21">
        <v>559</v>
      </c>
      <c r="B559" s="21" t="s">
        <v>562</v>
      </c>
      <c r="C559" s="21" t="s">
        <v>6</v>
      </c>
    </row>
    <row r="560" spans="1:3" ht="13" x14ac:dyDescent="0.15">
      <c r="A560" s="21">
        <v>560</v>
      </c>
      <c r="B560" s="21" t="s">
        <v>563</v>
      </c>
      <c r="C560" s="21" t="s">
        <v>8</v>
      </c>
    </row>
    <row r="561" spans="1:3" ht="13" x14ac:dyDescent="0.15">
      <c r="A561" s="21">
        <v>561</v>
      </c>
      <c r="B561" s="21" t="s">
        <v>564</v>
      </c>
      <c r="C561" s="21" t="s">
        <v>8</v>
      </c>
    </row>
    <row r="562" spans="1:3" ht="13" x14ac:dyDescent="0.15">
      <c r="A562" s="21">
        <v>562</v>
      </c>
      <c r="B562" s="21" t="s">
        <v>565</v>
      </c>
      <c r="C562" s="21" t="s">
        <v>8</v>
      </c>
    </row>
    <row r="563" spans="1:3" ht="13" x14ac:dyDescent="0.15">
      <c r="A563" s="21">
        <v>563</v>
      </c>
      <c r="B563" s="21" t="s">
        <v>566</v>
      </c>
      <c r="C563" s="21" t="s">
        <v>4</v>
      </c>
    </row>
    <row r="564" spans="1:3" ht="13" x14ac:dyDescent="0.15">
      <c r="A564" s="21">
        <v>564</v>
      </c>
      <c r="B564" s="21" t="s">
        <v>567</v>
      </c>
      <c r="C564" s="21" t="s">
        <v>49</v>
      </c>
    </row>
    <row r="565" spans="1:3" ht="13" x14ac:dyDescent="0.15">
      <c r="A565" s="21">
        <v>565</v>
      </c>
      <c r="B565" s="21" t="s">
        <v>568</v>
      </c>
      <c r="C565" s="21" t="s">
        <v>6</v>
      </c>
    </row>
    <row r="566" spans="1:3" ht="13" x14ac:dyDescent="0.15">
      <c r="A566" s="21">
        <v>566</v>
      </c>
      <c r="B566" s="21" t="s">
        <v>569</v>
      </c>
      <c r="C566" s="21" t="s">
        <v>4</v>
      </c>
    </row>
    <row r="567" spans="1:3" ht="13" x14ac:dyDescent="0.15">
      <c r="A567" s="21">
        <v>567</v>
      </c>
      <c r="B567" s="21" t="s">
        <v>570</v>
      </c>
      <c r="C567" s="21" t="s">
        <v>8</v>
      </c>
    </row>
    <row r="568" spans="1:3" ht="13" x14ac:dyDescent="0.15">
      <c r="A568" s="21">
        <v>568</v>
      </c>
      <c r="B568" s="21" t="s">
        <v>571</v>
      </c>
      <c r="C568" s="21" t="s">
        <v>8</v>
      </c>
    </row>
    <row r="569" spans="1:3" ht="13" x14ac:dyDescent="0.15">
      <c r="A569" s="21">
        <v>569</v>
      </c>
      <c r="B569" s="21" t="s">
        <v>428</v>
      </c>
      <c r="C569" s="21" t="s">
        <v>6</v>
      </c>
    </row>
    <row r="570" spans="1:3" ht="13" x14ac:dyDescent="0.15">
      <c r="A570" s="21">
        <v>570</v>
      </c>
      <c r="B570" s="21" t="s">
        <v>572</v>
      </c>
      <c r="C570" s="21" t="s">
        <v>4</v>
      </c>
    </row>
    <row r="571" spans="1:3" ht="13" x14ac:dyDescent="0.15">
      <c r="A571" s="21">
        <v>571</v>
      </c>
      <c r="B571" s="21" t="s">
        <v>573</v>
      </c>
      <c r="C571" s="21" t="s">
        <v>6</v>
      </c>
    </row>
    <row r="572" spans="1:3" ht="13" x14ac:dyDescent="0.15">
      <c r="A572" s="21">
        <v>572</v>
      </c>
      <c r="B572" s="21" t="s">
        <v>574</v>
      </c>
      <c r="C572" s="21" t="s">
        <v>4</v>
      </c>
    </row>
    <row r="573" spans="1:3" ht="13" x14ac:dyDescent="0.15">
      <c r="A573" s="21">
        <v>573</v>
      </c>
      <c r="B573" s="21" t="s">
        <v>575</v>
      </c>
      <c r="C573" s="21" t="s">
        <v>8</v>
      </c>
    </row>
    <row r="574" spans="1:3" ht="13" x14ac:dyDescent="0.15">
      <c r="A574" s="21">
        <v>574</v>
      </c>
      <c r="B574" s="21" t="s">
        <v>576</v>
      </c>
      <c r="C574" s="21" t="s">
        <v>8</v>
      </c>
    </row>
    <row r="575" spans="1:3" ht="13" x14ac:dyDescent="0.15">
      <c r="A575" s="21">
        <v>575</v>
      </c>
      <c r="B575" s="21" t="s">
        <v>577</v>
      </c>
      <c r="C575" s="21" t="s">
        <v>6</v>
      </c>
    </row>
    <row r="576" spans="1:3" ht="13" x14ac:dyDescent="0.15">
      <c r="A576" s="21">
        <v>576</v>
      </c>
      <c r="B576" s="21" t="s">
        <v>578</v>
      </c>
      <c r="C576" s="21" t="s">
        <v>6</v>
      </c>
    </row>
    <row r="577" spans="1:3" ht="13" x14ac:dyDescent="0.15">
      <c r="A577" s="21">
        <v>577</v>
      </c>
      <c r="B577" s="21" t="s">
        <v>579</v>
      </c>
      <c r="C577" s="21" t="s">
        <v>6</v>
      </c>
    </row>
    <row r="578" spans="1:3" ht="13" x14ac:dyDescent="0.15">
      <c r="A578" s="21">
        <v>578</v>
      </c>
      <c r="B578" s="21" t="s">
        <v>580</v>
      </c>
      <c r="C578" s="21" t="s">
        <v>6</v>
      </c>
    </row>
    <row r="579" spans="1:3" ht="13" x14ac:dyDescent="0.15">
      <c r="A579" s="21">
        <v>579</v>
      </c>
      <c r="B579" s="21" t="s">
        <v>581</v>
      </c>
      <c r="C579" s="21" t="s">
        <v>6</v>
      </c>
    </row>
    <row r="580" spans="1:3" ht="13" x14ac:dyDescent="0.15">
      <c r="A580" s="21">
        <v>580</v>
      </c>
      <c r="B580" s="21" t="s">
        <v>582</v>
      </c>
      <c r="C580" s="21" t="s">
        <v>6</v>
      </c>
    </row>
    <row r="581" spans="1:3" ht="13" x14ac:dyDescent="0.15">
      <c r="A581" s="21">
        <v>581</v>
      </c>
      <c r="B581" s="21" t="s">
        <v>583</v>
      </c>
      <c r="C581" s="21" t="s">
        <v>6</v>
      </c>
    </row>
    <row r="582" spans="1:3" ht="13" x14ac:dyDescent="0.15">
      <c r="A582" s="21">
        <v>582</v>
      </c>
      <c r="B582" s="21" t="s">
        <v>584</v>
      </c>
      <c r="C582" s="21" t="s">
        <v>8</v>
      </c>
    </row>
    <row r="583" spans="1:3" ht="13" x14ac:dyDescent="0.15">
      <c r="A583" s="21">
        <v>583</v>
      </c>
      <c r="B583" s="21" t="s">
        <v>585</v>
      </c>
      <c r="C583" s="21" t="s">
        <v>8</v>
      </c>
    </row>
    <row r="584" spans="1:3" ht="13" x14ac:dyDescent="0.15">
      <c r="A584" s="21">
        <v>584</v>
      </c>
      <c r="B584" s="21" t="s">
        <v>456</v>
      </c>
      <c r="C584" s="21" t="s">
        <v>8</v>
      </c>
    </row>
    <row r="585" spans="1:3" ht="13" x14ac:dyDescent="0.15">
      <c r="A585" s="21">
        <v>585</v>
      </c>
      <c r="B585" s="21" t="s">
        <v>586</v>
      </c>
      <c r="C585" s="21" t="s">
        <v>49</v>
      </c>
    </row>
    <row r="586" spans="1:3" ht="13" x14ac:dyDescent="0.15">
      <c r="A586" s="21">
        <v>586</v>
      </c>
      <c r="B586" s="21" t="s">
        <v>587</v>
      </c>
      <c r="C586" s="21" t="s">
        <v>4</v>
      </c>
    </row>
    <row r="587" spans="1:3" ht="13" x14ac:dyDescent="0.15">
      <c r="A587" s="21">
        <v>587</v>
      </c>
      <c r="B587" s="21" t="s">
        <v>588</v>
      </c>
      <c r="C587" s="21" t="s">
        <v>49</v>
      </c>
    </row>
    <row r="588" spans="1:3" ht="13" x14ac:dyDescent="0.15">
      <c r="A588" s="21">
        <v>588</v>
      </c>
      <c r="B588" s="21" t="s">
        <v>589</v>
      </c>
      <c r="C588" s="21" t="s">
        <v>8</v>
      </c>
    </row>
    <row r="589" spans="1:3" ht="13" x14ac:dyDescent="0.15">
      <c r="A589" s="21">
        <v>589</v>
      </c>
      <c r="B589" s="21" t="s">
        <v>590</v>
      </c>
      <c r="C589" s="21" t="s">
        <v>4</v>
      </c>
    </row>
    <row r="590" spans="1:3" ht="13" x14ac:dyDescent="0.15">
      <c r="A590" s="21">
        <v>590</v>
      </c>
      <c r="B590" s="21" t="s">
        <v>591</v>
      </c>
      <c r="C590" s="21" t="s">
        <v>4</v>
      </c>
    </row>
    <row r="591" spans="1:3" ht="13" x14ac:dyDescent="0.15">
      <c r="A591" s="21">
        <v>591</v>
      </c>
      <c r="B591" s="21" t="s">
        <v>592</v>
      </c>
      <c r="C591" s="21" t="s">
        <v>4</v>
      </c>
    </row>
    <row r="592" spans="1:3" ht="13" x14ac:dyDescent="0.15">
      <c r="A592" s="21">
        <v>592</v>
      </c>
      <c r="B592" s="21" t="s">
        <v>593</v>
      </c>
      <c r="C592" s="21" t="s">
        <v>6</v>
      </c>
    </row>
    <row r="593" spans="1:3" ht="13" x14ac:dyDescent="0.15">
      <c r="A593" s="21">
        <v>593</v>
      </c>
      <c r="B593" s="21" t="s">
        <v>594</v>
      </c>
      <c r="C593" s="21" t="s">
        <v>49</v>
      </c>
    </row>
    <row r="594" spans="1:3" ht="13" x14ac:dyDescent="0.15">
      <c r="A594" s="21">
        <v>594</v>
      </c>
      <c r="B594" s="21" t="s">
        <v>595</v>
      </c>
      <c r="C594" s="21" t="s">
        <v>49</v>
      </c>
    </row>
    <row r="595" spans="1:3" ht="13" x14ac:dyDescent="0.15">
      <c r="A595" s="21">
        <v>595</v>
      </c>
      <c r="B595" s="21" t="s">
        <v>596</v>
      </c>
      <c r="C595" s="21" t="s">
        <v>6</v>
      </c>
    </row>
    <row r="596" spans="1:3" ht="13" x14ac:dyDescent="0.15">
      <c r="A596" s="21">
        <v>596</v>
      </c>
      <c r="B596" s="21" t="s">
        <v>597</v>
      </c>
      <c r="C596" s="21" t="s">
        <v>4</v>
      </c>
    </row>
    <row r="597" spans="1:3" ht="13" x14ac:dyDescent="0.15">
      <c r="A597" s="21">
        <v>597</v>
      </c>
      <c r="B597" s="21" t="s">
        <v>598</v>
      </c>
      <c r="C597" s="21" t="s">
        <v>6</v>
      </c>
    </row>
    <row r="598" spans="1:3" ht="13" x14ac:dyDescent="0.15">
      <c r="A598" s="21">
        <v>598</v>
      </c>
      <c r="B598" s="21" t="s">
        <v>599</v>
      </c>
      <c r="C598" s="21" t="s">
        <v>4</v>
      </c>
    </row>
    <row r="599" spans="1:3" ht="13" x14ac:dyDescent="0.15">
      <c r="A599" s="21">
        <v>599</v>
      </c>
      <c r="B599" s="21" t="s">
        <v>600</v>
      </c>
      <c r="C599" s="21" t="s">
        <v>6</v>
      </c>
    </row>
    <row r="600" spans="1:3" ht="13" x14ac:dyDescent="0.15">
      <c r="A600" s="21">
        <v>600</v>
      </c>
      <c r="B600" s="21" t="s">
        <v>601</v>
      </c>
      <c r="C600" s="21" t="s">
        <v>4</v>
      </c>
    </row>
    <row r="601" spans="1:3" ht="13" x14ac:dyDescent="0.15">
      <c r="A601" s="21">
        <v>601</v>
      </c>
      <c r="B601" s="21" t="s">
        <v>602</v>
      </c>
      <c r="C601" s="21" t="s">
        <v>6</v>
      </c>
    </row>
    <row r="602" spans="1:3" ht="13" x14ac:dyDescent="0.15">
      <c r="A602" s="21">
        <v>602</v>
      </c>
      <c r="B602" s="21" t="s">
        <v>603</v>
      </c>
      <c r="C602" s="21" t="s">
        <v>6</v>
      </c>
    </row>
    <row r="603" spans="1:3" ht="13" x14ac:dyDescent="0.15">
      <c r="A603" s="21">
        <v>603</v>
      </c>
      <c r="B603" s="21" t="s">
        <v>604</v>
      </c>
      <c r="C603" s="21" t="s">
        <v>4</v>
      </c>
    </row>
    <row r="604" spans="1:3" ht="13" x14ac:dyDescent="0.15">
      <c r="A604" s="21">
        <v>604</v>
      </c>
      <c r="B604" s="21" t="s">
        <v>605</v>
      </c>
      <c r="C604" s="21" t="s">
        <v>4</v>
      </c>
    </row>
    <row r="605" spans="1:3" ht="13" x14ac:dyDescent="0.15">
      <c r="A605" s="21">
        <v>605</v>
      </c>
      <c r="B605" s="21" t="s">
        <v>606</v>
      </c>
      <c r="C605" s="21" t="s">
        <v>6</v>
      </c>
    </row>
    <row r="606" spans="1:3" ht="13" x14ac:dyDescent="0.15">
      <c r="A606" s="21">
        <v>606</v>
      </c>
      <c r="B606" s="21" t="s">
        <v>320</v>
      </c>
      <c r="C606" s="21" t="s">
        <v>4</v>
      </c>
    </row>
    <row r="607" spans="1:3" ht="13" x14ac:dyDescent="0.15">
      <c r="A607" s="21">
        <v>607</v>
      </c>
      <c r="B607" s="21" t="s">
        <v>607</v>
      </c>
      <c r="C607" s="21" t="s">
        <v>6</v>
      </c>
    </row>
    <row r="608" spans="1:3" ht="13" x14ac:dyDescent="0.15">
      <c r="A608" s="21">
        <v>608</v>
      </c>
      <c r="B608" s="21" t="s">
        <v>608</v>
      </c>
      <c r="C608" s="21" t="s">
        <v>4</v>
      </c>
    </row>
    <row r="609" spans="1:3" ht="13" x14ac:dyDescent="0.15">
      <c r="A609" s="21">
        <v>609</v>
      </c>
      <c r="B609" s="21" t="s">
        <v>609</v>
      </c>
      <c r="C609" s="21" t="s">
        <v>49</v>
      </c>
    </row>
    <row r="610" spans="1:3" ht="13" x14ac:dyDescent="0.15">
      <c r="A610" s="21">
        <v>610</v>
      </c>
      <c r="B610" s="21" t="s">
        <v>610</v>
      </c>
      <c r="C610" s="21" t="s">
        <v>6</v>
      </c>
    </row>
    <row r="611" spans="1:3" ht="13" x14ac:dyDescent="0.15">
      <c r="A611" s="21">
        <v>611</v>
      </c>
      <c r="B611" s="21" t="s">
        <v>611</v>
      </c>
      <c r="C611" s="21" t="s">
        <v>4</v>
      </c>
    </row>
    <row r="612" spans="1:3" ht="13" x14ac:dyDescent="0.15">
      <c r="A612" s="21">
        <v>612</v>
      </c>
      <c r="B612" s="21" t="s">
        <v>612</v>
      </c>
      <c r="C612" s="21" t="s">
        <v>6</v>
      </c>
    </row>
    <row r="613" spans="1:3" ht="13" x14ac:dyDescent="0.15">
      <c r="A613" s="21">
        <v>613</v>
      </c>
      <c r="B613" s="21" t="s">
        <v>613</v>
      </c>
      <c r="C613" s="21" t="s">
        <v>4</v>
      </c>
    </row>
    <row r="614" spans="1:3" ht="13" x14ac:dyDescent="0.15">
      <c r="A614" s="21">
        <v>614</v>
      </c>
      <c r="B614" s="21" t="s">
        <v>614</v>
      </c>
      <c r="C614" s="21" t="s">
        <v>6</v>
      </c>
    </row>
    <row r="615" spans="1:3" ht="13" x14ac:dyDescent="0.15">
      <c r="A615" s="21">
        <v>615</v>
      </c>
      <c r="B615" s="21" t="s">
        <v>615</v>
      </c>
      <c r="C615" s="21" t="s">
        <v>6</v>
      </c>
    </row>
    <row r="616" spans="1:3" ht="13" x14ac:dyDescent="0.15">
      <c r="A616" s="21">
        <v>616</v>
      </c>
      <c r="B616" s="21" t="s">
        <v>616</v>
      </c>
      <c r="C616" s="21" t="s">
        <v>8</v>
      </c>
    </row>
    <row r="617" spans="1:3" ht="13" x14ac:dyDescent="0.15">
      <c r="A617" s="21">
        <v>617</v>
      </c>
      <c r="B617" s="21" t="s">
        <v>617</v>
      </c>
      <c r="C617" s="21" t="s">
        <v>4</v>
      </c>
    </row>
    <row r="618" spans="1:3" ht="13" x14ac:dyDescent="0.15">
      <c r="A618" s="21">
        <v>618</v>
      </c>
      <c r="B618" s="21" t="s">
        <v>618</v>
      </c>
      <c r="C618" s="21" t="s">
        <v>4</v>
      </c>
    </row>
    <row r="619" spans="1:3" ht="13" x14ac:dyDescent="0.15">
      <c r="A619" s="21">
        <v>619</v>
      </c>
      <c r="B619" s="21" t="s">
        <v>619</v>
      </c>
      <c r="C619" s="21" t="s">
        <v>6</v>
      </c>
    </row>
    <row r="620" spans="1:3" ht="13" x14ac:dyDescent="0.15">
      <c r="A620" s="21">
        <v>620</v>
      </c>
      <c r="B620" s="21" t="s">
        <v>620</v>
      </c>
      <c r="C620" s="21" t="s">
        <v>8</v>
      </c>
    </row>
    <row r="621" spans="1:3" ht="13" x14ac:dyDescent="0.15">
      <c r="A621" s="21">
        <v>621</v>
      </c>
      <c r="B621" s="21" t="s">
        <v>621</v>
      </c>
      <c r="C621" s="21" t="s">
        <v>6</v>
      </c>
    </row>
    <row r="622" spans="1:3" ht="13" x14ac:dyDescent="0.15">
      <c r="A622" s="21">
        <v>622</v>
      </c>
      <c r="B622" s="21" t="s">
        <v>622</v>
      </c>
      <c r="C622" s="21" t="s">
        <v>6</v>
      </c>
    </row>
    <row r="623" spans="1:3" ht="13" x14ac:dyDescent="0.15">
      <c r="A623" s="21">
        <v>623</v>
      </c>
      <c r="B623" s="21" t="s">
        <v>623</v>
      </c>
      <c r="C623" s="21" t="s">
        <v>8</v>
      </c>
    </row>
    <row r="624" spans="1:3" ht="13" x14ac:dyDescent="0.15">
      <c r="A624" s="21">
        <v>624</v>
      </c>
      <c r="B624" s="21" t="s">
        <v>624</v>
      </c>
      <c r="C624" s="21" t="s">
        <v>6</v>
      </c>
    </row>
    <row r="625" spans="1:3" ht="13" x14ac:dyDescent="0.15">
      <c r="A625" s="21">
        <v>625</v>
      </c>
      <c r="B625" s="21" t="s">
        <v>625</v>
      </c>
      <c r="C625" s="21" t="s">
        <v>6</v>
      </c>
    </row>
    <row r="626" spans="1:3" ht="13" x14ac:dyDescent="0.15">
      <c r="A626" s="21">
        <v>626</v>
      </c>
      <c r="B626" s="21" t="s">
        <v>626</v>
      </c>
      <c r="C626" s="21" t="s">
        <v>4</v>
      </c>
    </row>
    <row r="627" spans="1:3" ht="13" x14ac:dyDescent="0.15">
      <c r="A627" s="21">
        <v>627</v>
      </c>
      <c r="B627" s="21" t="s">
        <v>414</v>
      </c>
      <c r="C627" s="21" t="s">
        <v>4</v>
      </c>
    </row>
    <row r="628" spans="1:3" ht="13" x14ac:dyDescent="0.15">
      <c r="A628" s="21">
        <v>628</v>
      </c>
      <c r="B628" s="21" t="s">
        <v>627</v>
      </c>
      <c r="C628" s="21" t="s">
        <v>6</v>
      </c>
    </row>
    <row r="629" spans="1:3" ht="13" x14ac:dyDescent="0.15">
      <c r="A629" s="21">
        <v>629</v>
      </c>
      <c r="B629" s="21" t="s">
        <v>628</v>
      </c>
      <c r="C629" s="21" t="s">
        <v>8</v>
      </c>
    </row>
    <row r="630" spans="1:3" ht="13" x14ac:dyDescent="0.15">
      <c r="A630" s="21">
        <v>630</v>
      </c>
      <c r="B630" s="21" t="s">
        <v>629</v>
      </c>
      <c r="C630" s="21" t="s">
        <v>4</v>
      </c>
    </row>
    <row r="631" spans="1:3" ht="13" x14ac:dyDescent="0.15">
      <c r="A631" s="21">
        <v>631</v>
      </c>
      <c r="B631" s="21" t="s">
        <v>630</v>
      </c>
      <c r="C631" s="21" t="s">
        <v>6</v>
      </c>
    </row>
    <row r="632" spans="1:3" ht="13" x14ac:dyDescent="0.15">
      <c r="A632" s="21">
        <v>632</v>
      </c>
      <c r="B632" s="21" t="s">
        <v>631</v>
      </c>
      <c r="C632" s="21" t="s">
        <v>8</v>
      </c>
    </row>
    <row r="633" spans="1:3" ht="13" x14ac:dyDescent="0.15">
      <c r="A633" s="21">
        <v>633</v>
      </c>
      <c r="B633" s="21" t="s">
        <v>632</v>
      </c>
      <c r="C633" s="21" t="s">
        <v>8</v>
      </c>
    </row>
    <row r="634" spans="1:3" ht="13" x14ac:dyDescent="0.15">
      <c r="A634" s="21">
        <v>634</v>
      </c>
      <c r="B634" s="21" t="s">
        <v>365</v>
      </c>
      <c r="C634" s="21" t="s">
        <v>4</v>
      </c>
    </row>
    <row r="635" spans="1:3" ht="13" x14ac:dyDescent="0.15">
      <c r="A635" s="21">
        <v>635</v>
      </c>
      <c r="B635" s="21" t="s">
        <v>423</v>
      </c>
      <c r="C635" s="21" t="s">
        <v>4</v>
      </c>
    </row>
    <row r="636" spans="1:3" ht="13" x14ac:dyDescent="0.15">
      <c r="A636" s="21">
        <v>636</v>
      </c>
      <c r="B636" s="21" t="s">
        <v>633</v>
      </c>
      <c r="C636" s="21" t="s">
        <v>4</v>
      </c>
    </row>
    <row r="637" spans="1:3" ht="13" x14ac:dyDescent="0.15">
      <c r="A637" s="21">
        <v>637</v>
      </c>
      <c r="B637" s="21" t="s">
        <v>634</v>
      </c>
      <c r="C637" s="21" t="s">
        <v>4</v>
      </c>
    </row>
    <row r="638" spans="1:3" ht="13" x14ac:dyDescent="0.15">
      <c r="A638" s="21">
        <v>638</v>
      </c>
      <c r="B638" s="21" t="s">
        <v>635</v>
      </c>
      <c r="C638" s="21" t="s">
        <v>8</v>
      </c>
    </row>
    <row r="639" spans="1:3" ht="13" x14ac:dyDescent="0.15">
      <c r="A639" s="21">
        <v>639</v>
      </c>
      <c r="B639" s="21" t="s">
        <v>636</v>
      </c>
      <c r="C639" s="21" t="s">
        <v>6</v>
      </c>
    </row>
    <row r="640" spans="1:3" ht="13" x14ac:dyDescent="0.15">
      <c r="A640" s="21">
        <v>640</v>
      </c>
      <c r="B640" s="21" t="s">
        <v>637</v>
      </c>
      <c r="C640" s="21" t="s">
        <v>4</v>
      </c>
    </row>
    <row r="641" spans="1:3" ht="13" x14ac:dyDescent="0.15">
      <c r="A641" s="21">
        <v>641</v>
      </c>
      <c r="B641" s="21" t="s">
        <v>638</v>
      </c>
      <c r="C641" s="21" t="s">
        <v>4</v>
      </c>
    </row>
    <row r="642" spans="1:3" ht="13" x14ac:dyDescent="0.15">
      <c r="A642" s="21">
        <v>642</v>
      </c>
      <c r="B642" s="21" t="s">
        <v>639</v>
      </c>
      <c r="C642" s="21" t="s">
        <v>8</v>
      </c>
    </row>
    <row r="643" spans="1:3" ht="13" x14ac:dyDescent="0.15">
      <c r="A643" s="21">
        <v>643</v>
      </c>
      <c r="B643" s="21" t="s">
        <v>384</v>
      </c>
      <c r="C643" s="21" t="s">
        <v>4</v>
      </c>
    </row>
    <row r="644" spans="1:3" ht="13" x14ac:dyDescent="0.15">
      <c r="A644" s="21">
        <v>644</v>
      </c>
      <c r="B644" s="21" t="s">
        <v>640</v>
      </c>
      <c r="C644" s="21" t="s">
        <v>8</v>
      </c>
    </row>
    <row r="645" spans="1:3" ht="13" x14ac:dyDescent="0.15">
      <c r="A645" s="21">
        <v>645</v>
      </c>
      <c r="B645" s="21" t="s">
        <v>641</v>
      </c>
      <c r="C645" s="21" t="s">
        <v>4</v>
      </c>
    </row>
    <row r="646" spans="1:3" ht="13" x14ac:dyDescent="0.15">
      <c r="A646" s="21">
        <v>646</v>
      </c>
      <c r="B646" s="21" t="s">
        <v>642</v>
      </c>
      <c r="C646" s="21" t="s">
        <v>6</v>
      </c>
    </row>
    <row r="647" spans="1:3" ht="13" x14ac:dyDescent="0.15">
      <c r="A647" s="21">
        <v>647</v>
      </c>
      <c r="B647" s="21" t="s">
        <v>643</v>
      </c>
      <c r="C647" s="21" t="s">
        <v>4</v>
      </c>
    </row>
    <row r="648" spans="1:3" ht="13" x14ac:dyDescent="0.15">
      <c r="A648" s="21">
        <v>648</v>
      </c>
      <c r="B648" s="21" t="s">
        <v>494</v>
      </c>
      <c r="C648" s="21" t="s">
        <v>4</v>
      </c>
    </row>
    <row r="649" spans="1:3" ht="13" x14ac:dyDescent="0.15">
      <c r="A649" s="21">
        <v>649</v>
      </c>
      <c r="B649" s="21" t="s">
        <v>644</v>
      </c>
      <c r="C649" s="21" t="s">
        <v>8</v>
      </c>
    </row>
    <row r="650" spans="1:3" ht="13" x14ac:dyDescent="0.15">
      <c r="A650" s="21">
        <v>650</v>
      </c>
      <c r="B650" s="21" t="s">
        <v>645</v>
      </c>
      <c r="C650" s="21" t="s">
        <v>6</v>
      </c>
    </row>
    <row r="651" spans="1:3" ht="13" x14ac:dyDescent="0.15">
      <c r="A651" s="21">
        <v>651</v>
      </c>
      <c r="B651" s="21" t="s">
        <v>483</v>
      </c>
      <c r="C651" s="21" t="s">
        <v>4</v>
      </c>
    </row>
    <row r="652" spans="1:3" ht="13" x14ac:dyDescent="0.15">
      <c r="A652" s="21">
        <v>652</v>
      </c>
      <c r="B652" s="21" t="s">
        <v>646</v>
      </c>
      <c r="C652" s="21" t="s">
        <v>8</v>
      </c>
    </row>
    <row r="653" spans="1:3" ht="13" x14ac:dyDescent="0.15">
      <c r="A653" s="21">
        <v>653</v>
      </c>
      <c r="B653" s="21" t="s">
        <v>647</v>
      </c>
      <c r="C653" s="21" t="s">
        <v>4</v>
      </c>
    </row>
    <row r="654" spans="1:3" ht="13" x14ac:dyDescent="0.15">
      <c r="A654" s="21">
        <v>654</v>
      </c>
      <c r="B654" s="21" t="s">
        <v>648</v>
      </c>
      <c r="C654" s="21" t="s">
        <v>4</v>
      </c>
    </row>
    <row r="655" spans="1:3" ht="13" x14ac:dyDescent="0.15">
      <c r="A655" s="21">
        <v>655</v>
      </c>
      <c r="B655" s="21" t="s">
        <v>649</v>
      </c>
      <c r="C655" s="21" t="s">
        <v>4</v>
      </c>
    </row>
    <row r="656" spans="1:3" ht="13" x14ac:dyDescent="0.15">
      <c r="A656" s="21">
        <v>656</v>
      </c>
      <c r="B656" s="21" t="s">
        <v>400</v>
      </c>
      <c r="C656" s="21" t="s">
        <v>4</v>
      </c>
    </row>
    <row r="657" spans="1:3" ht="13" x14ac:dyDescent="0.15">
      <c r="A657" s="21">
        <v>657</v>
      </c>
      <c r="B657" s="21" t="s">
        <v>650</v>
      </c>
      <c r="C657" s="21" t="s">
        <v>8</v>
      </c>
    </row>
    <row r="658" spans="1:3" ht="13" x14ac:dyDescent="0.15">
      <c r="A658" s="21">
        <v>658</v>
      </c>
      <c r="B658" s="21" t="s">
        <v>651</v>
      </c>
      <c r="C658" s="21" t="s">
        <v>6</v>
      </c>
    </row>
    <row r="659" spans="1:3" ht="13" x14ac:dyDescent="0.15">
      <c r="A659" s="21">
        <v>659</v>
      </c>
      <c r="B659" s="21" t="s">
        <v>652</v>
      </c>
      <c r="C659" s="21" t="s">
        <v>4</v>
      </c>
    </row>
    <row r="660" spans="1:3" ht="13" x14ac:dyDescent="0.15">
      <c r="A660" s="21">
        <v>660</v>
      </c>
      <c r="B660" s="21" t="s">
        <v>653</v>
      </c>
      <c r="C660" s="21" t="s">
        <v>6</v>
      </c>
    </row>
    <row r="661" spans="1:3" ht="13" x14ac:dyDescent="0.15">
      <c r="A661" s="21">
        <v>661</v>
      </c>
      <c r="B661" s="21" t="s">
        <v>654</v>
      </c>
      <c r="C661" s="21" t="s">
        <v>4</v>
      </c>
    </row>
    <row r="662" spans="1:3" ht="13" x14ac:dyDescent="0.15">
      <c r="A662" s="21">
        <v>662</v>
      </c>
      <c r="B662" s="21" t="s">
        <v>655</v>
      </c>
      <c r="C662" s="21" t="s">
        <v>6</v>
      </c>
    </row>
    <row r="663" spans="1:3" ht="13" x14ac:dyDescent="0.15">
      <c r="A663" s="21">
        <v>663</v>
      </c>
      <c r="B663" s="21" t="s">
        <v>656</v>
      </c>
      <c r="C663" s="21" t="s">
        <v>8</v>
      </c>
    </row>
    <row r="664" spans="1:3" ht="13" x14ac:dyDescent="0.15">
      <c r="A664" s="21">
        <v>664</v>
      </c>
      <c r="B664" s="21" t="s">
        <v>657</v>
      </c>
      <c r="C664" s="21" t="s">
        <v>4</v>
      </c>
    </row>
    <row r="665" spans="1:3" ht="13" x14ac:dyDescent="0.15">
      <c r="A665" s="21">
        <v>665</v>
      </c>
      <c r="B665" s="21" t="s">
        <v>658</v>
      </c>
      <c r="C665" s="21" t="s">
        <v>6</v>
      </c>
    </row>
    <row r="666" spans="1:3" ht="13" x14ac:dyDescent="0.15">
      <c r="A666" s="21">
        <v>666</v>
      </c>
      <c r="B666" s="21" t="s">
        <v>659</v>
      </c>
      <c r="C666" s="21" t="s">
        <v>6</v>
      </c>
    </row>
    <row r="667" spans="1:3" ht="13" x14ac:dyDescent="0.15">
      <c r="A667" s="21">
        <v>667</v>
      </c>
      <c r="B667" s="21" t="s">
        <v>660</v>
      </c>
      <c r="C667" s="21" t="s">
        <v>8</v>
      </c>
    </row>
    <row r="668" spans="1:3" ht="13" x14ac:dyDescent="0.15">
      <c r="A668" s="21">
        <v>668</v>
      </c>
      <c r="B668" s="21" t="s">
        <v>661</v>
      </c>
      <c r="C668" s="21" t="s">
        <v>8</v>
      </c>
    </row>
    <row r="669" spans="1:3" ht="13" x14ac:dyDescent="0.15">
      <c r="A669" s="21">
        <v>669</v>
      </c>
      <c r="B669" s="21" t="s">
        <v>662</v>
      </c>
      <c r="C669" s="21" t="s">
        <v>4</v>
      </c>
    </row>
    <row r="670" spans="1:3" ht="13" x14ac:dyDescent="0.15">
      <c r="A670" s="21">
        <v>670</v>
      </c>
      <c r="B670" s="21" t="s">
        <v>663</v>
      </c>
      <c r="C670" s="21" t="s">
        <v>6</v>
      </c>
    </row>
    <row r="671" spans="1:3" ht="13" x14ac:dyDescent="0.15">
      <c r="A671" s="21">
        <v>671</v>
      </c>
      <c r="B671" s="21" t="s">
        <v>664</v>
      </c>
      <c r="C671" s="21" t="s">
        <v>8</v>
      </c>
    </row>
    <row r="672" spans="1:3" ht="13" x14ac:dyDescent="0.15">
      <c r="A672" s="21">
        <v>672</v>
      </c>
      <c r="B672" s="21" t="s">
        <v>665</v>
      </c>
      <c r="C672" s="21" t="s">
        <v>6</v>
      </c>
    </row>
    <row r="673" spans="1:3" ht="13" x14ac:dyDescent="0.15">
      <c r="A673" s="21">
        <v>673</v>
      </c>
      <c r="B673" s="21" t="s">
        <v>666</v>
      </c>
      <c r="C673" s="21" t="s">
        <v>8</v>
      </c>
    </row>
    <row r="674" spans="1:3" ht="13" x14ac:dyDescent="0.15">
      <c r="A674" s="21">
        <v>674</v>
      </c>
      <c r="B674" s="21" t="s">
        <v>667</v>
      </c>
      <c r="C674" s="21" t="s">
        <v>6</v>
      </c>
    </row>
    <row r="675" spans="1:3" ht="13" x14ac:dyDescent="0.15">
      <c r="A675" s="21">
        <v>675</v>
      </c>
      <c r="B675" s="21" t="s">
        <v>668</v>
      </c>
      <c r="C675" s="21" t="s">
        <v>4</v>
      </c>
    </row>
    <row r="676" spans="1:3" ht="13" x14ac:dyDescent="0.15">
      <c r="A676" s="21">
        <v>676</v>
      </c>
      <c r="B676" s="21" t="s">
        <v>669</v>
      </c>
      <c r="C676" s="21" t="s">
        <v>8</v>
      </c>
    </row>
    <row r="677" spans="1:3" ht="13" x14ac:dyDescent="0.15">
      <c r="A677" s="21">
        <v>677</v>
      </c>
      <c r="B677" s="21" t="s">
        <v>670</v>
      </c>
      <c r="C677" s="21" t="s">
        <v>6</v>
      </c>
    </row>
    <row r="678" spans="1:3" ht="13" x14ac:dyDescent="0.15">
      <c r="A678" s="21">
        <v>678</v>
      </c>
      <c r="B678" s="21" t="s">
        <v>671</v>
      </c>
      <c r="C678" s="21" t="s">
        <v>49</v>
      </c>
    </row>
    <row r="679" spans="1:3" ht="13" x14ac:dyDescent="0.15">
      <c r="A679" s="21">
        <v>679</v>
      </c>
      <c r="B679" s="21" t="s">
        <v>672</v>
      </c>
      <c r="C679" s="21" t="s">
        <v>6</v>
      </c>
    </row>
    <row r="680" spans="1:3" ht="13" x14ac:dyDescent="0.15">
      <c r="A680" s="21">
        <v>680</v>
      </c>
      <c r="B680" s="21" t="s">
        <v>673</v>
      </c>
      <c r="C680" s="21" t="s">
        <v>8</v>
      </c>
    </row>
    <row r="681" spans="1:3" ht="13" x14ac:dyDescent="0.15">
      <c r="A681" s="21">
        <v>681</v>
      </c>
      <c r="B681" s="21" t="s">
        <v>674</v>
      </c>
      <c r="C681" s="21" t="s">
        <v>6</v>
      </c>
    </row>
    <row r="682" spans="1:3" ht="13" x14ac:dyDescent="0.15">
      <c r="A682" s="21">
        <v>682</v>
      </c>
      <c r="B682" s="21" t="s">
        <v>675</v>
      </c>
      <c r="C682" s="21" t="s">
        <v>4</v>
      </c>
    </row>
    <row r="683" spans="1:3" ht="13" x14ac:dyDescent="0.15">
      <c r="A683" s="21">
        <v>683</v>
      </c>
      <c r="B683" s="21" t="s">
        <v>676</v>
      </c>
      <c r="C683" s="21" t="s">
        <v>8</v>
      </c>
    </row>
    <row r="684" spans="1:3" ht="13" x14ac:dyDescent="0.15">
      <c r="A684" s="21">
        <v>684</v>
      </c>
      <c r="B684" s="21" t="s">
        <v>677</v>
      </c>
      <c r="C684" s="21" t="s">
        <v>6</v>
      </c>
    </row>
    <row r="685" spans="1:3" ht="13" x14ac:dyDescent="0.15">
      <c r="A685" s="21">
        <v>685</v>
      </c>
      <c r="B685" s="21" t="s">
        <v>678</v>
      </c>
      <c r="C685" s="21" t="s">
        <v>8</v>
      </c>
    </row>
    <row r="686" spans="1:3" ht="13" x14ac:dyDescent="0.15">
      <c r="A686" s="21">
        <v>686</v>
      </c>
      <c r="B686" s="21" t="s">
        <v>679</v>
      </c>
      <c r="C686" s="21" t="s">
        <v>6</v>
      </c>
    </row>
    <row r="687" spans="1:3" ht="13" x14ac:dyDescent="0.15">
      <c r="A687" s="21">
        <v>687</v>
      </c>
      <c r="B687" s="21" t="s">
        <v>680</v>
      </c>
      <c r="C687" s="21" t="s">
        <v>6</v>
      </c>
    </row>
    <row r="688" spans="1:3" ht="13" x14ac:dyDescent="0.15">
      <c r="A688" s="21">
        <v>688</v>
      </c>
      <c r="B688" s="21" t="s">
        <v>681</v>
      </c>
      <c r="C688" s="21" t="s">
        <v>49</v>
      </c>
    </row>
    <row r="689" spans="1:3" ht="13" x14ac:dyDescent="0.15">
      <c r="A689" s="21">
        <v>689</v>
      </c>
      <c r="B689" s="21" t="s">
        <v>682</v>
      </c>
      <c r="C689" s="21" t="s">
        <v>4</v>
      </c>
    </row>
    <row r="690" spans="1:3" ht="13" x14ac:dyDescent="0.15">
      <c r="A690" s="21">
        <v>690</v>
      </c>
      <c r="B690" s="21" t="s">
        <v>683</v>
      </c>
      <c r="C690" s="21" t="s">
        <v>4</v>
      </c>
    </row>
    <row r="691" spans="1:3" ht="13" x14ac:dyDescent="0.15">
      <c r="A691" s="21">
        <v>691</v>
      </c>
      <c r="B691" s="21" t="s">
        <v>684</v>
      </c>
      <c r="C691" s="21" t="s">
        <v>49</v>
      </c>
    </row>
    <row r="692" spans="1:3" ht="13" x14ac:dyDescent="0.15">
      <c r="A692" s="21">
        <v>692</v>
      </c>
      <c r="B692" s="21" t="s">
        <v>685</v>
      </c>
      <c r="C692" s="21" t="s">
        <v>6</v>
      </c>
    </row>
    <row r="693" spans="1:3" ht="13" x14ac:dyDescent="0.15">
      <c r="A693" s="21">
        <v>693</v>
      </c>
      <c r="B693" s="21" t="s">
        <v>686</v>
      </c>
      <c r="C693" s="21" t="s">
        <v>6</v>
      </c>
    </row>
    <row r="694" spans="1:3" ht="13" x14ac:dyDescent="0.15">
      <c r="A694" s="21">
        <v>694</v>
      </c>
      <c r="B694" s="21" t="s">
        <v>687</v>
      </c>
      <c r="C694" s="21" t="s">
        <v>6</v>
      </c>
    </row>
    <row r="695" spans="1:3" ht="13" x14ac:dyDescent="0.15">
      <c r="A695" s="21">
        <v>695</v>
      </c>
      <c r="B695" s="21" t="s">
        <v>688</v>
      </c>
      <c r="C695" s="21" t="s">
        <v>6</v>
      </c>
    </row>
    <row r="696" spans="1:3" ht="13" x14ac:dyDescent="0.15">
      <c r="A696" s="21">
        <v>696</v>
      </c>
      <c r="B696" s="21" t="s">
        <v>689</v>
      </c>
      <c r="C696" s="21" t="s">
        <v>6</v>
      </c>
    </row>
    <row r="697" spans="1:3" ht="13" x14ac:dyDescent="0.15">
      <c r="A697" s="21">
        <v>697</v>
      </c>
      <c r="B697" s="21" t="s">
        <v>690</v>
      </c>
      <c r="C697" s="21" t="s">
        <v>4</v>
      </c>
    </row>
    <row r="698" spans="1:3" ht="13" x14ac:dyDescent="0.15">
      <c r="A698" s="21">
        <v>698</v>
      </c>
      <c r="B698" s="21" t="s">
        <v>691</v>
      </c>
      <c r="C698" s="21" t="s">
        <v>8</v>
      </c>
    </row>
    <row r="699" spans="1:3" ht="13" x14ac:dyDescent="0.15">
      <c r="A699" s="21">
        <v>699</v>
      </c>
      <c r="B699" s="21" t="s">
        <v>692</v>
      </c>
      <c r="C699" s="21" t="s">
        <v>8</v>
      </c>
    </row>
    <row r="700" spans="1:3" ht="13" x14ac:dyDescent="0.15">
      <c r="A700" s="21">
        <v>700</v>
      </c>
      <c r="B700" s="21" t="s">
        <v>693</v>
      </c>
      <c r="C700" s="21" t="s">
        <v>4</v>
      </c>
    </row>
    <row r="701" spans="1:3" ht="13" x14ac:dyDescent="0.15">
      <c r="A701" s="21">
        <v>701</v>
      </c>
      <c r="B701" s="21" t="s">
        <v>694</v>
      </c>
      <c r="C701" s="21" t="s">
        <v>8</v>
      </c>
    </row>
    <row r="702" spans="1:3" ht="13" x14ac:dyDescent="0.15">
      <c r="A702" s="21">
        <v>702</v>
      </c>
      <c r="B702" s="21" t="s">
        <v>695</v>
      </c>
      <c r="C702" s="21" t="s">
        <v>6</v>
      </c>
    </row>
    <row r="703" spans="1:3" ht="13" x14ac:dyDescent="0.15">
      <c r="A703" s="21">
        <v>703</v>
      </c>
      <c r="B703" s="21" t="s">
        <v>696</v>
      </c>
      <c r="C703" s="21" t="s">
        <v>4</v>
      </c>
    </row>
    <row r="704" spans="1:3" ht="13" x14ac:dyDescent="0.15">
      <c r="A704" s="21">
        <v>704</v>
      </c>
      <c r="B704" s="21" t="s">
        <v>697</v>
      </c>
      <c r="C704" s="21" t="s">
        <v>6</v>
      </c>
    </row>
    <row r="705" spans="1:3" ht="13" x14ac:dyDescent="0.15">
      <c r="A705" s="21">
        <v>705</v>
      </c>
      <c r="B705" s="21" t="s">
        <v>698</v>
      </c>
      <c r="C705" s="21" t="s">
        <v>6</v>
      </c>
    </row>
    <row r="706" spans="1:3" ht="13" x14ac:dyDescent="0.15">
      <c r="A706" s="21">
        <v>706</v>
      </c>
      <c r="B706" s="21" t="s">
        <v>699</v>
      </c>
      <c r="C706" s="21" t="s">
        <v>49</v>
      </c>
    </row>
    <row r="707" spans="1:3" ht="13" x14ac:dyDescent="0.15">
      <c r="A707" s="21">
        <v>707</v>
      </c>
      <c r="B707" s="21" t="s">
        <v>700</v>
      </c>
      <c r="C707" s="21" t="s">
        <v>49</v>
      </c>
    </row>
    <row r="708" spans="1:3" ht="13" x14ac:dyDescent="0.15">
      <c r="A708" s="21">
        <v>708</v>
      </c>
      <c r="B708" s="21" t="s">
        <v>701</v>
      </c>
      <c r="C708" s="21" t="s">
        <v>49</v>
      </c>
    </row>
    <row r="709" spans="1:3" ht="13" x14ac:dyDescent="0.15">
      <c r="A709" s="21">
        <v>709</v>
      </c>
      <c r="B709" s="21" t="s">
        <v>702</v>
      </c>
      <c r="C709" s="21" t="s">
        <v>8</v>
      </c>
    </row>
    <row r="710" spans="1:3" ht="13" x14ac:dyDescent="0.15">
      <c r="A710" s="21">
        <v>710</v>
      </c>
      <c r="B710" s="21" t="s">
        <v>703</v>
      </c>
      <c r="C710" s="21" t="s">
        <v>6</v>
      </c>
    </row>
    <row r="711" spans="1:3" ht="13" x14ac:dyDescent="0.15">
      <c r="A711" s="21">
        <v>711</v>
      </c>
      <c r="B711" s="21" t="s">
        <v>704</v>
      </c>
      <c r="C711" s="21" t="s">
        <v>8</v>
      </c>
    </row>
    <row r="712" spans="1:3" ht="13" x14ac:dyDescent="0.15">
      <c r="A712" s="21">
        <v>712</v>
      </c>
      <c r="B712" s="21" t="s">
        <v>705</v>
      </c>
      <c r="C712" s="21" t="s">
        <v>8</v>
      </c>
    </row>
    <row r="713" spans="1:3" ht="13" x14ac:dyDescent="0.15">
      <c r="A713" s="21">
        <v>713</v>
      </c>
      <c r="B713" s="21" t="s">
        <v>706</v>
      </c>
      <c r="C713" s="21" t="s">
        <v>6</v>
      </c>
    </row>
    <row r="714" spans="1:3" ht="13" x14ac:dyDescent="0.15">
      <c r="A714" s="21">
        <v>714</v>
      </c>
      <c r="B714" s="21" t="s">
        <v>707</v>
      </c>
      <c r="C714" s="21" t="s">
        <v>6</v>
      </c>
    </row>
    <row r="715" spans="1:3" ht="13" x14ac:dyDescent="0.15">
      <c r="A715" s="21">
        <v>715</v>
      </c>
      <c r="B715" s="21" t="s">
        <v>708</v>
      </c>
      <c r="C715" s="21" t="s">
        <v>6</v>
      </c>
    </row>
    <row r="716" spans="1:3" ht="13" x14ac:dyDescent="0.15">
      <c r="A716" s="21">
        <v>716</v>
      </c>
      <c r="B716" s="21" t="s">
        <v>709</v>
      </c>
      <c r="C716" s="21" t="s">
        <v>49</v>
      </c>
    </row>
    <row r="717" spans="1:3" ht="13" x14ac:dyDescent="0.15">
      <c r="A717" s="21">
        <v>717</v>
      </c>
      <c r="B717" s="21" t="s">
        <v>710</v>
      </c>
      <c r="C717" s="21" t="s">
        <v>4</v>
      </c>
    </row>
    <row r="718" spans="1:3" ht="13" x14ac:dyDescent="0.15">
      <c r="A718" s="21">
        <v>718</v>
      </c>
      <c r="B718" s="21" t="s">
        <v>711</v>
      </c>
      <c r="C718" s="21" t="s">
        <v>6</v>
      </c>
    </row>
    <row r="719" spans="1:3" ht="13" x14ac:dyDescent="0.15">
      <c r="A719" s="21">
        <v>719</v>
      </c>
      <c r="B719" s="21" t="s">
        <v>712</v>
      </c>
      <c r="C719" s="21" t="s">
        <v>6</v>
      </c>
    </row>
    <row r="720" spans="1:3" ht="13" x14ac:dyDescent="0.15">
      <c r="A720" s="21">
        <v>720</v>
      </c>
      <c r="B720" s="21" t="s">
        <v>713</v>
      </c>
      <c r="C720" s="21" t="s">
        <v>6</v>
      </c>
    </row>
    <row r="721" spans="1:3" ht="13" x14ac:dyDescent="0.15">
      <c r="A721" s="21">
        <v>721</v>
      </c>
      <c r="B721" s="21" t="s">
        <v>714</v>
      </c>
      <c r="C721" s="21" t="s">
        <v>6</v>
      </c>
    </row>
    <row r="722" spans="1:3" ht="13" x14ac:dyDescent="0.15">
      <c r="A722" s="21">
        <v>722</v>
      </c>
      <c r="B722" s="21" t="s">
        <v>715</v>
      </c>
      <c r="C722" s="21" t="s">
        <v>4</v>
      </c>
    </row>
    <row r="723" spans="1:3" ht="13" x14ac:dyDescent="0.15">
      <c r="A723" s="21">
        <v>723</v>
      </c>
      <c r="B723" s="21" t="s">
        <v>716</v>
      </c>
      <c r="C723" s="21" t="s">
        <v>6</v>
      </c>
    </row>
    <row r="724" spans="1:3" ht="13" x14ac:dyDescent="0.15">
      <c r="A724" s="21">
        <v>724</v>
      </c>
      <c r="B724" s="21" t="s">
        <v>717</v>
      </c>
      <c r="C724" s="21" t="s">
        <v>8</v>
      </c>
    </row>
    <row r="725" spans="1:3" ht="13" x14ac:dyDescent="0.15">
      <c r="A725" s="21">
        <v>725</v>
      </c>
      <c r="B725" s="21" t="s">
        <v>718</v>
      </c>
      <c r="C725" s="21" t="s">
        <v>8</v>
      </c>
    </row>
    <row r="726" spans="1:3" ht="13" x14ac:dyDescent="0.15">
      <c r="A726" s="21">
        <v>726</v>
      </c>
      <c r="B726" s="21" t="s">
        <v>719</v>
      </c>
      <c r="C726" s="21" t="s">
        <v>8</v>
      </c>
    </row>
    <row r="727" spans="1:3" ht="13" x14ac:dyDescent="0.15">
      <c r="A727" s="21">
        <v>727</v>
      </c>
      <c r="B727" s="21" t="s">
        <v>720</v>
      </c>
      <c r="C727" s="21" t="s">
        <v>6</v>
      </c>
    </row>
    <row r="728" spans="1:3" ht="13" x14ac:dyDescent="0.15">
      <c r="A728" s="21">
        <v>728</v>
      </c>
      <c r="B728" s="21" t="s">
        <v>721</v>
      </c>
      <c r="C728" s="21" t="s">
        <v>6</v>
      </c>
    </row>
    <row r="729" spans="1:3" ht="13" x14ac:dyDescent="0.15">
      <c r="A729" s="21">
        <v>729</v>
      </c>
      <c r="B729" s="21" t="s">
        <v>722</v>
      </c>
      <c r="C729" s="21" t="s">
        <v>6</v>
      </c>
    </row>
    <row r="730" spans="1:3" ht="13" x14ac:dyDescent="0.15">
      <c r="A730" s="21">
        <v>730</v>
      </c>
      <c r="B730" s="21" t="s">
        <v>723</v>
      </c>
      <c r="C730" s="21" t="s">
        <v>8</v>
      </c>
    </row>
    <row r="731" spans="1:3" ht="13" x14ac:dyDescent="0.15">
      <c r="A731" s="21">
        <v>731</v>
      </c>
      <c r="B731" s="21" t="s">
        <v>724</v>
      </c>
      <c r="C731" s="21" t="s">
        <v>4</v>
      </c>
    </row>
    <row r="732" spans="1:3" ht="13" x14ac:dyDescent="0.15">
      <c r="A732" s="21">
        <v>732</v>
      </c>
      <c r="B732" s="21" t="s">
        <v>725</v>
      </c>
      <c r="C732" s="21" t="s">
        <v>6</v>
      </c>
    </row>
    <row r="733" spans="1:3" ht="13" x14ac:dyDescent="0.15">
      <c r="A733" s="21">
        <v>733</v>
      </c>
      <c r="B733" s="21" t="s">
        <v>726</v>
      </c>
      <c r="C733" s="21" t="s">
        <v>6</v>
      </c>
    </row>
    <row r="734" spans="1:3" ht="13" x14ac:dyDescent="0.15">
      <c r="A734" s="21">
        <v>734</v>
      </c>
      <c r="B734" s="21" t="s">
        <v>727</v>
      </c>
      <c r="C734" s="21" t="s">
        <v>6</v>
      </c>
    </row>
    <row r="735" spans="1:3" ht="13" x14ac:dyDescent="0.15">
      <c r="A735" s="21">
        <v>735</v>
      </c>
      <c r="B735" s="21" t="s">
        <v>728</v>
      </c>
      <c r="C735" s="21" t="s">
        <v>6</v>
      </c>
    </row>
    <row r="736" spans="1:3" ht="13" x14ac:dyDescent="0.15">
      <c r="A736" s="21">
        <v>736</v>
      </c>
      <c r="B736" s="21" t="s">
        <v>729</v>
      </c>
      <c r="C736" s="21" t="s">
        <v>8</v>
      </c>
    </row>
    <row r="737" spans="1:3" ht="13" x14ac:dyDescent="0.15">
      <c r="A737" s="21">
        <v>737</v>
      </c>
      <c r="B737" s="21" t="s">
        <v>730</v>
      </c>
      <c r="C737" s="21" t="s">
        <v>4</v>
      </c>
    </row>
    <row r="738" spans="1:3" ht="13" x14ac:dyDescent="0.15">
      <c r="A738" s="21">
        <v>738</v>
      </c>
      <c r="B738" s="21" t="s">
        <v>731</v>
      </c>
      <c r="C738" s="21" t="s">
        <v>8</v>
      </c>
    </row>
    <row r="739" spans="1:3" ht="13" x14ac:dyDescent="0.15">
      <c r="A739" s="21">
        <v>739</v>
      </c>
      <c r="B739" s="21" t="s">
        <v>732</v>
      </c>
      <c r="C739" s="21" t="s">
        <v>49</v>
      </c>
    </row>
    <row r="740" spans="1:3" ht="13" x14ac:dyDescent="0.15">
      <c r="A740" s="21">
        <v>740</v>
      </c>
      <c r="B740" s="21" t="s">
        <v>733</v>
      </c>
      <c r="C740" s="21" t="s">
        <v>49</v>
      </c>
    </row>
    <row r="741" spans="1:3" ht="13" x14ac:dyDescent="0.15">
      <c r="A741" s="21">
        <v>741</v>
      </c>
      <c r="B741" s="21" t="s">
        <v>734</v>
      </c>
      <c r="C741" s="21" t="s">
        <v>4</v>
      </c>
    </row>
    <row r="742" spans="1:3" ht="13" x14ac:dyDescent="0.15">
      <c r="A742" s="21">
        <v>742</v>
      </c>
      <c r="B742" s="21" t="s">
        <v>735</v>
      </c>
      <c r="C742" s="21" t="s">
        <v>4</v>
      </c>
    </row>
    <row r="743" spans="1:3" ht="13" x14ac:dyDescent="0.15">
      <c r="A743" s="21">
        <v>743</v>
      </c>
      <c r="B743" s="21" t="s">
        <v>736</v>
      </c>
      <c r="C743" s="21" t="s">
        <v>4</v>
      </c>
    </row>
    <row r="744" spans="1:3" ht="13" x14ac:dyDescent="0.15">
      <c r="A744" s="21">
        <v>744</v>
      </c>
      <c r="B744" s="21" t="s">
        <v>737</v>
      </c>
      <c r="C744" s="21" t="s">
        <v>8</v>
      </c>
    </row>
    <row r="745" spans="1:3" ht="13" x14ac:dyDescent="0.15">
      <c r="A745" s="21">
        <v>745</v>
      </c>
      <c r="B745" s="21" t="s">
        <v>738</v>
      </c>
      <c r="C745" s="21" t="s">
        <v>8</v>
      </c>
    </row>
    <row r="746" spans="1:3" ht="13" x14ac:dyDescent="0.15">
      <c r="A746" s="21">
        <v>746</v>
      </c>
      <c r="B746" s="21" t="s">
        <v>739</v>
      </c>
      <c r="C746" s="21" t="s">
        <v>8</v>
      </c>
    </row>
    <row r="747" spans="1:3" ht="13" x14ac:dyDescent="0.15">
      <c r="A747" s="21">
        <v>747</v>
      </c>
      <c r="B747" s="21" t="s">
        <v>740</v>
      </c>
      <c r="C747" s="21" t="s">
        <v>8</v>
      </c>
    </row>
    <row r="748" spans="1:3" ht="13" x14ac:dyDescent="0.15">
      <c r="A748" s="21">
        <v>748</v>
      </c>
      <c r="B748" s="21" t="s">
        <v>741</v>
      </c>
      <c r="C748" s="21" t="s">
        <v>8</v>
      </c>
    </row>
    <row r="749" spans="1:3" ht="13" x14ac:dyDescent="0.15">
      <c r="A749" s="21">
        <v>749</v>
      </c>
      <c r="B749" s="21" t="s">
        <v>742</v>
      </c>
      <c r="C749" s="21" t="s">
        <v>8</v>
      </c>
    </row>
    <row r="750" spans="1:3" ht="13" x14ac:dyDescent="0.15">
      <c r="A750" s="21">
        <v>750</v>
      </c>
      <c r="B750" s="21" t="s">
        <v>743</v>
      </c>
      <c r="C750" s="21" t="s">
        <v>6</v>
      </c>
    </row>
    <row r="751" spans="1:3" ht="13" x14ac:dyDescent="0.15">
      <c r="A751" s="21">
        <v>751</v>
      </c>
      <c r="B751" s="21" t="s">
        <v>744</v>
      </c>
      <c r="C751" s="21" t="s">
        <v>49</v>
      </c>
    </row>
    <row r="752" spans="1:3" ht="13" x14ac:dyDescent="0.15">
      <c r="A752" s="21">
        <v>752</v>
      </c>
      <c r="B752" s="21" t="s">
        <v>745</v>
      </c>
      <c r="C752" s="21" t="s">
        <v>6</v>
      </c>
    </row>
    <row r="753" spans="1:3" ht="13" x14ac:dyDescent="0.15">
      <c r="A753" s="21">
        <v>753</v>
      </c>
      <c r="B753" s="21" t="s">
        <v>746</v>
      </c>
      <c r="C753" s="21" t="s">
        <v>6</v>
      </c>
    </row>
    <row r="754" spans="1:3" ht="13" x14ac:dyDescent="0.15">
      <c r="A754" s="21">
        <v>754</v>
      </c>
      <c r="B754" s="21" t="s">
        <v>747</v>
      </c>
      <c r="C754" s="21" t="s">
        <v>8</v>
      </c>
    </row>
    <row r="755" spans="1:3" ht="13" x14ac:dyDescent="0.15">
      <c r="A755" s="21">
        <v>755</v>
      </c>
      <c r="B755" s="21" t="s">
        <v>748</v>
      </c>
      <c r="C755" s="21" t="s">
        <v>8</v>
      </c>
    </row>
    <row r="756" spans="1:3" ht="13" x14ac:dyDescent="0.15">
      <c r="A756" s="21">
        <v>756</v>
      </c>
      <c r="B756" s="21" t="s">
        <v>749</v>
      </c>
      <c r="C756" s="21" t="s">
        <v>6</v>
      </c>
    </row>
    <row r="757" spans="1:3" ht="13" x14ac:dyDescent="0.15">
      <c r="A757" s="21">
        <v>757</v>
      </c>
      <c r="B757" s="21" t="s">
        <v>750</v>
      </c>
      <c r="C757" s="21" t="s">
        <v>6</v>
      </c>
    </row>
    <row r="758" spans="1:3" ht="13" x14ac:dyDescent="0.15">
      <c r="A758" s="21">
        <v>758</v>
      </c>
      <c r="B758" s="21" t="s">
        <v>751</v>
      </c>
      <c r="C758" s="21" t="s">
        <v>4</v>
      </c>
    </row>
    <row r="759" spans="1:3" ht="13" x14ac:dyDescent="0.15">
      <c r="A759" s="21">
        <v>759</v>
      </c>
      <c r="B759" s="21" t="s">
        <v>752</v>
      </c>
      <c r="C759" s="21" t="s">
        <v>4</v>
      </c>
    </row>
    <row r="760" spans="1:3" ht="13" x14ac:dyDescent="0.15">
      <c r="A760" s="21">
        <v>760</v>
      </c>
      <c r="B760" s="21" t="s">
        <v>753</v>
      </c>
      <c r="C760" s="21" t="s">
        <v>8</v>
      </c>
    </row>
    <row r="761" spans="1:3" ht="13" x14ac:dyDescent="0.15">
      <c r="A761" s="21">
        <v>761</v>
      </c>
      <c r="B761" s="21" t="s">
        <v>754</v>
      </c>
      <c r="C761" s="21" t="s">
        <v>8</v>
      </c>
    </row>
    <row r="762" spans="1:3" ht="13" x14ac:dyDescent="0.15">
      <c r="A762" s="21">
        <v>762</v>
      </c>
      <c r="B762" s="21" t="s">
        <v>755</v>
      </c>
      <c r="C762" s="21" t="s">
        <v>49</v>
      </c>
    </row>
    <row r="763" spans="1:3" ht="13" x14ac:dyDescent="0.15">
      <c r="A763" s="21">
        <v>763</v>
      </c>
      <c r="B763" s="21" t="s">
        <v>756</v>
      </c>
      <c r="C763" s="21" t="s">
        <v>49</v>
      </c>
    </row>
    <row r="764" spans="1:3" ht="13" x14ac:dyDescent="0.15">
      <c r="A764" s="21">
        <v>764</v>
      </c>
      <c r="B764" s="21" t="s">
        <v>757</v>
      </c>
      <c r="C764" s="21" t="s">
        <v>8</v>
      </c>
    </row>
    <row r="765" spans="1:3" ht="13" x14ac:dyDescent="0.15">
      <c r="A765" s="21">
        <v>765</v>
      </c>
      <c r="B765" s="21" t="s">
        <v>758</v>
      </c>
      <c r="C765" s="21" t="s">
        <v>8</v>
      </c>
    </row>
    <row r="766" spans="1:3" ht="13" x14ac:dyDescent="0.15">
      <c r="A766" s="21">
        <v>766</v>
      </c>
      <c r="B766" s="21" t="s">
        <v>759</v>
      </c>
      <c r="C766" s="21" t="s">
        <v>8</v>
      </c>
    </row>
    <row r="767" spans="1:3" ht="13" x14ac:dyDescent="0.15">
      <c r="A767" s="21">
        <v>767</v>
      </c>
      <c r="B767" s="21" t="s">
        <v>760</v>
      </c>
      <c r="C767" s="21" t="s">
        <v>6</v>
      </c>
    </row>
    <row r="768" spans="1:3" ht="13" x14ac:dyDescent="0.15">
      <c r="A768" s="21">
        <v>768</v>
      </c>
      <c r="B768" s="21" t="s">
        <v>761</v>
      </c>
      <c r="C768" s="21" t="s">
        <v>6</v>
      </c>
    </row>
    <row r="769" spans="1:3" ht="13" x14ac:dyDescent="0.15">
      <c r="A769" s="21">
        <v>769</v>
      </c>
      <c r="B769" s="21" t="s">
        <v>762</v>
      </c>
      <c r="C769" s="21" t="s">
        <v>6</v>
      </c>
    </row>
    <row r="770" spans="1:3" ht="13" x14ac:dyDescent="0.15">
      <c r="A770" s="21">
        <v>770</v>
      </c>
      <c r="B770" s="21" t="s">
        <v>763</v>
      </c>
      <c r="C770" s="21" t="s">
        <v>49</v>
      </c>
    </row>
    <row r="771" spans="1:3" ht="13" x14ac:dyDescent="0.15">
      <c r="A771" s="21">
        <v>771</v>
      </c>
      <c r="B771" s="21" t="s">
        <v>764</v>
      </c>
      <c r="C771" s="21" t="s">
        <v>8</v>
      </c>
    </row>
    <row r="772" spans="1:3" ht="13" x14ac:dyDescent="0.15">
      <c r="A772" s="21">
        <v>772</v>
      </c>
      <c r="B772" s="21" t="s">
        <v>765</v>
      </c>
      <c r="C772" s="21" t="s">
        <v>8</v>
      </c>
    </row>
    <row r="773" spans="1:3" ht="13" x14ac:dyDescent="0.15">
      <c r="A773" s="21">
        <v>773</v>
      </c>
      <c r="B773" s="21" t="s">
        <v>766</v>
      </c>
      <c r="C773" s="21" t="s">
        <v>49</v>
      </c>
    </row>
    <row r="774" spans="1:3" ht="13" x14ac:dyDescent="0.15">
      <c r="A774" s="21">
        <v>774</v>
      </c>
      <c r="B774" s="21" t="s">
        <v>767</v>
      </c>
      <c r="C774" s="21" t="s">
        <v>4</v>
      </c>
    </row>
    <row r="775" spans="1:3" ht="13" x14ac:dyDescent="0.15">
      <c r="A775" s="21">
        <v>775</v>
      </c>
      <c r="B775" s="21" t="s">
        <v>768</v>
      </c>
      <c r="C775" s="21" t="s">
        <v>4</v>
      </c>
    </row>
    <row r="776" spans="1:3" ht="13" x14ac:dyDescent="0.15">
      <c r="A776" s="21">
        <v>776</v>
      </c>
      <c r="B776" s="21" t="s">
        <v>769</v>
      </c>
      <c r="C776" s="21" t="s">
        <v>49</v>
      </c>
    </row>
    <row r="777" spans="1:3" ht="13" x14ac:dyDescent="0.15">
      <c r="A777" s="21">
        <v>777</v>
      </c>
      <c r="B777" s="21" t="s">
        <v>770</v>
      </c>
      <c r="C777" s="21" t="s">
        <v>6</v>
      </c>
    </row>
    <row r="778" spans="1:3" ht="13" x14ac:dyDescent="0.15">
      <c r="A778" s="21">
        <v>778</v>
      </c>
      <c r="B778" s="21" t="s">
        <v>771</v>
      </c>
      <c r="C778" s="21" t="s">
        <v>6</v>
      </c>
    </row>
    <row r="779" spans="1:3" ht="13" x14ac:dyDescent="0.15">
      <c r="A779" s="21">
        <v>779</v>
      </c>
      <c r="B779" s="21" t="s">
        <v>772</v>
      </c>
      <c r="C779" s="21" t="s">
        <v>6</v>
      </c>
    </row>
    <row r="780" spans="1:3" ht="13" x14ac:dyDescent="0.15">
      <c r="A780" s="21">
        <v>780</v>
      </c>
      <c r="B780" s="21" t="s">
        <v>773</v>
      </c>
      <c r="C780" s="21" t="s">
        <v>6</v>
      </c>
    </row>
    <row r="781" spans="1:3" ht="13" x14ac:dyDescent="0.15">
      <c r="A781" s="21">
        <v>781</v>
      </c>
      <c r="B781" s="21" t="s">
        <v>926</v>
      </c>
      <c r="C781" s="21" t="s">
        <v>8</v>
      </c>
    </row>
    <row r="782" spans="1:3" ht="13" x14ac:dyDescent="0.15">
      <c r="A782" s="21">
        <v>782</v>
      </c>
      <c r="B782" s="21" t="s">
        <v>774</v>
      </c>
      <c r="C782" s="21" t="s">
        <v>4</v>
      </c>
    </row>
    <row r="783" spans="1:3" ht="13" x14ac:dyDescent="0.15">
      <c r="A783" s="21">
        <v>783</v>
      </c>
      <c r="B783" s="21" t="s">
        <v>775</v>
      </c>
      <c r="C783" s="21" t="s">
        <v>4</v>
      </c>
    </row>
    <row r="784" spans="1:3" ht="13" x14ac:dyDescent="0.15">
      <c r="A784" s="21">
        <v>784</v>
      </c>
      <c r="B784" s="21" t="s">
        <v>776</v>
      </c>
      <c r="C784" s="21" t="s">
        <v>4</v>
      </c>
    </row>
    <row r="785" spans="1:3" ht="13" x14ac:dyDescent="0.15">
      <c r="A785" s="21">
        <v>785</v>
      </c>
      <c r="B785" s="21" t="s">
        <v>777</v>
      </c>
      <c r="C785" s="21" t="s">
        <v>49</v>
      </c>
    </row>
    <row r="786" spans="1:3" ht="13" x14ac:dyDescent="0.15">
      <c r="A786" s="21">
        <v>786</v>
      </c>
      <c r="B786" s="21" t="s">
        <v>778</v>
      </c>
      <c r="C786" s="21" t="s">
        <v>49</v>
      </c>
    </row>
    <row r="787" spans="1:3" ht="13" x14ac:dyDescent="0.15">
      <c r="A787" s="21">
        <v>787</v>
      </c>
      <c r="B787" s="21" t="s">
        <v>779</v>
      </c>
      <c r="C787" s="21" t="s">
        <v>8</v>
      </c>
    </row>
    <row r="788" spans="1:3" ht="13" x14ac:dyDescent="0.15">
      <c r="A788" s="21">
        <v>788</v>
      </c>
      <c r="B788" s="21" t="s">
        <v>780</v>
      </c>
      <c r="C788" s="21" t="s">
        <v>8</v>
      </c>
    </row>
    <row r="789" spans="1:3" ht="13" x14ac:dyDescent="0.15">
      <c r="A789" s="21">
        <v>789</v>
      </c>
      <c r="B789" s="21" t="s">
        <v>781</v>
      </c>
      <c r="C789" s="21" t="s">
        <v>782</v>
      </c>
    </row>
    <row r="790" spans="1:3" ht="13" x14ac:dyDescent="0.15">
      <c r="A790" s="21">
        <v>790</v>
      </c>
      <c r="B790" s="21" t="s">
        <v>783</v>
      </c>
      <c r="C790" s="21" t="s">
        <v>782</v>
      </c>
    </row>
    <row r="791" spans="1:3" ht="13" x14ac:dyDescent="0.15">
      <c r="A791" s="21">
        <v>791</v>
      </c>
      <c r="B791" s="21" t="s">
        <v>784</v>
      </c>
      <c r="C791" s="21" t="s">
        <v>782</v>
      </c>
    </row>
    <row r="792" spans="1:3" ht="13" x14ac:dyDescent="0.15">
      <c r="A792" s="21">
        <v>792</v>
      </c>
      <c r="B792" s="21" t="s">
        <v>785</v>
      </c>
      <c r="C792" s="21" t="s">
        <v>782</v>
      </c>
    </row>
    <row r="793" spans="1:3" ht="13" x14ac:dyDescent="0.15">
      <c r="A793" s="21">
        <v>793</v>
      </c>
      <c r="B793" s="21" t="s">
        <v>786</v>
      </c>
      <c r="C793" s="21" t="s">
        <v>782</v>
      </c>
    </row>
    <row r="794" spans="1:3" ht="13" x14ac:dyDescent="0.15">
      <c r="A794" s="21">
        <v>794</v>
      </c>
      <c r="B794" s="21" t="s">
        <v>787</v>
      </c>
      <c r="C794" s="21" t="s">
        <v>782</v>
      </c>
    </row>
    <row r="795" spans="1:3" ht="13" x14ac:dyDescent="0.15">
      <c r="A795" s="21">
        <v>795</v>
      </c>
      <c r="B795" s="21" t="s">
        <v>788</v>
      </c>
      <c r="C795" s="21" t="s">
        <v>782</v>
      </c>
    </row>
    <row r="796" spans="1:3" ht="13" x14ac:dyDescent="0.15">
      <c r="A796" s="21">
        <v>796</v>
      </c>
      <c r="B796" s="21" t="s">
        <v>789</v>
      </c>
      <c r="C796" s="21" t="s">
        <v>782</v>
      </c>
    </row>
    <row r="797" spans="1:3" ht="13" x14ac:dyDescent="0.15">
      <c r="A797" s="21">
        <v>797</v>
      </c>
      <c r="B797" s="21" t="s">
        <v>790</v>
      </c>
      <c r="C797" s="21" t="s">
        <v>782</v>
      </c>
    </row>
    <row r="798" spans="1:3" ht="13" x14ac:dyDescent="0.15">
      <c r="A798" s="21">
        <v>798</v>
      </c>
      <c r="B798" s="21" t="s">
        <v>791</v>
      </c>
      <c r="C798" s="21" t="s">
        <v>782</v>
      </c>
    </row>
    <row r="799" spans="1:3" ht="13" x14ac:dyDescent="0.15">
      <c r="A799" s="21">
        <v>799</v>
      </c>
      <c r="B799" s="21" t="s">
        <v>792</v>
      </c>
      <c r="C799" s="21" t="s">
        <v>782</v>
      </c>
    </row>
    <row r="800" spans="1:3" ht="13" x14ac:dyDescent="0.15">
      <c r="A800" s="21">
        <v>800</v>
      </c>
      <c r="B800" s="21" t="s">
        <v>793</v>
      </c>
      <c r="C800" s="21" t="s">
        <v>782</v>
      </c>
    </row>
    <row r="801" spans="1:3" ht="13" x14ac:dyDescent="0.15">
      <c r="A801" s="21">
        <v>801</v>
      </c>
      <c r="B801" s="21" t="s">
        <v>794</v>
      </c>
      <c r="C801" s="21" t="s">
        <v>782</v>
      </c>
    </row>
    <row r="802" spans="1:3" ht="13" x14ac:dyDescent="0.15">
      <c r="A802" s="21">
        <v>802</v>
      </c>
      <c r="B802" s="21" t="s">
        <v>795</v>
      </c>
      <c r="C802" s="21" t="s">
        <v>782</v>
      </c>
    </row>
    <row r="803" spans="1:3" ht="13" x14ac:dyDescent="0.15">
      <c r="A803" s="21">
        <v>803</v>
      </c>
      <c r="B803" s="21" t="s">
        <v>796</v>
      </c>
      <c r="C803" s="21" t="s">
        <v>782</v>
      </c>
    </row>
    <row r="804" spans="1:3" ht="13" x14ac:dyDescent="0.15">
      <c r="A804" s="21">
        <v>804</v>
      </c>
      <c r="B804" s="21" t="s">
        <v>797</v>
      </c>
      <c r="C804" s="21" t="s">
        <v>782</v>
      </c>
    </row>
    <row r="805" spans="1:3" ht="13" x14ac:dyDescent="0.15">
      <c r="A805" s="21">
        <v>805</v>
      </c>
      <c r="B805" s="21" t="s">
        <v>798</v>
      </c>
      <c r="C805" s="21" t="s">
        <v>782</v>
      </c>
    </row>
    <row r="806" spans="1:3" ht="13" x14ac:dyDescent="0.15">
      <c r="A806" s="21">
        <v>806</v>
      </c>
      <c r="B806" s="21" t="s">
        <v>799</v>
      </c>
      <c r="C806" s="21" t="s">
        <v>782</v>
      </c>
    </row>
    <row r="807" spans="1:3" ht="13" x14ac:dyDescent="0.15">
      <c r="A807" s="21">
        <v>807</v>
      </c>
      <c r="B807" s="21" t="s">
        <v>800</v>
      </c>
      <c r="C807" s="21" t="s">
        <v>782</v>
      </c>
    </row>
    <row r="808" spans="1:3" ht="13" x14ac:dyDescent="0.15">
      <c r="A808" s="21">
        <v>808</v>
      </c>
      <c r="B808" s="21" t="s">
        <v>801</v>
      </c>
      <c r="C808" s="21" t="s">
        <v>782</v>
      </c>
    </row>
    <row r="809" spans="1:3" ht="13" x14ac:dyDescent="0.15">
      <c r="A809" s="21">
        <v>809</v>
      </c>
      <c r="B809" s="21" t="s">
        <v>802</v>
      </c>
      <c r="C809" s="21" t="s">
        <v>782</v>
      </c>
    </row>
    <row r="810" spans="1:3" ht="13" x14ac:dyDescent="0.15">
      <c r="A810" s="21">
        <v>810</v>
      </c>
      <c r="B810" s="21" t="s">
        <v>803</v>
      </c>
      <c r="C810" s="21" t="s">
        <v>782</v>
      </c>
    </row>
    <row r="811" spans="1:3" ht="13" x14ac:dyDescent="0.15">
      <c r="A811" s="21">
        <v>811</v>
      </c>
      <c r="B811" s="21" t="s">
        <v>804</v>
      </c>
      <c r="C811" s="21" t="s">
        <v>782</v>
      </c>
    </row>
    <row r="812" spans="1:3" ht="13" x14ac:dyDescent="0.15">
      <c r="A812" s="21">
        <v>812</v>
      </c>
      <c r="B812" s="21" t="s">
        <v>805</v>
      </c>
      <c r="C812" s="21" t="s">
        <v>782</v>
      </c>
    </row>
    <row r="813" spans="1:3" ht="13" x14ac:dyDescent="0.15">
      <c r="A813" s="21">
        <v>813</v>
      </c>
      <c r="B813" s="21" t="s">
        <v>806</v>
      </c>
      <c r="C813" s="21" t="s">
        <v>782</v>
      </c>
    </row>
    <row r="814" spans="1:3" ht="13" x14ac:dyDescent="0.15">
      <c r="A814" s="21">
        <v>814</v>
      </c>
      <c r="B814" s="21" t="s">
        <v>807</v>
      </c>
      <c r="C814" s="21" t="s">
        <v>782</v>
      </c>
    </row>
    <row r="815" spans="1:3" ht="13" x14ac:dyDescent="0.15">
      <c r="A815" s="21">
        <v>815</v>
      </c>
      <c r="B815" s="21" t="s">
        <v>808</v>
      </c>
      <c r="C815" s="21" t="s">
        <v>782</v>
      </c>
    </row>
    <row r="816" spans="1:3" ht="13" x14ac:dyDescent="0.15">
      <c r="A816" s="21">
        <v>816</v>
      </c>
      <c r="B816" s="21" t="s">
        <v>809</v>
      </c>
      <c r="C816" s="21" t="s">
        <v>782</v>
      </c>
    </row>
    <row r="817" spans="1:3" ht="13" x14ac:dyDescent="0.15">
      <c r="A817" s="21">
        <v>817</v>
      </c>
      <c r="B817" s="21" t="s">
        <v>810</v>
      </c>
      <c r="C817" s="21" t="s">
        <v>782</v>
      </c>
    </row>
    <row r="818" spans="1:3" ht="13" x14ac:dyDescent="0.15">
      <c r="A818" s="21">
        <v>818</v>
      </c>
      <c r="B818" s="21" t="s">
        <v>811</v>
      </c>
      <c r="C818" s="21" t="s">
        <v>782</v>
      </c>
    </row>
    <row r="819" spans="1:3" ht="13" x14ac:dyDescent="0.15">
      <c r="A819" s="21">
        <v>819</v>
      </c>
      <c r="B819" s="21" t="s">
        <v>812</v>
      </c>
      <c r="C819" s="21" t="s">
        <v>782</v>
      </c>
    </row>
    <row r="820" spans="1:3" ht="13" x14ac:dyDescent="0.15">
      <c r="A820" s="21">
        <v>820</v>
      </c>
      <c r="B820" s="21" t="s">
        <v>813</v>
      </c>
      <c r="C820" s="21" t="s">
        <v>782</v>
      </c>
    </row>
    <row r="821" spans="1:3" ht="13" x14ac:dyDescent="0.15">
      <c r="A821" s="21">
        <v>821</v>
      </c>
      <c r="B821" s="21" t="s">
        <v>814</v>
      </c>
      <c r="C821" s="21" t="s">
        <v>815</v>
      </c>
    </row>
    <row r="822" spans="1:3" ht="13" x14ac:dyDescent="0.15">
      <c r="A822" s="21">
        <v>822</v>
      </c>
      <c r="B822" s="21" t="s">
        <v>816</v>
      </c>
      <c r="C822" s="21" t="s">
        <v>815</v>
      </c>
    </row>
    <row r="823" spans="1:3" ht="13" x14ac:dyDescent="0.15">
      <c r="A823" s="21">
        <v>823</v>
      </c>
      <c r="B823" s="21" t="s">
        <v>817</v>
      </c>
      <c r="C823" s="21" t="s">
        <v>815</v>
      </c>
    </row>
    <row r="824" spans="1:3" ht="13" x14ac:dyDescent="0.15">
      <c r="A824" s="21">
        <v>824</v>
      </c>
      <c r="B824" s="21" t="s">
        <v>818</v>
      </c>
      <c r="C824" s="21" t="s">
        <v>815</v>
      </c>
    </row>
    <row r="825" spans="1:3" ht="13" x14ac:dyDescent="0.15">
      <c r="A825" s="21">
        <v>825</v>
      </c>
      <c r="B825" s="21" t="s">
        <v>819</v>
      </c>
      <c r="C825" s="21" t="s">
        <v>815</v>
      </c>
    </row>
    <row r="826" spans="1:3" ht="13" x14ac:dyDescent="0.15">
      <c r="A826" s="21">
        <v>826</v>
      </c>
      <c r="B826" s="21" t="s">
        <v>820</v>
      </c>
      <c r="C826" s="21" t="s">
        <v>815</v>
      </c>
    </row>
    <row r="827" spans="1:3" ht="13" x14ac:dyDescent="0.15">
      <c r="A827" s="21">
        <v>827</v>
      </c>
      <c r="B827" s="21" t="s">
        <v>821</v>
      </c>
      <c r="C827" s="21" t="s">
        <v>815</v>
      </c>
    </row>
    <row r="828" spans="1:3" ht="13" x14ac:dyDescent="0.15">
      <c r="A828" s="21">
        <v>828</v>
      </c>
      <c r="B828" s="21" t="s">
        <v>822</v>
      </c>
      <c r="C828" s="21" t="s">
        <v>815</v>
      </c>
    </row>
    <row r="829" spans="1:3" ht="13" x14ac:dyDescent="0.15">
      <c r="A829" s="21">
        <v>829</v>
      </c>
      <c r="B829" s="21" t="s">
        <v>823</v>
      </c>
      <c r="C829" s="21" t="s">
        <v>815</v>
      </c>
    </row>
    <row r="830" spans="1:3" ht="13" x14ac:dyDescent="0.15">
      <c r="A830" s="21">
        <v>830</v>
      </c>
      <c r="B830" s="21" t="s">
        <v>824</v>
      </c>
      <c r="C830" s="21" t="s">
        <v>815</v>
      </c>
    </row>
    <row r="831" spans="1:3" ht="13" x14ac:dyDescent="0.15">
      <c r="A831" s="21">
        <v>831</v>
      </c>
      <c r="B831" s="21" t="s">
        <v>825</v>
      </c>
      <c r="C831" s="21" t="s">
        <v>815</v>
      </c>
    </row>
    <row r="832" spans="1:3" ht="13" x14ac:dyDescent="0.15">
      <c r="A832" s="21">
        <v>832</v>
      </c>
      <c r="B832" s="21" t="s">
        <v>826</v>
      </c>
      <c r="C832" s="21" t="s">
        <v>815</v>
      </c>
    </row>
    <row r="833" spans="1:3" ht="13" x14ac:dyDescent="0.15">
      <c r="A833" s="21">
        <v>833</v>
      </c>
      <c r="B833" s="21" t="s">
        <v>827</v>
      </c>
      <c r="C833" s="21" t="s">
        <v>815</v>
      </c>
    </row>
    <row r="834" spans="1:3" ht="13" x14ac:dyDescent="0.15">
      <c r="A834" s="21">
        <v>834</v>
      </c>
      <c r="B834" s="21" t="s">
        <v>828</v>
      </c>
      <c r="C834" s="21" t="s">
        <v>815</v>
      </c>
    </row>
    <row r="835" spans="1:3" ht="13" x14ac:dyDescent="0.15">
      <c r="A835" s="21">
        <v>835</v>
      </c>
      <c r="B835" s="21" t="s">
        <v>829</v>
      </c>
      <c r="C835" s="21" t="s">
        <v>815</v>
      </c>
    </row>
    <row r="836" spans="1:3" ht="13" x14ac:dyDescent="0.15">
      <c r="A836" s="21">
        <v>836</v>
      </c>
      <c r="B836" s="21" t="s">
        <v>830</v>
      </c>
      <c r="C836" s="21" t="s">
        <v>815</v>
      </c>
    </row>
    <row r="837" spans="1:3" ht="13" x14ac:dyDescent="0.15">
      <c r="A837" s="21">
        <v>837</v>
      </c>
      <c r="B837" s="21" t="s">
        <v>831</v>
      </c>
      <c r="C837" s="21" t="s">
        <v>815</v>
      </c>
    </row>
    <row r="838" spans="1:3" ht="13" x14ac:dyDescent="0.15">
      <c r="A838" s="21">
        <v>838</v>
      </c>
      <c r="B838" s="21" t="s">
        <v>832</v>
      </c>
      <c r="C838" s="21" t="s">
        <v>815</v>
      </c>
    </row>
    <row r="839" spans="1:3" ht="13" x14ac:dyDescent="0.15">
      <c r="A839" s="21">
        <v>839</v>
      </c>
      <c r="B839" s="21" t="s">
        <v>833</v>
      </c>
      <c r="C839" s="21" t="s">
        <v>815</v>
      </c>
    </row>
    <row r="840" spans="1:3" ht="13" x14ac:dyDescent="0.15">
      <c r="A840" s="21">
        <v>840</v>
      </c>
      <c r="B840" s="21" t="s">
        <v>834</v>
      </c>
      <c r="C840" s="21" t="s">
        <v>815</v>
      </c>
    </row>
    <row r="841" spans="1:3" ht="13" x14ac:dyDescent="0.15">
      <c r="A841" s="21">
        <v>841</v>
      </c>
      <c r="B841" s="21" t="s">
        <v>835</v>
      </c>
      <c r="C841" s="21" t="s">
        <v>815</v>
      </c>
    </row>
    <row r="842" spans="1:3" ht="13" x14ac:dyDescent="0.15">
      <c r="A842" s="21">
        <v>842</v>
      </c>
      <c r="B842" s="21" t="s">
        <v>836</v>
      </c>
      <c r="C842" s="21" t="s">
        <v>815</v>
      </c>
    </row>
    <row r="843" spans="1:3" ht="13" x14ac:dyDescent="0.15">
      <c r="A843" s="21">
        <v>843</v>
      </c>
      <c r="B843" s="21" t="s">
        <v>837</v>
      </c>
      <c r="C843" s="21" t="s">
        <v>815</v>
      </c>
    </row>
    <row r="844" spans="1:3" ht="13" x14ac:dyDescent="0.15">
      <c r="A844" s="21">
        <v>844</v>
      </c>
      <c r="B844" s="21" t="s">
        <v>838</v>
      </c>
      <c r="C844" s="21" t="s">
        <v>815</v>
      </c>
    </row>
    <row r="845" spans="1:3" ht="13" x14ac:dyDescent="0.15">
      <c r="A845" s="21">
        <v>845</v>
      </c>
      <c r="B845" s="21" t="s">
        <v>839</v>
      </c>
      <c r="C845" s="21" t="s">
        <v>815</v>
      </c>
    </row>
    <row r="846" spans="1:3" ht="13" x14ac:dyDescent="0.15">
      <c r="A846" s="21">
        <v>846</v>
      </c>
      <c r="B846" s="21" t="s">
        <v>840</v>
      </c>
      <c r="C846" s="21" t="s">
        <v>815</v>
      </c>
    </row>
    <row r="847" spans="1:3" ht="13" x14ac:dyDescent="0.15">
      <c r="A847" s="21">
        <v>847</v>
      </c>
      <c r="B847" s="21" t="s">
        <v>841</v>
      </c>
      <c r="C847" s="21" t="s">
        <v>815</v>
      </c>
    </row>
    <row r="848" spans="1:3" ht="13" x14ac:dyDescent="0.15">
      <c r="A848" s="21">
        <v>848</v>
      </c>
      <c r="B848" s="21" t="s">
        <v>842</v>
      </c>
      <c r="C848" s="21" t="s">
        <v>815</v>
      </c>
    </row>
    <row r="849" spans="1:3" ht="13" x14ac:dyDescent="0.15">
      <c r="A849" s="21">
        <v>849</v>
      </c>
      <c r="B849" s="21" t="s">
        <v>843</v>
      </c>
      <c r="C849" s="21" t="s">
        <v>815</v>
      </c>
    </row>
    <row r="850" spans="1:3" ht="13" x14ac:dyDescent="0.15">
      <c r="A850" s="21">
        <v>850</v>
      </c>
      <c r="B850" s="21" t="s">
        <v>844</v>
      </c>
      <c r="C850" s="21" t="s">
        <v>815</v>
      </c>
    </row>
    <row r="851" spans="1:3" ht="13" x14ac:dyDescent="0.15">
      <c r="A851" s="21">
        <v>851</v>
      </c>
      <c r="B851" s="21" t="s">
        <v>845</v>
      </c>
      <c r="C851" s="21" t="s">
        <v>815</v>
      </c>
    </row>
    <row r="852" spans="1:3" ht="13" x14ac:dyDescent="0.15">
      <c r="A852" s="21">
        <v>852</v>
      </c>
      <c r="B852" s="21" t="s">
        <v>846</v>
      </c>
      <c r="C852" s="21" t="s">
        <v>815</v>
      </c>
    </row>
    <row r="853" spans="1:3" ht="13" x14ac:dyDescent="0.15">
      <c r="A853" s="21">
        <v>853</v>
      </c>
      <c r="B853" s="21" t="s">
        <v>847</v>
      </c>
      <c r="C853" s="21" t="s">
        <v>815</v>
      </c>
    </row>
    <row r="854" spans="1:3" ht="13" x14ac:dyDescent="0.15">
      <c r="A854" s="21">
        <v>854</v>
      </c>
      <c r="B854" s="21" t="s">
        <v>848</v>
      </c>
      <c r="C854" s="21" t="s">
        <v>815</v>
      </c>
    </row>
    <row r="855" spans="1:3" ht="13" x14ac:dyDescent="0.15">
      <c r="A855" s="21">
        <v>855</v>
      </c>
      <c r="B855" s="21" t="s">
        <v>849</v>
      </c>
      <c r="C855" s="21" t="s">
        <v>815</v>
      </c>
    </row>
    <row r="856" spans="1:3" ht="13" x14ac:dyDescent="0.15">
      <c r="A856" s="21">
        <v>856</v>
      </c>
      <c r="B856" s="21" t="s">
        <v>850</v>
      </c>
      <c r="C856" s="21" t="s">
        <v>815</v>
      </c>
    </row>
    <row r="857" spans="1:3" ht="13" x14ac:dyDescent="0.15">
      <c r="A857" s="21">
        <v>857</v>
      </c>
      <c r="B857" s="21" t="s">
        <v>851</v>
      </c>
      <c r="C857" s="21" t="s">
        <v>815</v>
      </c>
    </row>
    <row r="858" spans="1:3" ht="13" x14ac:dyDescent="0.15">
      <c r="A858" s="21">
        <v>858</v>
      </c>
      <c r="B858" s="21" t="s">
        <v>852</v>
      </c>
      <c r="C858" s="21" t="s">
        <v>815</v>
      </c>
    </row>
    <row r="859" spans="1:3" ht="13" x14ac:dyDescent="0.15">
      <c r="A859" s="21">
        <v>859</v>
      </c>
      <c r="B859" s="21" t="s">
        <v>853</v>
      </c>
      <c r="C859" s="21" t="s">
        <v>815</v>
      </c>
    </row>
    <row r="860" spans="1:3" ht="13" x14ac:dyDescent="0.15">
      <c r="A860" s="21">
        <v>860</v>
      </c>
      <c r="B860" s="21" t="s">
        <v>854</v>
      </c>
      <c r="C860" s="21" t="s">
        <v>815</v>
      </c>
    </row>
    <row r="861" spans="1:3" ht="13" x14ac:dyDescent="0.15">
      <c r="A861" s="21">
        <v>861</v>
      </c>
      <c r="B861" s="21" t="s">
        <v>855</v>
      </c>
      <c r="C861" s="21" t="s">
        <v>815</v>
      </c>
    </row>
    <row r="862" spans="1:3" ht="13" x14ac:dyDescent="0.15">
      <c r="A862" s="21">
        <v>862</v>
      </c>
      <c r="B862" s="21" t="s">
        <v>856</v>
      </c>
      <c r="C862" s="21" t="s">
        <v>815</v>
      </c>
    </row>
    <row r="863" spans="1:3" ht="13" x14ac:dyDescent="0.15">
      <c r="A863" s="21">
        <v>863</v>
      </c>
      <c r="B863" s="21" t="s">
        <v>857</v>
      </c>
      <c r="C863" s="21" t="s">
        <v>815</v>
      </c>
    </row>
    <row r="864" spans="1:3" ht="13" x14ac:dyDescent="0.15">
      <c r="A864" s="21">
        <v>864</v>
      </c>
      <c r="B864" s="21" t="s">
        <v>858</v>
      </c>
      <c r="C864" s="21" t="s">
        <v>815</v>
      </c>
    </row>
    <row r="865" spans="1:3" ht="13" x14ac:dyDescent="0.15">
      <c r="A865" s="21">
        <v>865</v>
      </c>
      <c r="B865" s="21" t="s">
        <v>859</v>
      </c>
      <c r="C865" s="21" t="s">
        <v>815</v>
      </c>
    </row>
    <row r="866" spans="1:3" ht="15.75" customHeight="1" x14ac:dyDescent="0.15">
      <c r="A866" s="21">
        <v>866</v>
      </c>
      <c r="B866" s="21" t="s">
        <v>923</v>
      </c>
      <c r="C866" s="21" t="s">
        <v>8</v>
      </c>
    </row>
    <row r="867" spans="1:3" ht="15.75" customHeight="1" x14ac:dyDescent="0.15">
      <c r="A867" s="21">
        <v>867</v>
      </c>
      <c r="B867" s="21" t="s">
        <v>902</v>
      </c>
      <c r="C867" s="21" t="s">
        <v>6</v>
      </c>
    </row>
    <row r="868" spans="1:3" ht="15.75" customHeight="1" x14ac:dyDescent="0.15">
      <c r="A868" s="21">
        <v>868</v>
      </c>
      <c r="B868" s="21" t="s">
        <v>919</v>
      </c>
      <c r="C868" s="21" t="s">
        <v>49</v>
      </c>
    </row>
    <row r="869" spans="1:3" ht="15.75" customHeight="1" x14ac:dyDescent="0.15">
      <c r="A869" s="21">
        <v>869</v>
      </c>
      <c r="B869" s="21" t="s">
        <v>927</v>
      </c>
      <c r="C869" s="21" t="s">
        <v>49</v>
      </c>
    </row>
    <row r="870" spans="1:3" ht="15.75" customHeight="1" x14ac:dyDescent="0.15">
      <c r="A870" s="21">
        <v>870</v>
      </c>
      <c r="B870" s="21" t="s">
        <v>914</v>
      </c>
      <c r="C870" s="21" t="s">
        <v>815</v>
      </c>
    </row>
    <row r="871" spans="1:3" ht="15.75" customHeight="1" x14ac:dyDescent="0.15">
      <c r="A871" s="21">
        <v>871</v>
      </c>
      <c r="B871" s="21" t="s">
        <v>916</v>
      </c>
      <c r="C871" s="21" t="s">
        <v>8</v>
      </c>
    </row>
    <row r="872" spans="1:3" ht="15.75" customHeight="1" x14ac:dyDescent="0.15">
      <c r="A872" s="21">
        <v>872</v>
      </c>
      <c r="B872" s="21" t="s">
        <v>921</v>
      </c>
      <c r="C872" s="21" t="s">
        <v>815</v>
      </c>
    </row>
    <row r="873" spans="1:3" ht="15.75" customHeight="1" x14ac:dyDescent="0.15">
      <c r="A873" s="21">
        <v>873</v>
      </c>
      <c r="B873" s="21" t="s">
        <v>925</v>
      </c>
      <c r="C873" s="21" t="s">
        <v>8</v>
      </c>
    </row>
    <row r="874" spans="1:3" ht="15.75" customHeight="1" x14ac:dyDescent="0.15">
      <c r="A874" s="21">
        <v>874</v>
      </c>
      <c r="B874" s="21" t="s">
        <v>924</v>
      </c>
      <c r="C874" s="21" t="s">
        <v>815</v>
      </c>
    </row>
  </sheetData>
  <sortState xmlns:xlrd2="http://schemas.microsoft.com/office/spreadsheetml/2017/richdata2" ref="A2:C87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Harry Usage</vt:lpstr>
      <vt:lpstr>Will Usage</vt:lpstr>
      <vt:lpstr>Mehul Usage</vt:lpstr>
      <vt:lpstr>Keyur Usage</vt:lpstr>
      <vt:lpstr>Sam Usage</vt:lpstr>
      <vt:lpstr>Geoff Usage</vt:lpstr>
      <vt:lpstr>Geoff Usage (2)</vt:lpstr>
      <vt:lpstr>Basil Usage (2)</vt:lpstr>
      <vt:lpstr>Basil Usage</vt:lpstr>
      <vt:lpstr>Ben Usage</vt:lpstr>
      <vt:lpstr>Week 1 Template</vt:lpstr>
      <vt:lpstr>Week 2 Template</vt:lpstr>
      <vt:lpstr>Week 3 Template</vt:lpstr>
      <vt:lpstr>Week 4 Template</vt:lpstr>
      <vt:lpstr>Week 16 Template</vt:lpstr>
      <vt:lpstr>Week 14 Template</vt:lpstr>
      <vt:lpstr>Week 13 Template</vt:lpstr>
      <vt:lpstr>Week 12 Template</vt:lpstr>
      <vt:lpstr>Week 10 Template</vt:lpstr>
      <vt:lpstr>Week 9 Template</vt:lpstr>
      <vt:lpstr>Week 8 Template</vt:lpstr>
      <vt:lpstr>Week 7 Template</vt:lpstr>
      <vt:lpstr>Week 6 Template</vt:lpstr>
      <vt:lpstr>Week 5 Template</vt:lpstr>
      <vt:lpstr>QB</vt:lpstr>
      <vt:lpstr>RB</vt:lpstr>
      <vt:lpstr>WR</vt:lpstr>
      <vt:lpstr>TE</vt:lpstr>
      <vt:lpstr>DST</vt:lpstr>
      <vt:lpstr>K</vt:lpstr>
      <vt:lpstr>All_Players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Salzman</dc:creator>
  <cp:lastModifiedBy>Microsoft Office User</cp:lastModifiedBy>
  <dcterms:created xsi:type="dcterms:W3CDTF">2019-09-04T18:50:54Z</dcterms:created>
  <dcterms:modified xsi:type="dcterms:W3CDTF">2020-01-13T07:19:41Z</dcterms:modified>
</cp:coreProperties>
</file>