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rand_energy\2021\"/>
    </mc:Choice>
  </mc:AlternateContent>
  <bookViews>
    <workbookView xWindow="0" yWindow="0" windowWidth="12615" windowHeight="10620"/>
  </bookViews>
  <sheets>
    <sheet name="202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H63" i="1"/>
  <c r="H64" i="1"/>
  <c r="H62" i="1"/>
  <c r="H11" i="1"/>
  <c r="H13" i="1"/>
  <c r="H18" i="1"/>
  <c r="H20" i="1"/>
  <c r="H17" i="1"/>
  <c r="H16" i="1"/>
  <c r="H14" i="1"/>
  <c r="H12" i="1"/>
  <c r="H10" i="1"/>
  <c r="H9" i="1"/>
  <c r="H8" i="1"/>
  <c r="F8" i="1" s="1"/>
  <c r="H61" i="1"/>
  <c r="H66" i="1"/>
  <c r="H73" i="1"/>
  <c r="H77" i="1"/>
  <c r="H81" i="1"/>
  <c r="E71" i="1"/>
  <c r="E70" i="1"/>
  <c r="E69" i="1"/>
  <c r="E67" i="1"/>
  <c r="E66" i="1"/>
  <c r="H83" i="1"/>
  <c r="H82" i="1"/>
  <c r="H80" i="1"/>
  <c r="H79" i="1"/>
  <c r="F79" i="1" s="1"/>
  <c r="H78" i="1"/>
  <c r="H76" i="1"/>
  <c r="H75" i="1"/>
  <c r="H74" i="1"/>
  <c r="H72" i="1"/>
  <c r="H71" i="1"/>
  <c r="H68" i="1"/>
  <c r="H67" i="1"/>
  <c r="H65" i="1"/>
  <c r="H55" i="1"/>
  <c r="H51" i="1"/>
  <c r="H50" i="1"/>
  <c r="H48" i="1"/>
  <c r="H46" i="1"/>
  <c r="H45" i="1"/>
  <c r="H44" i="1"/>
  <c r="F44" i="1" s="1"/>
  <c r="H43" i="1"/>
  <c r="H40" i="1"/>
  <c r="H39" i="1"/>
  <c r="H37" i="1"/>
  <c r="H35" i="1"/>
  <c r="H34" i="1"/>
  <c r="H31" i="1"/>
  <c r="H28" i="1"/>
  <c r="H27" i="1"/>
  <c r="F27" i="1" s="1"/>
  <c r="H25" i="1"/>
  <c r="H23" i="1"/>
  <c r="H21" i="1"/>
  <c r="H19" i="1"/>
  <c r="H15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H87" i="1"/>
  <c r="H86" i="1"/>
  <c r="H85" i="1"/>
  <c r="H84" i="1"/>
  <c r="H70" i="1"/>
  <c r="H69" i="1"/>
  <c r="H60" i="1"/>
  <c r="H59" i="1"/>
  <c r="H58" i="1"/>
  <c r="H57" i="1"/>
  <c r="H56" i="1"/>
  <c r="H54" i="1"/>
  <c r="H53" i="1"/>
  <c r="H52" i="1"/>
  <c r="H49" i="1"/>
  <c r="H47" i="1"/>
  <c r="H42" i="1"/>
  <c r="H41" i="1"/>
  <c r="H38" i="1"/>
  <c r="H36" i="1"/>
  <c r="H33" i="1"/>
  <c r="H32" i="1"/>
  <c r="H30" i="1"/>
  <c r="H29" i="1"/>
  <c r="H26" i="1"/>
  <c r="H24" i="1"/>
  <c r="H22" i="1"/>
  <c r="D27" i="1"/>
  <c r="E9" i="1"/>
  <c r="D86" i="1" l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G8" i="1" s="1"/>
  <c r="G9" i="1" l="1"/>
  <c r="E10" i="1"/>
  <c r="E11" i="1" l="1"/>
  <c r="G10" i="1"/>
  <c r="E12" i="1" l="1"/>
  <c r="G11" i="1"/>
  <c r="G12" i="1" l="1"/>
  <c r="E13" i="1"/>
  <c r="G13" i="1" l="1"/>
  <c r="E14" i="1"/>
  <c r="E15" i="1" s="1"/>
  <c r="G14" i="1" l="1"/>
  <c r="E16" i="1" l="1"/>
  <c r="G15" i="1"/>
  <c r="G16" i="1" l="1"/>
  <c r="E17" i="1"/>
  <c r="G17" i="1" l="1"/>
  <c r="E18" i="1"/>
  <c r="E19" i="1" l="1"/>
  <c r="E20" i="1" s="1"/>
  <c r="G18" i="1"/>
  <c r="G19" i="1" l="1"/>
  <c r="G20" i="1" l="1"/>
  <c r="E21" i="1"/>
  <c r="G21" i="1" l="1"/>
  <c r="E22" i="1"/>
  <c r="E23" i="1" l="1"/>
  <c r="G22" i="1"/>
  <c r="E24" i="1" l="1"/>
  <c r="G23" i="1"/>
  <c r="G24" i="1" l="1"/>
  <c r="E25" i="1"/>
  <c r="E26" i="1" s="1"/>
  <c r="E27" i="1" s="1"/>
  <c r="E28" i="1" s="1"/>
  <c r="G25" i="1" l="1"/>
  <c r="G26" i="1" l="1"/>
  <c r="G27" i="1" l="1"/>
  <c r="E29" i="1" l="1"/>
  <c r="E30" i="1" s="1"/>
  <c r="G28" i="1"/>
  <c r="G29" i="1" l="1"/>
  <c r="G30" i="1" l="1"/>
  <c r="E31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8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G31" i="1" l="1"/>
  <c r="G32" i="1" l="1"/>
  <c r="G33" i="1" l="1"/>
  <c r="G34" i="1" l="1"/>
  <c r="G35" i="1" l="1"/>
  <c r="G36" i="1" l="1"/>
  <c r="G37" i="1" l="1"/>
  <c r="G38" i="1" l="1"/>
  <c r="G39" i="1" l="1"/>
  <c r="G40" i="1" l="1"/>
  <c r="G41" i="1" l="1"/>
  <c r="G42" i="1" l="1"/>
  <c r="G43" i="1" l="1"/>
  <c r="G44" i="1" l="1"/>
  <c r="G45" i="1" l="1"/>
  <c r="G46" i="1" l="1"/>
  <c r="G47" i="1" l="1"/>
  <c r="G48" i="1" l="1"/>
  <c r="G49" i="1" l="1"/>
  <c r="G50" i="1" l="1"/>
  <c r="G51" i="1" l="1"/>
  <c r="G52" i="1" l="1"/>
  <c r="G53" i="1" l="1"/>
  <c r="G54" i="1" l="1"/>
  <c r="G55" i="1" l="1"/>
  <c r="G56" i="1" l="1"/>
  <c r="G57" i="1" l="1"/>
  <c r="G59" i="1" l="1"/>
  <c r="G60" i="1" l="1"/>
  <c r="G61" i="1" l="1"/>
  <c r="G62" i="1" l="1"/>
  <c r="G63" i="1" l="1"/>
  <c r="G64" i="1" l="1"/>
  <c r="G65" i="1" l="1"/>
  <c r="G66" i="1" l="1"/>
  <c r="G67" i="1" l="1"/>
  <c r="G68" i="1" l="1"/>
  <c r="G69" i="1" l="1"/>
  <c r="G70" i="1" l="1"/>
  <c r="G71" i="1" l="1"/>
  <c r="G72" i="1" l="1"/>
  <c r="G73" i="1" l="1"/>
  <c r="G74" i="1" l="1"/>
  <c r="G75" i="1" l="1"/>
  <c r="G76" i="1" l="1"/>
  <c r="G77" i="1" l="1"/>
  <c r="G78" i="1" l="1"/>
  <c r="G79" i="1" l="1"/>
  <c r="G80" i="1" l="1"/>
  <c r="G81" i="1" l="1"/>
  <c r="G82" i="1" l="1"/>
  <c r="G83" i="1" l="1"/>
  <c r="G84" i="1" l="1"/>
  <c r="G85" i="1" l="1"/>
  <c r="G86" i="1" l="1"/>
  <c r="G87" i="1" l="1"/>
  <c r="G90" i="1" l="1"/>
  <c r="E93" i="1" l="1"/>
  <c r="E94" i="1" s="1"/>
</calcChain>
</file>

<file path=xl/sharedStrings.xml><?xml version="1.0" encoding="utf-8"?>
<sst xmlns="http://schemas.openxmlformats.org/spreadsheetml/2006/main" count="109" uniqueCount="30">
  <si>
    <t>Заемател</t>
  </si>
  <si>
    <t xml:space="preserve">Лихвен ЛИСТ </t>
  </si>
  <si>
    <t>Заемодател</t>
  </si>
  <si>
    <t xml:space="preserve">ТИБИЕЛ ЕООД </t>
  </si>
  <si>
    <t xml:space="preserve">С. Големо село </t>
  </si>
  <si>
    <t xml:space="preserve">Гранд Енерджи Дистрибюшън ЕООД </t>
  </si>
  <si>
    <t>гр Перник</t>
  </si>
  <si>
    <t xml:space="preserve">гр. София </t>
  </si>
  <si>
    <t>пл.Св. Иван Рилски 1</t>
  </si>
  <si>
    <t xml:space="preserve">Адрес : ИЗ ОРИОН ул. 3020 </t>
  </si>
  <si>
    <t>ЕИН :  106588084</t>
  </si>
  <si>
    <t>ЕИН :  201208860</t>
  </si>
  <si>
    <t>номер</t>
  </si>
  <si>
    <t>Предмет</t>
  </si>
  <si>
    <t xml:space="preserve">От </t>
  </si>
  <si>
    <t xml:space="preserve">До </t>
  </si>
  <si>
    <t xml:space="preserve">Главница </t>
  </si>
  <si>
    <t xml:space="preserve">Лихва за период </t>
  </si>
  <si>
    <t xml:space="preserve">Дължима лихва </t>
  </si>
  <si>
    <t>Лихва за период</t>
  </si>
  <si>
    <t>ОБЩО :</t>
  </si>
  <si>
    <t>`</t>
  </si>
  <si>
    <t>Изготвил:</t>
  </si>
  <si>
    <t xml:space="preserve">Даниел Бойчев </t>
  </si>
  <si>
    <t xml:space="preserve">За ГРАНД ЕНЕРДЖИ ДИСТРИБЮШЪН ЕООД : </t>
  </si>
  <si>
    <t xml:space="preserve">ЗА ТИБИЕЛ ЕООД : </t>
  </si>
  <si>
    <t xml:space="preserve">Начално салдо на лихви към  01.01.2021 г. : </t>
  </si>
  <si>
    <t>Реализирани лихви през 2021 г.</t>
  </si>
  <si>
    <t xml:space="preserve">Салдо  на лихва към  31.08.2021 г. </t>
  </si>
  <si>
    <t>Финансов директор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</si>
</sst>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лв-402]"/>
    <numFmt numFmtId="165" formatCode="0.000%"/>
  </numFmts>
  <fonts count="4" x14ac:knownFonts="1">
    <font>
      <sz val="11"/>
      <color theme="1"/>
      <name val="Calibri"/>
      <family val="2"/>
      <charset val="204"/>
      <scheme val="minor"/>
    </font>
    <font>
      <b/>
      <sz val="10"/>
      <name val="Tahoma"/>
      <family val="2"/>
      <charset val="204"/>
    </font>
    <font>
      <sz val="8"/>
      <name val="Tahoma"/>
      <family val="2"/>
      <charset val="204"/>
    </font>
    <font>
      <sz val="1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4" xfId="0" applyBorder="1" applyAlignment="1"/>
    <xf numFmtId="0" fontId="0" fillId="0" borderId="4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/>
    <xf numFmtId="14" fontId="3" fillId="0" borderId="1" xfId="0" applyNumberFormat="1" applyFont="1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/>
    <xf numFmtId="14" fontId="0" fillId="0" borderId="7" xfId="0" applyNumberFormat="1" applyBorder="1"/>
    <xf numFmtId="164" fontId="0" fillId="0" borderId="7" xfId="0" applyNumberFormat="1" applyBorder="1"/>
    <xf numFmtId="165" fontId="0" fillId="0" borderId="7" xfId="0" applyNumberFormat="1" applyBorder="1"/>
    <xf numFmtId="1" fontId="0" fillId="0" borderId="0" xfId="0" applyNumberFormat="1" applyBorder="1"/>
    <xf numFmtId="14" fontId="0" fillId="0" borderId="0" xfId="0" applyNumberFormat="1"/>
    <xf numFmtId="0" fontId="0" fillId="0" borderId="8" xfId="0" applyBorder="1"/>
    <xf numFmtId="164" fontId="1" fillId="0" borderId="6" xfId="0" applyNumberFormat="1" applyFont="1" applyBorder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3" fillId="0" borderId="0" xfId="0" applyFont="1"/>
    <xf numFmtId="164" fontId="1" fillId="0" borderId="1" xfId="0" applyNumberFormat="1" applyFont="1" applyBorder="1"/>
    <xf numFmtId="164" fontId="1" fillId="0" borderId="0" xfId="0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1" xfId="0" applyNumberFormat="1" applyFont="1" applyFill="1" applyBorder="1"/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2"/>
  <sheetViews>
    <sheetView tabSelected="1" workbookViewId="0">
      <selection activeCell="A87" sqref="A87"/>
    </sheetView>
  </sheetViews>
  <sheetFormatPr defaultRowHeight="15" x14ac:dyDescent="0.25"/>
  <cols>
    <col min="1" max="1" width="5.28515625" style="15" customWidth="1"/>
    <col min="2" max="2" width="17.28515625" customWidth="1"/>
    <col min="3" max="3" width="12.5703125" customWidth="1"/>
    <col min="4" max="4" width="12.28515625" customWidth="1"/>
    <col min="5" max="5" width="20.85546875" customWidth="1"/>
    <col min="6" max="6" width="15.42578125" customWidth="1"/>
    <col min="7" max="7" width="17.140625" customWidth="1"/>
    <col min="8" max="8" width="4.42578125" customWidth="1"/>
    <col min="10" max="10" width="12.7109375" bestFit="1" customWidth="1"/>
    <col min="257" max="257" width="5.28515625" customWidth="1"/>
    <col min="258" max="258" width="15.28515625" bestFit="1" customWidth="1"/>
    <col min="259" max="259" width="12.5703125" customWidth="1"/>
    <col min="260" max="260" width="12.28515625" customWidth="1"/>
    <col min="261" max="261" width="20.85546875" customWidth="1"/>
    <col min="262" max="262" width="15.42578125" customWidth="1"/>
    <col min="263" max="263" width="17.140625" customWidth="1"/>
    <col min="264" max="264" width="4.42578125" customWidth="1"/>
    <col min="266" max="266" width="12.7109375" bestFit="1" customWidth="1"/>
    <col min="513" max="513" width="5.28515625" customWidth="1"/>
    <col min="514" max="514" width="15.28515625" bestFit="1" customWidth="1"/>
    <col min="515" max="515" width="12.5703125" customWidth="1"/>
    <col min="516" max="516" width="12.28515625" customWidth="1"/>
    <col min="517" max="517" width="20.85546875" customWidth="1"/>
    <col min="518" max="518" width="15.42578125" customWidth="1"/>
    <col min="519" max="519" width="17.140625" customWidth="1"/>
    <col min="520" max="520" width="4.42578125" customWidth="1"/>
    <col min="522" max="522" width="12.7109375" bestFit="1" customWidth="1"/>
    <col min="769" max="769" width="5.28515625" customWidth="1"/>
    <col min="770" max="770" width="15.28515625" bestFit="1" customWidth="1"/>
    <col min="771" max="771" width="12.5703125" customWidth="1"/>
    <col min="772" max="772" width="12.28515625" customWidth="1"/>
    <col min="773" max="773" width="20.85546875" customWidth="1"/>
    <col min="774" max="774" width="15.42578125" customWidth="1"/>
    <col min="775" max="775" width="17.140625" customWidth="1"/>
    <col min="776" max="776" width="4.42578125" customWidth="1"/>
    <col min="778" max="778" width="12.7109375" bestFit="1" customWidth="1"/>
    <col min="1025" max="1025" width="5.28515625" customWidth="1"/>
    <col min="1026" max="1026" width="15.28515625" bestFit="1" customWidth="1"/>
    <col min="1027" max="1027" width="12.5703125" customWidth="1"/>
    <col min="1028" max="1028" width="12.28515625" customWidth="1"/>
    <col min="1029" max="1029" width="20.85546875" customWidth="1"/>
    <col min="1030" max="1030" width="15.42578125" customWidth="1"/>
    <col min="1031" max="1031" width="17.140625" customWidth="1"/>
    <col min="1032" max="1032" width="4.42578125" customWidth="1"/>
    <col min="1034" max="1034" width="12.7109375" bestFit="1" customWidth="1"/>
    <col min="1281" max="1281" width="5.28515625" customWidth="1"/>
    <col min="1282" max="1282" width="15.28515625" bestFit="1" customWidth="1"/>
    <col min="1283" max="1283" width="12.5703125" customWidth="1"/>
    <col min="1284" max="1284" width="12.28515625" customWidth="1"/>
    <col min="1285" max="1285" width="20.85546875" customWidth="1"/>
    <col min="1286" max="1286" width="15.42578125" customWidth="1"/>
    <col min="1287" max="1287" width="17.140625" customWidth="1"/>
    <col min="1288" max="1288" width="4.42578125" customWidth="1"/>
    <col min="1290" max="1290" width="12.7109375" bestFit="1" customWidth="1"/>
    <col min="1537" max="1537" width="5.28515625" customWidth="1"/>
    <col min="1538" max="1538" width="15.28515625" bestFit="1" customWidth="1"/>
    <col min="1539" max="1539" width="12.5703125" customWidth="1"/>
    <col min="1540" max="1540" width="12.28515625" customWidth="1"/>
    <col min="1541" max="1541" width="20.85546875" customWidth="1"/>
    <col min="1542" max="1542" width="15.42578125" customWidth="1"/>
    <col min="1543" max="1543" width="17.140625" customWidth="1"/>
    <col min="1544" max="1544" width="4.42578125" customWidth="1"/>
    <col min="1546" max="1546" width="12.7109375" bestFit="1" customWidth="1"/>
    <col min="1793" max="1793" width="5.28515625" customWidth="1"/>
    <col min="1794" max="1794" width="15.28515625" bestFit="1" customWidth="1"/>
    <col min="1795" max="1795" width="12.5703125" customWidth="1"/>
    <col min="1796" max="1796" width="12.28515625" customWidth="1"/>
    <col min="1797" max="1797" width="20.85546875" customWidth="1"/>
    <col min="1798" max="1798" width="15.42578125" customWidth="1"/>
    <col min="1799" max="1799" width="17.140625" customWidth="1"/>
    <col min="1800" max="1800" width="4.42578125" customWidth="1"/>
    <col min="1802" max="1802" width="12.7109375" bestFit="1" customWidth="1"/>
    <col min="2049" max="2049" width="5.28515625" customWidth="1"/>
    <col min="2050" max="2050" width="15.28515625" bestFit="1" customWidth="1"/>
    <col min="2051" max="2051" width="12.5703125" customWidth="1"/>
    <col min="2052" max="2052" width="12.28515625" customWidth="1"/>
    <col min="2053" max="2053" width="20.85546875" customWidth="1"/>
    <col min="2054" max="2054" width="15.42578125" customWidth="1"/>
    <col min="2055" max="2055" width="17.140625" customWidth="1"/>
    <col min="2056" max="2056" width="4.42578125" customWidth="1"/>
    <col min="2058" max="2058" width="12.7109375" bestFit="1" customWidth="1"/>
    <col min="2305" max="2305" width="5.28515625" customWidth="1"/>
    <col min="2306" max="2306" width="15.28515625" bestFit="1" customWidth="1"/>
    <col min="2307" max="2307" width="12.5703125" customWidth="1"/>
    <col min="2308" max="2308" width="12.28515625" customWidth="1"/>
    <col min="2309" max="2309" width="20.85546875" customWidth="1"/>
    <col min="2310" max="2310" width="15.42578125" customWidth="1"/>
    <col min="2311" max="2311" width="17.140625" customWidth="1"/>
    <col min="2312" max="2312" width="4.42578125" customWidth="1"/>
    <col min="2314" max="2314" width="12.7109375" bestFit="1" customWidth="1"/>
    <col min="2561" max="2561" width="5.28515625" customWidth="1"/>
    <col min="2562" max="2562" width="15.28515625" bestFit="1" customWidth="1"/>
    <col min="2563" max="2563" width="12.5703125" customWidth="1"/>
    <col min="2564" max="2564" width="12.28515625" customWidth="1"/>
    <col min="2565" max="2565" width="20.85546875" customWidth="1"/>
    <col min="2566" max="2566" width="15.42578125" customWidth="1"/>
    <col min="2567" max="2567" width="17.140625" customWidth="1"/>
    <col min="2568" max="2568" width="4.42578125" customWidth="1"/>
    <col min="2570" max="2570" width="12.7109375" bestFit="1" customWidth="1"/>
    <col min="2817" max="2817" width="5.28515625" customWidth="1"/>
    <col min="2818" max="2818" width="15.28515625" bestFit="1" customWidth="1"/>
    <col min="2819" max="2819" width="12.5703125" customWidth="1"/>
    <col min="2820" max="2820" width="12.28515625" customWidth="1"/>
    <col min="2821" max="2821" width="20.85546875" customWidth="1"/>
    <col min="2822" max="2822" width="15.42578125" customWidth="1"/>
    <col min="2823" max="2823" width="17.140625" customWidth="1"/>
    <col min="2824" max="2824" width="4.42578125" customWidth="1"/>
    <col min="2826" max="2826" width="12.7109375" bestFit="1" customWidth="1"/>
    <col min="3073" max="3073" width="5.28515625" customWidth="1"/>
    <col min="3074" max="3074" width="15.28515625" bestFit="1" customWidth="1"/>
    <col min="3075" max="3075" width="12.5703125" customWidth="1"/>
    <col min="3076" max="3076" width="12.28515625" customWidth="1"/>
    <col min="3077" max="3077" width="20.85546875" customWidth="1"/>
    <col min="3078" max="3078" width="15.42578125" customWidth="1"/>
    <col min="3079" max="3079" width="17.140625" customWidth="1"/>
    <col min="3080" max="3080" width="4.42578125" customWidth="1"/>
    <col min="3082" max="3082" width="12.7109375" bestFit="1" customWidth="1"/>
    <col min="3329" max="3329" width="5.28515625" customWidth="1"/>
    <col min="3330" max="3330" width="15.28515625" bestFit="1" customWidth="1"/>
    <col min="3331" max="3331" width="12.5703125" customWidth="1"/>
    <col min="3332" max="3332" width="12.28515625" customWidth="1"/>
    <col min="3333" max="3333" width="20.85546875" customWidth="1"/>
    <col min="3334" max="3334" width="15.42578125" customWidth="1"/>
    <col min="3335" max="3335" width="17.140625" customWidth="1"/>
    <col min="3336" max="3336" width="4.42578125" customWidth="1"/>
    <col min="3338" max="3338" width="12.7109375" bestFit="1" customWidth="1"/>
    <col min="3585" max="3585" width="5.28515625" customWidth="1"/>
    <col min="3586" max="3586" width="15.28515625" bestFit="1" customWidth="1"/>
    <col min="3587" max="3587" width="12.5703125" customWidth="1"/>
    <col min="3588" max="3588" width="12.28515625" customWidth="1"/>
    <col min="3589" max="3589" width="20.85546875" customWidth="1"/>
    <col min="3590" max="3590" width="15.42578125" customWidth="1"/>
    <col min="3591" max="3591" width="17.140625" customWidth="1"/>
    <col min="3592" max="3592" width="4.42578125" customWidth="1"/>
    <col min="3594" max="3594" width="12.7109375" bestFit="1" customWidth="1"/>
    <col min="3841" max="3841" width="5.28515625" customWidth="1"/>
    <col min="3842" max="3842" width="15.28515625" bestFit="1" customWidth="1"/>
    <col min="3843" max="3843" width="12.5703125" customWidth="1"/>
    <col min="3844" max="3844" width="12.28515625" customWidth="1"/>
    <col min="3845" max="3845" width="20.85546875" customWidth="1"/>
    <col min="3846" max="3846" width="15.42578125" customWidth="1"/>
    <col min="3847" max="3847" width="17.140625" customWidth="1"/>
    <col min="3848" max="3848" width="4.42578125" customWidth="1"/>
    <col min="3850" max="3850" width="12.7109375" bestFit="1" customWidth="1"/>
    <col min="4097" max="4097" width="5.28515625" customWidth="1"/>
    <col min="4098" max="4098" width="15.28515625" bestFit="1" customWidth="1"/>
    <col min="4099" max="4099" width="12.5703125" customWidth="1"/>
    <col min="4100" max="4100" width="12.28515625" customWidth="1"/>
    <col min="4101" max="4101" width="20.85546875" customWidth="1"/>
    <col min="4102" max="4102" width="15.42578125" customWidth="1"/>
    <col min="4103" max="4103" width="17.140625" customWidth="1"/>
    <col min="4104" max="4104" width="4.42578125" customWidth="1"/>
    <col min="4106" max="4106" width="12.7109375" bestFit="1" customWidth="1"/>
    <col min="4353" max="4353" width="5.28515625" customWidth="1"/>
    <col min="4354" max="4354" width="15.28515625" bestFit="1" customWidth="1"/>
    <col min="4355" max="4355" width="12.5703125" customWidth="1"/>
    <col min="4356" max="4356" width="12.28515625" customWidth="1"/>
    <col min="4357" max="4357" width="20.85546875" customWidth="1"/>
    <col min="4358" max="4358" width="15.42578125" customWidth="1"/>
    <col min="4359" max="4359" width="17.140625" customWidth="1"/>
    <col min="4360" max="4360" width="4.42578125" customWidth="1"/>
    <col min="4362" max="4362" width="12.7109375" bestFit="1" customWidth="1"/>
    <col min="4609" max="4609" width="5.28515625" customWidth="1"/>
    <col min="4610" max="4610" width="15.28515625" bestFit="1" customWidth="1"/>
    <col min="4611" max="4611" width="12.5703125" customWidth="1"/>
    <col min="4612" max="4612" width="12.28515625" customWidth="1"/>
    <col min="4613" max="4613" width="20.85546875" customWidth="1"/>
    <col min="4614" max="4614" width="15.42578125" customWidth="1"/>
    <col min="4615" max="4615" width="17.140625" customWidth="1"/>
    <col min="4616" max="4616" width="4.42578125" customWidth="1"/>
    <col min="4618" max="4618" width="12.7109375" bestFit="1" customWidth="1"/>
    <col min="4865" max="4865" width="5.28515625" customWidth="1"/>
    <col min="4866" max="4866" width="15.28515625" bestFit="1" customWidth="1"/>
    <col min="4867" max="4867" width="12.5703125" customWidth="1"/>
    <col min="4868" max="4868" width="12.28515625" customWidth="1"/>
    <col min="4869" max="4869" width="20.85546875" customWidth="1"/>
    <col min="4870" max="4870" width="15.42578125" customWidth="1"/>
    <col min="4871" max="4871" width="17.140625" customWidth="1"/>
    <col min="4872" max="4872" width="4.42578125" customWidth="1"/>
    <col min="4874" max="4874" width="12.7109375" bestFit="1" customWidth="1"/>
    <col min="5121" max="5121" width="5.28515625" customWidth="1"/>
    <col min="5122" max="5122" width="15.28515625" bestFit="1" customWidth="1"/>
    <col min="5123" max="5123" width="12.5703125" customWidth="1"/>
    <col min="5124" max="5124" width="12.28515625" customWidth="1"/>
    <col min="5125" max="5125" width="20.85546875" customWidth="1"/>
    <col min="5126" max="5126" width="15.42578125" customWidth="1"/>
    <col min="5127" max="5127" width="17.140625" customWidth="1"/>
    <col min="5128" max="5128" width="4.42578125" customWidth="1"/>
    <col min="5130" max="5130" width="12.7109375" bestFit="1" customWidth="1"/>
    <col min="5377" max="5377" width="5.28515625" customWidth="1"/>
    <col min="5378" max="5378" width="15.28515625" bestFit="1" customWidth="1"/>
    <col min="5379" max="5379" width="12.5703125" customWidth="1"/>
    <col min="5380" max="5380" width="12.28515625" customWidth="1"/>
    <col min="5381" max="5381" width="20.85546875" customWidth="1"/>
    <col min="5382" max="5382" width="15.42578125" customWidth="1"/>
    <col min="5383" max="5383" width="17.140625" customWidth="1"/>
    <col min="5384" max="5384" width="4.42578125" customWidth="1"/>
    <col min="5386" max="5386" width="12.7109375" bestFit="1" customWidth="1"/>
    <col min="5633" max="5633" width="5.28515625" customWidth="1"/>
    <col min="5634" max="5634" width="15.28515625" bestFit="1" customWidth="1"/>
    <col min="5635" max="5635" width="12.5703125" customWidth="1"/>
    <col min="5636" max="5636" width="12.28515625" customWidth="1"/>
    <col min="5637" max="5637" width="20.85546875" customWidth="1"/>
    <col min="5638" max="5638" width="15.42578125" customWidth="1"/>
    <col min="5639" max="5639" width="17.140625" customWidth="1"/>
    <col min="5640" max="5640" width="4.42578125" customWidth="1"/>
    <col min="5642" max="5642" width="12.7109375" bestFit="1" customWidth="1"/>
    <col min="5889" max="5889" width="5.28515625" customWidth="1"/>
    <col min="5890" max="5890" width="15.28515625" bestFit="1" customWidth="1"/>
    <col min="5891" max="5891" width="12.5703125" customWidth="1"/>
    <col min="5892" max="5892" width="12.28515625" customWidth="1"/>
    <col min="5893" max="5893" width="20.85546875" customWidth="1"/>
    <col min="5894" max="5894" width="15.42578125" customWidth="1"/>
    <col min="5895" max="5895" width="17.140625" customWidth="1"/>
    <col min="5896" max="5896" width="4.42578125" customWidth="1"/>
    <col min="5898" max="5898" width="12.7109375" bestFit="1" customWidth="1"/>
    <col min="6145" max="6145" width="5.28515625" customWidth="1"/>
    <col min="6146" max="6146" width="15.28515625" bestFit="1" customWidth="1"/>
    <col min="6147" max="6147" width="12.5703125" customWidth="1"/>
    <col min="6148" max="6148" width="12.28515625" customWidth="1"/>
    <col min="6149" max="6149" width="20.85546875" customWidth="1"/>
    <col min="6150" max="6150" width="15.42578125" customWidth="1"/>
    <col min="6151" max="6151" width="17.140625" customWidth="1"/>
    <col min="6152" max="6152" width="4.42578125" customWidth="1"/>
    <col min="6154" max="6154" width="12.7109375" bestFit="1" customWidth="1"/>
    <col min="6401" max="6401" width="5.28515625" customWidth="1"/>
    <col min="6402" max="6402" width="15.28515625" bestFit="1" customWidth="1"/>
    <col min="6403" max="6403" width="12.5703125" customWidth="1"/>
    <col min="6404" max="6404" width="12.28515625" customWidth="1"/>
    <col min="6405" max="6405" width="20.85546875" customWidth="1"/>
    <col min="6406" max="6406" width="15.42578125" customWidth="1"/>
    <col min="6407" max="6407" width="17.140625" customWidth="1"/>
    <col min="6408" max="6408" width="4.42578125" customWidth="1"/>
    <col min="6410" max="6410" width="12.7109375" bestFit="1" customWidth="1"/>
    <col min="6657" max="6657" width="5.28515625" customWidth="1"/>
    <col min="6658" max="6658" width="15.28515625" bestFit="1" customWidth="1"/>
    <col min="6659" max="6659" width="12.5703125" customWidth="1"/>
    <col min="6660" max="6660" width="12.28515625" customWidth="1"/>
    <col min="6661" max="6661" width="20.85546875" customWidth="1"/>
    <col min="6662" max="6662" width="15.42578125" customWidth="1"/>
    <col min="6663" max="6663" width="17.140625" customWidth="1"/>
    <col min="6664" max="6664" width="4.42578125" customWidth="1"/>
    <col min="6666" max="6666" width="12.7109375" bestFit="1" customWidth="1"/>
    <col min="6913" max="6913" width="5.28515625" customWidth="1"/>
    <col min="6914" max="6914" width="15.28515625" bestFit="1" customWidth="1"/>
    <col min="6915" max="6915" width="12.5703125" customWidth="1"/>
    <col min="6916" max="6916" width="12.28515625" customWidth="1"/>
    <col min="6917" max="6917" width="20.85546875" customWidth="1"/>
    <col min="6918" max="6918" width="15.42578125" customWidth="1"/>
    <col min="6919" max="6919" width="17.140625" customWidth="1"/>
    <col min="6920" max="6920" width="4.42578125" customWidth="1"/>
    <col min="6922" max="6922" width="12.7109375" bestFit="1" customWidth="1"/>
    <col min="7169" max="7169" width="5.28515625" customWidth="1"/>
    <col min="7170" max="7170" width="15.28515625" bestFit="1" customWidth="1"/>
    <col min="7171" max="7171" width="12.5703125" customWidth="1"/>
    <col min="7172" max="7172" width="12.28515625" customWidth="1"/>
    <col min="7173" max="7173" width="20.85546875" customWidth="1"/>
    <col min="7174" max="7174" width="15.42578125" customWidth="1"/>
    <col min="7175" max="7175" width="17.140625" customWidth="1"/>
    <col min="7176" max="7176" width="4.42578125" customWidth="1"/>
    <col min="7178" max="7178" width="12.7109375" bestFit="1" customWidth="1"/>
    <col min="7425" max="7425" width="5.28515625" customWidth="1"/>
    <col min="7426" max="7426" width="15.28515625" bestFit="1" customWidth="1"/>
    <col min="7427" max="7427" width="12.5703125" customWidth="1"/>
    <col min="7428" max="7428" width="12.28515625" customWidth="1"/>
    <col min="7429" max="7429" width="20.85546875" customWidth="1"/>
    <col min="7430" max="7430" width="15.42578125" customWidth="1"/>
    <col min="7431" max="7431" width="17.140625" customWidth="1"/>
    <col min="7432" max="7432" width="4.42578125" customWidth="1"/>
    <col min="7434" max="7434" width="12.7109375" bestFit="1" customWidth="1"/>
    <col min="7681" max="7681" width="5.28515625" customWidth="1"/>
    <col min="7682" max="7682" width="15.28515625" bestFit="1" customWidth="1"/>
    <col min="7683" max="7683" width="12.5703125" customWidth="1"/>
    <col min="7684" max="7684" width="12.28515625" customWidth="1"/>
    <col min="7685" max="7685" width="20.85546875" customWidth="1"/>
    <col min="7686" max="7686" width="15.42578125" customWidth="1"/>
    <col min="7687" max="7687" width="17.140625" customWidth="1"/>
    <col min="7688" max="7688" width="4.42578125" customWidth="1"/>
    <col min="7690" max="7690" width="12.7109375" bestFit="1" customWidth="1"/>
    <col min="7937" max="7937" width="5.28515625" customWidth="1"/>
    <col min="7938" max="7938" width="15.28515625" bestFit="1" customWidth="1"/>
    <col min="7939" max="7939" width="12.5703125" customWidth="1"/>
    <col min="7940" max="7940" width="12.28515625" customWidth="1"/>
    <col min="7941" max="7941" width="20.85546875" customWidth="1"/>
    <col min="7942" max="7942" width="15.42578125" customWidth="1"/>
    <col min="7943" max="7943" width="17.140625" customWidth="1"/>
    <col min="7944" max="7944" width="4.42578125" customWidth="1"/>
    <col min="7946" max="7946" width="12.7109375" bestFit="1" customWidth="1"/>
    <col min="8193" max="8193" width="5.28515625" customWidth="1"/>
    <col min="8194" max="8194" width="15.28515625" bestFit="1" customWidth="1"/>
    <col min="8195" max="8195" width="12.5703125" customWidth="1"/>
    <col min="8196" max="8196" width="12.28515625" customWidth="1"/>
    <col min="8197" max="8197" width="20.85546875" customWidth="1"/>
    <col min="8198" max="8198" width="15.42578125" customWidth="1"/>
    <col min="8199" max="8199" width="17.140625" customWidth="1"/>
    <col min="8200" max="8200" width="4.42578125" customWidth="1"/>
    <col min="8202" max="8202" width="12.7109375" bestFit="1" customWidth="1"/>
    <col min="8449" max="8449" width="5.28515625" customWidth="1"/>
    <col min="8450" max="8450" width="15.28515625" bestFit="1" customWidth="1"/>
    <col min="8451" max="8451" width="12.5703125" customWidth="1"/>
    <col min="8452" max="8452" width="12.28515625" customWidth="1"/>
    <col min="8453" max="8453" width="20.85546875" customWidth="1"/>
    <col min="8454" max="8454" width="15.42578125" customWidth="1"/>
    <col min="8455" max="8455" width="17.140625" customWidth="1"/>
    <col min="8456" max="8456" width="4.42578125" customWidth="1"/>
    <col min="8458" max="8458" width="12.7109375" bestFit="1" customWidth="1"/>
    <col min="8705" max="8705" width="5.28515625" customWidth="1"/>
    <col min="8706" max="8706" width="15.28515625" bestFit="1" customWidth="1"/>
    <col min="8707" max="8707" width="12.5703125" customWidth="1"/>
    <col min="8708" max="8708" width="12.28515625" customWidth="1"/>
    <col min="8709" max="8709" width="20.85546875" customWidth="1"/>
    <col min="8710" max="8710" width="15.42578125" customWidth="1"/>
    <col min="8711" max="8711" width="17.140625" customWidth="1"/>
    <col min="8712" max="8712" width="4.42578125" customWidth="1"/>
    <col min="8714" max="8714" width="12.7109375" bestFit="1" customWidth="1"/>
    <col min="8961" max="8961" width="5.28515625" customWidth="1"/>
    <col min="8962" max="8962" width="15.28515625" bestFit="1" customWidth="1"/>
    <col min="8963" max="8963" width="12.5703125" customWidth="1"/>
    <col min="8964" max="8964" width="12.28515625" customWidth="1"/>
    <col min="8965" max="8965" width="20.85546875" customWidth="1"/>
    <col min="8966" max="8966" width="15.42578125" customWidth="1"/>
    <col min="8967" max="8967" width="17.140625" customWidth="1"/>
    <col min="8968" max="8968" width="4.42578125" customWidth="1"/>
    <col min="8970" max="8970" width="12.7109375" bestFit="1" customWidth="1"/>
    <col min="9217" max="9217" width="5.28515625" customWidth="1"/>
    <col min="9218" max="9218" width="15.28515625" bestFit="1" customWidth="1"/>
    <col min="9219" max="9219" width="12.5703125" customWidth="1"/>
    <col min="9220" max="9220" width="12.28515625" customWidth="1"/>
    <col min="9221" max="9221" width="20.85546875" customWidth="1"/>
    <col min="9222" max="9222" width="15.42578125" customWidth="1"/>
    <col min="9223" max="9223" width="17.140625" customWidth="1"/>
    <col min="9224" max="9224" width="4.42578125" customWidth="1"/>
    <col min="9226" max="9226" width="12.7109375" bestFit="1" customWidth="1"/>
    <col min="9473" max="9473" width="5.28515625" customWidth="1"/>
    <col min="9474" max="9474" width="15.28515625" bestFit="1" customWidth="1"/>
    <col min="9475" max="9475" width="12.5703125" customWidth="1"/>
    <col min="9476" max="9476" width="12.28515625" customWidth="1"/>
    <col min="9477" max="9477" width="20.85546875" customWidth="1"/>
    <col min="9478" max="9478" width="15.42578125" customWidth="1"/>
    <col min="9479" max="9479" width="17.140625" customWidth="1"/>
    <col min="9480" max="9480" width="4.42578125" customWidth="1"/>
    <col min="9482" max="9482" width="12.7109375" bestFit="1" customWidth="1"/>
    <col min="9729" max="9729" width="5.28515625" customWidth="1"/>
    <col min="9730" max="9730" width="15.28515625" bestFit="1" customWidth="1"/>
    <col min="9731" max="9731" width="12.5703125" customWidth="1"/>
    <col min="9732" max="9732" width="12.28515625" customWidth="1"/>
    <col min="9733" max="9733" width="20.85546875" customWidth="1"/>
    <col min="9734" max="9734" width="15.42578125" customWidth="1"/>
    <col min="9735" max="9735" width="17.140625" customWidth="1"/>
    <col min="9736" max="9736" width="4.42578125" customWidth="1"/>
    <col min="9738" max="9738" width="12.7109375" bestFit="1" customWidth="1"/>
    <col min="9985" max="9985" width="5.28515625" customWidth="1"/>
    <col min="9986" max="9986" width="15.28515625" bestFit="1" customWidth="1"/>
    <col min="9987" max="9987" width="12.5703125" customWidth="1"/>
    <col min="9988" max="9988" width="12.28515625" customWidth="1"/>
    <col min="9989" max="9989" width="20.85546875" customWidth="1"/>
    <col min="9990" max="9990" width="15.42578125" customWidth="1"/>
    <col min="9991" max="9991" width="17.140625" customWidth="1"/>
    <col min="9992" max="9992" width="4.42578125" customWidth="1"/>
    <col min="9994" max="9994" width="12.7109375" bestFit="1" customWidth="1"/>
    <col min="10241" max="10241" width="5.28515625" customWidth="1"/>
    <col min="10242" max="10242" width="15.28515625" bestFit="1" customWidth="1"/>
    <col min="10243" max="10243" width="12.5703125" customWidth="1"/>
    <col min="10244" max="10244" width="12.28515625" customWidth="1"/>
    <col min="10245" max="10245" width="20.85546875" customWidth="1"/>
    <col min="10246" max="10246" width="15.42578125" customWidth="1"/>
    <col min="10247" max="10247" width="17.140625" customWidth="1"/>
    <col min="10248" max="10248" width="4.42578125" customWidth="1"/>
    <col min="10250" max="10250" width="12.7109375" bestFit="1" customWidth="1"/>
    <col min="10497" max="10497" width="5.28515625" customWidth="1"/>
    <col min="10498" max="10498" width="15.28515625" bestFit="1" customWidth="1"/>
    <col min="10499" max="10499" width="12.5703125" customWidth="1"/>
    <col min="10500" max="10500" width="12.28515625" customWidth="1"/>
    <col min="10501" max="10501" width="20.85546875" customWidth="1"/>
    <col min="10502" max="10502" width="15.42578125" customWidth="1"/>
    <col min="10503" max="10503" width="17.140625" customWidth="1"/>
    <col min="10504" max="10504" width="4.42578125" customWidth="1"/>
    <col min="10506" max="10506" width="12.7109375" bestFit="1" customWidth="1"/>
    <col min="10753" max="10753" width="5.28515625" customWidth="1"/>
    <col min="10754" max="10754" width="15.28515625" bestFit="1" customWidth="1"/>
    <col min="10755" max="10755" width="12.5703125" customWidth="1"/>
    <col min="10756" max="10756" width="12.28515625" customWidth="1"/>
    <col min="10757" max="10757" width="20.85546875" customWidth="1"/>
    <col min="10758" max="10758" width="15.42578125" customWidth="1"/>
    <col min="10759" max="10759" width="17.140625" customWidth="1"/>
    <col min="10760" max="10760" width="4.42578125" customWidth="1"/>
    <col min="10762" max="10762" width="12.7109375" bestFit="1" customWidth="1"/>
    <col min="11009" max="11009" width="5.28515625" customWidth="1"/>
    <col min="11010" max="11010" width="15.28515625" bestFit="1" customWidth="1"/>
    <col min="11011" max="11011" width="12.5703125" customWidth="1"/>
    <col min="11012" max="11012" width="12.28515625" customWidth="1"/>
    <col min="11013" max="11013" width="20.85546875" customWidth="1"/>
    <col min="11014" max="11014" width="15.42578125" customWidth="1"/>
    <col min="11015" max="11015" width="17.140625" customWidth="1"/>
    <col min="11016" max="11016" width="4.42578125" customWidth="1"/>
    <col min="11018" max="11018" width="12.7109375" bestFit="1" customWidth="1"/>
    <col min="11265" max="11265" width="5.28515625" customWidth="1"/>
    <col min="11266" max="11266" width="15.28515625" bestFit="1" customWidth="1"/>
    <col min="11267" max="11267" width="12.5703125" customWidth="1"/>
    <col min="11268" max="11268" width="12.28515625" customWidth="1"/>
    <col min="11269" max="11269" width="20.85546875" customWidth="1"/>
    <col min="11270" max="11270" width="15.42578125" customWidth="1"/>
    <col min="11271" max="11271" width="17.140625" customWidth="1"/>
    <col min="11272" max="11272" width="4.42578125" customWidth="1"/>
    <col min="11274" max="11274" width="12.7109375" bestFit="1" customWidth="1"/>
    <col min="11521" max="11521" width="5.28515625" customWidth="1"/>
    <col min="11522" max="11522" width="15.28515625" bestFit="1" customWidth="1"/>
    <col min="11523" max="11523" width="12.5703125" customWidth="1"/>
    <col min="11524" max="11524" width="12.28515625" customWidth="1"/>
    <col min="11525" max="11525" width="20.85546875" customWidth="1"/>
    <col min="11526" max="11526" width="15.42578125" customWidth="1"/>
    <col min="11527" max="11527" width="17.140625" customWidth="1"/>
    <col min="11528" max="11528" width="4.42578125" customWidth="1"/>
    <col min="11530" max="11530" width="12.7109375" bestFit="1" customWidth="1"/>
    <col min="11777" max="11777" width="5.28515625" customWidth="1"/>
    <col min="11778" max="11778" width="15.28515625" bestFit="1" customWidth="1"/>
    <col min="11779" max="11779" width="12.5703125" customWidth="1"/>
    <col min="11780" max="11780" width="12.28515625" customWidth="1"/>
    <col min="11781" max="11781" width="20.85546875" customWidth="1"/>
    <col min="11782" max="11782" width="15.42578125" customWidth="1"/>
    <col min="11783" max="11783" width="17.140625" customWidth="1"/>
    <col min="11784" max="11784" width="4.42578125" customWidth="1"/>
    <col min="11786" max="11786" width="12.7109375" bestFit="1" customWidth="1"/>
    <col min="12033" max="12033" width="5.28515625" customWidth="1"/>
    <col min="12034" max="12034" width="15.28515625" bestFit="1" customWidth="1"/>
    <col min="12035" max="12035" width="12.5703125" customWidth="1"/>
    <col min="12036" max="12036" width="12.28515625" customWidth="1"/>
    <col min="12037" max="12037" width="20.85546875" customWidth="1"/>
    <col min="12038" max="12038" width="15.42578125" customWidth="1"/>
    <col min="12039" max="12039" width="17.140625" customWidth="1"/>
    <col min="12040" max="12040" width="4.42578125" customWidth="1"/>
    <col min="12042" max="12042" width="12.7109375" bestFit="1" customWidth="1"/>
    <col min="12289" max="12289" width="5.28515625" customWidth="1"/>
    <col min="12290" max="12290" width="15.28515625" bestFit="1" customWidth="1"/>
    <col min="12291" max="12291" width="12.5703125" customWidth="1"/>
    <col min="12292" max="12292" width="12.28515625" customWidth="1"/>
    <col min="12293" max="12293" width="20.85546875" customWidth="1"/>
    <col min="12294" max="12294" width="15.42578125" customWidth="1"/>
    <col min="12295" max="12295" width="17.140625" customWidth="1"/>
    <col min="12296" max="12296" width="4.42578125" customWidth="1"/>
    <col min="12298" max="12298" width="12.7109375" bestFit="1" customWidth="1"/>
    <col min="12545" max="12545" width="5.28515625" customWidth="1"/>
    <col min="12546" max="12546" width="15.28515625" bestFit="1" customWidth="1"/>
    <col min="12547" max="12547" width="12.5703125" customWidth="1"/>
    <col min="12548" max="12548" width="12.28515625" customWidth="1"/>
    <col min="12549" max="12549" width="20.85546875" customWidth="1"/>
    <col min="12550" max="12550" width="15.42578125" customWidth="1"/>
    <col min="12551" max="12551" width="17.140625" customWidth="1"/>
    <col min="12552" max="12552" width="4.42578125" customWidth="1"/>
    <col min="12554" max="12554" width="12.7109375" bestFit="1" customWidth="1"/>
    <col min="12801" max="12801" width="5.28515625" customWidth="1"/>
    <col min="12802" max="12802" width="15.28515625" bestFit="1" customWidth="1"/>
    <col min="12803" max="12803" width="12.5703125" customWidth="1"/>
    <col min="12804" max="12804" width="12.28515625" customWidth="1"/>
    <col min="12805" max="12805" width="20.85546875" customWidth="1"/>
    <col min="12806" max="12806" width="15.42578125" customWidth="1"/>
    <col min="12807" max="12807" width="17.140625" customWidth="1"/>
    <col min="12808" max="12808" width="4.42578125" customWidth="1"/>
    <col min="12810" max="12810" width="12.7109375" bestFit="1" customWidth="1"/>
    <col min="13057" max="13057" width="5.28515625" customWidth="1"/>
    <col min="13058" max="13058" width="15.28515625" bestFit="1" customWidth="1"/>
    <col min="13059" max="13059" width="12.5703125" customWidth="1"/>
    <col min="13060" max="13060" width="12.28515625" customWidth="1"/>
    <col min="13061" max="13061" width="20.85546875" customWidth="1"/>
    <col min="13062" max="13062" width="15.42578125" customWidth="1"/>
    <col min="13063" max="13063" width="17.140625" customWidth="1"/>
    <col min="13064" max="13064" width="4.42578125" customWidth="1"/>
    <col min="13066" max="13066" width="12.7109375" bestFit="1" customWidth="1"/>
    <col min="13313" max="13313" width="5.28515625" customWidth="1"/>
    <col min="13314" max="13314" width="15.28515625" bestFit="1" customWidth="1"/>
    <col min="13315" max="13315" width="12.5703125" customWidth="1"/>
    <col min="13316" max="13316" width="12.28515625" customWidth="1"/>
    <col min="13317" max="13317" width="20.85546875" customWidth="1"/>
    <col min="13318" max="13318" width="15.42578125" customWidth="1"/>
    <col min="13319" max="13319" width="17.140625" customWidth="1"/>
    <col min="13320" max="13320" width="4.42578125" customWidth="1"/>
    <col min="13322" max="13322" width="12.7109375" bestFit="1" customWidth="1"/>
    <col min="13569" max="13569" width="5.28515625" customWidth="1"/>
    <col min="13570" max="13570" width="15.28515625" bestFit="1" customWidth="1"/>
    <col min="13571" max="13571" width="12.5703125" customWidth="1"/>
    <col min="13572" max="13572" width="12.28515625" customWidth="1"/>
    <col min="13573" max="13573" width="20.85546875" customWidth="1"/>
    <col min="13574" max="13574" width="15.42578125" customWidth="1"/>
    <col min="13575" max="13575" width="17.140625" customWidth="1"/>
    <col min="13576" max="13576" width="4.42578125" customWidth="1"/>
    <col min="13578" max="13578" width="12.7109375" bestFit="1" customWidth="1"/>
    <col min="13825" max="13825" width="5.28515625" customWidth="1"/>
    <col min="13826" max="13826" width="15.28515625" bestFit="1" customWidth="1"/>
    <col min="13827" max="13827" width="12.5703125" customWidth="1"/>
    <col min="13828" max="13828" width="12.28515625" customWidth="1"/>
    <col min="13829" max="13829" width="20.85546875" customWidth="1"/>
    <col min="13830" max="13830" width="15.42578125" customWidth="1"/>
    <col min="13831" max="13831" width="17.140625" customWidth="1"/>
    <col min="13832" max="13832" width="4.42578125" customWidth="1"/>
    <col min="13834" max="13834" width="12.7109375" bestFit="1" customWidth="1"/>
    <col min="14081" max="14081" width="5.28515625" customWidth="1"/>
    <col min="14082" max="14082" width="15.28515625" bestFit="1" customWidth="1"/>
    <col min="14083" max="14083" width="12.5703125" customWidth="1"/>
    <col min="14084" max="14084" width="12.28515625" customWidth="1"/>
    <col min="14085" max="14085" width="20.85546875" customWidth="1"/>
    <col min="14086" max="14086" width="15.42578125" customWidth="1"/>
    <col min="14087" max="14087" width="17.140625" customWidth="1"/>
    <col min="14088" max="14088" width="4.42578125" customWidth="1"/>
    <col min="14090" max="14090" width="12.7109375" bestFit="1" customWidth="1"/>
    <col min="14337" max="14337" width="5.28515625" customWidth="1"/>
    <col min="14338" max="14338" width="15.28515625" bestFit="1" customWidth="1"/>
    <col min="14339" max="14339" width="12.5703125" customWidth="1"/>
    <col min="14340" max="14340" width="12.28515625" customWidth="1"/>
    <col min="14341" max="14341" width="20.85546875" customWidth="1"/>
    <col min="14342" max="14342" width="15.42578125" customWidth="1"/>
    <col min="14343" max="14343" width="17.140625" customWidth="1"/>
    <col min="14344" max="14344" width="4.42578125" customWidth="1"/>
    <col min="14346" max="14346" width="12.7109375" bestFit="1" customWidth="1"/>
    <col min="14593" max="14593" width="5.28515625" customWidth="1"/>
    <col min="14594" max="14594" width="15.28515625" bestFit="1" customWidth="1"/>
    <col min="14595" max="14595" width="12.5703125" customWidth="1"/>
    <col min="14596" max="14596" width="12.28515625" customWidth="1"/>
    <col min="14597" max="14597" width="20.85546875" customWidth="1"/>
    <col min="14598" max="14598" width="15.42578125" customWidth="1"/>
    <col min="14599" max="14599" width="17.140625" customWidth="1"/>
    <col min="14600" max="14600" width="4.42578125" customWidth="1"/>
    <col min="14602" max="14602" width="12.7109375" bestFit="1" customWidth="1"/>
    <col min="14849" max="14849" width="5.28515625" customWidth="1"/>
    <col min="14850" max="14850" width="15.28515625" bestFit="1" customWidth="1"/>
    <col min="14851" max="14851" width="12.5703125" customWidth="1"/>
    <col min="14852" max="14852" width="12.28515625" customWidth="1"/>
    <col min="14853" max="14853" width="20.85546875" customWidth="1"/>
    <col min="14854" max="14854" width="15.42578125" customWidth="1"/>
    <col min="14855" max="14855" width="17.140625" customWidth="1"/>
    <col min="14856" max="14856" width="4.42578125" customWidth="1"/>
    <col min="14858" max="14858" width="12.7109375" bestFit="1" customWidth="1"/>
    <col min="15105" max="15105" width="5.28515625" customWidth="1"/>
    <col min="15106" max="15106" width="15.28515625" bestFit="1" customWidth="1"/>
    <col min="15107" max="15107" width="12.5703125" customWidth="1"/>
    <col min="15108" max="15108" width="12.28515625" customWidth="1"/>
    <col min="15109" max="15109" width="20.85546875" customWidth="1"/>
    <col min="15110" max="15110" width="15.42578125" customWidth="1"/>
    <col min="15111" max="15111" width="17.140625" customWidth="1"/>
    <col min="15112" max="15112" width="4.42578125" customWidth="1"/>
    <col min="15114" max="15114" width="12.7109375" bestFit="1" customWidth="1"/>
    <col min="15361" max="15361" width="5.28515625" customWidth="1"/>
    <col min="15362" max="15362" width="15.28515625" bestFit="1" customWidth="1"/>
    <col min="15363" max="15363" width="12.5703125" customWidth="1"/>
    <col min="15364" max="15364" width="12.28515625" customWidth="1"/>
    <col min="15365" max="15365" width="20.85546875" customWidth="1"/>
    <col min="15366" max="15366" width="15.42578125" customWidth="1"/>
    <col min="15367" max="15367" width="17.140625" customWidth="1"/>
    <col min="15368" max="15368" width="4.42578125" customWidth="1"/>
    <col min="15370" max="15370" width="12.7109375" bestFit="1" customWidth="1"/>
    <col min="15617" max="15617" width="5.28515625" customWidth="1"/>
    <col min="15618" max="15618" width="15.28515625" bestFit="1" customWidth="1"/>
    <col min="15619" max="15619" width="12.5703125" customWidth="1"/>
    <col min="15620" max="15620" width="12.28515625" customWidth="1"/>
    <col min="15621" max="15621" width="20.85546875" customWidth="1"/>
    <col min="15622" max="15622" width="15.42578125" customWidth="1"/>
    <col min="15623" max="15623" width="17.140625" customWidth="1"/>
    <col min="15624" max="15624" width="4.42578125" customWidth="1"/>
    <col min="15626" max="15626" width="12.7109375" bestFit="1" customWidth="1"/>
    <col min="15873" max="15873" width="5.28515625" customWidth="1"/>
    <col min="15874" max="15874" width="15.28515625" bestFit="1" customWidth="1"/>
    <col min="15875" max="15875" width="12.5703125" customWidth="1"/>
    <col min="15876" max="15876" width="12.28515625" customWidth="1"/>
    <col min="15877" max="15877" width="20.85546875" customWidth="1"/>
    <col min="15878" max="15878" width="15.42578125" customWidth="1"/>
    <col min="15879" max="15879" width="17.140625" customWidth="1"/>
    <col min="15880" max="15880" width="4.42578125" customWidth="1"/>
    <col min="15882" max="15882" width="12.7109375" bestFit="1" customWidth="1"/>
    <col min="16129" max="16129" width="5.28515625" customWidth="1"/>
    <col min="16130" max="16130" width="15.28515625" bestFit="1" customWidth="1"/>
    <col min="16131" max="16131" width="12.5703125" customWidth="1"/>
    <col min="16132" max="16132" width="12.28515625" customWidth="1"/>
    <col min="16133" max="16133" width="20.85546875" customWidth="1"/>
    <col min="16134" max="16134" width="15.42578125" customWidth="1"/>
    <col min="16135" max="16135" width="17.140625" customWidth="1"/>
    <col min="16136" max="16136" width="4.42578125" customWidth="1"/>
    <col min="16138" max="16138" width="12.7109375" bestFit="1" customWidth="1"/>
  </cols>
  <sheetData>
    <row r="1" spans="1:8" x14ac:dyDescent="0.25">
      <c r="A1" s="31" t="s">
        <v>0</v>
      </c>
      <c r="B1" s="31"/>
      <c r="C1" s="31"/>
      <c r="D1" s="31"/>
      <c r="E1" s="1" t="s">
        <v>1</v>
      </c>
      <c r="F1" s="2" t="s">
        <v>2</v>
      </c>
      <c r="G1" s="2"/>
      <c r="H1" s="2"/>
    </row>
    <row r="2" spans="1:8" x14ac:dyDescent="0.25">
      <c r="A2" s="32" t="s">
        <v>3</v>
      </c>
      <c r="B2" s="32"/>
      <c r="C2" s="32"/>
      <c r="D2" s="32"/>
      <c r="E2" s="2" t="s">
        <v>4</v>
      </c>
      <c r="F2" s="33" t="s">
        <v>5</v>
      </c>
      <c r="G2" s="34"/>
      <c r="H2" s="35"/>
    </row>
    <row r="3" spans="1:8" x14ac:dyDescent="0.25">
      <c r="A3" s="3"/>
      <c r="B3" s="31" t="s">
        <v>6</v>
      </c>
      <c r="C3" s="31"/>
      <c r="D3" s="31"/>
      <c r="E3" s="2"/>
      <c r="F3" s="31" t="s">
        <v>7</v>
      </c>
      <c r="G3" s="31"/>
      <c r="H3" s="2"/>
    </row>
    <row r="4" spans="1:8" x14ac:dyDescent="0.25">
      <c r="A4" s="3"/>
      <c r="B4" s="31" t="s">
        <v>8</v>
      </c>
      <c r="C4" s="31"/>
      <c r="D4" s="31"/>
      <c r="E4" s="2"/>
      <c r="F4" s="4" t="s">
        <v>9</v>
      </c>
      <c r="G4" s="5"/>
      <c r="H4" s="6"/>
    </row>
    <row r="5" spans="1:8" x14ac:dyDescent="0.25">
      <c r="A5" s="3"/>
      <c r="B5" s="31" t="s">
        <v>10</v>
      </c>
      <c r="C5" s="31"/>
      <c r="D5" s="31"/>
      <c r="E5" s="2"/>
      <c r="F5" s="31" t="s">
        <v>11</v>
      </c>
      <c r="G5" s="31"/>
      <c r="H5" s="2"/>
    </row>
    <row r="6" spans="1:8" ht="9.1999999999999993" customHeight="1" x14ac:dyDescent="0.25">
      <c r="A6" s="3"/>
      <c r="B6" s="7"/>
      <c r="C6" s="2"/>
      <c r="D6" s="2"/>
      <c r="E6" s="2"/>
      <c r="F6" s="2"/>
      <c r="G6" s="2"/>
      <c r="H6" s="2"/>
    </row>
    <row r="7" spans="1:8" ht="13.35" customHeight="1" x14ac:dyDescent="0.25">
      <c r="A7" s="8" t="s">
        <v>12</v>
      </c>
      <c r="B7" s="7" t="s">
        <v>13</v>
      </c>
      <c r="C7" s="2" t="s">
        <v>14</v>
      </c>
      <c r="D7" s="2" t="s">
        <v>15</v>
      </c>
      <c r="E7" s="2" t="s">
        <v>16</v>
      </c>
      <c r="F7" s="2" t="s">
        <v>17</v>
      </c>
      <c r="G7" s="2" t="s">
        <v>18</v>
      </c>
      <c r="H7" s="2"/>
    </row>
    <row r="8" spans="1:8" ht="13.35" customHeight="1" x14ac:dyDescent="0.25">
      <c r="A8" s="37">
        <v>1</v>
      </c>
      <c r="B8" s="2" t="s">
        <v>19</v>
      </c>
      <c r="C8" s="10">
        <v>44197</v>
      </c>
      <c r="D8" s="11">
        <f t="shared" ref="D8:D70" si="0">C9-1</f>
        <v>44200</v>
      </c>
      <c r="E8" s="12">
        <v>1132100</v>
      </c>
      <c r="F8" s="13">
        <f>7%/360*H8</f>
        <v>7.7777777777777784E-4</v>
      </c>
      <c r="G8" s="12">
        <f t="shared" ref="G8:G70" si="1">E8*F8</f>
        <v>880.52222222222224</v>
      </c>
      <c r="H8" s="14">
        <f>(D8-C8+1)</f>
        <v>4</v>
      </c>
    </row>
    <row r="9" spans="1:8" ht="13.35" customHeight="1" x14ac:dyDescent="0.25">
      <c r="A9" s="38"/>
      <c r="B9" s="2" t="s">
        <v>19</v>
      </c>
      <c r="C9" s="10">
        <v>44201</v>
      </c>
      <c r="D9" s="11">
        <f t="shared" si="0"/>
        <v>44201</v>
      </c>
      <c r="E9" s="12">
        <f>E8+48600</f>
        <v>1180700</v>
      </c>
      <c r="F9" s="13">
        <f t="shared" ref="F9:F72" si="2">7%/360*H9</f>
        <v>1.9444444444444446E-4</v>
      </c>
      <c r="G9" s="12">
        <f t="shared" si="1"/>
        <v>229.58055555555558</v>
      </c>
      <c r="H9" s="14">
        <f>(D9-C9+1)</f>
        <v>1</v>
      </c>
    </row>
    <row r="10" spans="1:8" ht="13.35" customHeight="1" x14ac:dyDescent="0.25">
      <c r="A10" s="38"/>
      <c r="B10" s="2" t="s">
        <v>19</v>
      </c>
      <c r="C10" s="10">
        <v>44202</v>
      </c>
      <c r="D10" s="11">
        <f t="shared" si="0"/>
        <v>44203</v>
      </c>
      <c r="E10" s="12">
        <f>E9-70000</f>
        <v>1110700</v>
      </c>
      <c r="F10" s="13">
        <f t="shared" si="2"/>
        <v>3.8888888888888892E-4</v>
      </c>
      <c r="G10" s="12">
        <f t="shared" si="1"/>
        <v>431.93888888888893</v>
      </c>
      <c r="H10" s="14">
        <f>(D10-C10+1)</f>
        <v>2</v>
      </c>
    </row>
    <row r="11" spans="1:8" ht="13.35" customHeight="1" x14ac:dyDescent="0.25">
      <c r="A11" s="38"/>
      <c r="B11" s="2" t="s">
        <v>19</v>
      </c>
      <c r="C11" s="10">
        <v>44204</v>
      </c>
      <c r="D11" s="11">
        <f t="shared" si="0"/>
        <v>44208</v>
      </c>
      <c r="E11" s="12">
        <f>E10+1598000</f>
        <v>2708700</v>
      </c>
      <c r="F11" s="13">
        <f t="shared" si="2"/>
        <v>7.7777777777777784E-4</v>
      </c>
      <c r="G11" s="12">
        <f t="shared" si="1"/>
        <v>2106.7666666666669</v>
      </c>
      <c r="H11" s="14">
        <f>(D11-C11)</f>
        <v>4</v>
      </c>
    </row>
    <row r="12" spans="1:8" ht="13.35" customHeight="1" x14ac:dyDescent="0.25">
      <c r="A12" s="38"/>
      <c r="B12" s="2" t="s">
        <v>19</v>
      </c>
      <c r="C12" s="10">
        <v>44209</v>
      </c>
      <c r="D12" s="11">
        <f t="shared" si="0"/>
        <v>44209</v>
      </c>
      <c r="E12" s="12">
        <f>E11+800000</f>
        <v>3508700</v>
      </c>
      <c r="F12" s="13">
        <f t="shared" si="2"/>
        <v>1.9444444444444446E-4</v>
      </c>
      <c r="G12" s="12">
        <f t="shared" si="1"/>
        <v>682.24722222222226</v>
      </c>
      <c r="H12" s="14">
        <f>(D12-C12+1)</f>
        <v>1</v>
      </c>
    </row>
    <row r="13" spans="1:8" ht="13.35" customHeight="1" x14ac:dyDescent="0.25">
      <c r="A13" s="38"/>
      <c r="B13" s="2" t="s">
        <v>19</v>
      </c>
      <c r="C13" s="10">
        <v>44210</v>
      </c>
      <c r="D13" s="11">
        <f t="shared" si="0"/>
        <v>44214</v>
      </c>
      <c r="E13" s="12">
        <f>E12+29700</f>
        <v>3538400</v>
      </c>
      <c r="F13" s="13">
        <f t="shared" si="2"/>
        <v>7.7777777777777784E-4</v>
      </c>
      <c r="G13" s="12">
        <f t="shared" si="1"/>
        <v>2752.088888888889</v>
      </c>
      <c r="H13" s="14">
        <f>(D13-C13)</f>
        <v>4</v>
      </c>
    </row>
    <row r="14" spans="1:8" ht="13.35" customHeight="1" x14ac:dyDescent="0.25">
      <c r="A14" s="38"/>
      <c r="B14" s="2" t="s">
        <v>19</v>
      </c>
      <c r="C14" s="10">
        <v>44215</v>
      </c>
      <c r="D14" s="11">
        <f t="shared" si="0"/>
        <v>44216</v>
      </c>
      <c r="E14" s="12">
        <f>E13+137000</f>
        <v>3675400</v>
      </c>
      <c r="F14" s="13">
        <f t="shared" si="2"/>
        <v>3.8888888888888892E-4</v>
      </c>
      <c r="G14" s="12">
        <f t="shared" si="1"/>
        <v>1429.3222222222223</v>
      </c>
      <c r="H14" s="14">
        <f>(D14-C14+1)</f>
        <v>2</v>
      </c>
    </row>
    <row r="15" spans="1:8" ht="13.35" customHeight="1" x14ac:dyDescent="0.25">
      <c r="A15" s="38"/>
      <c r="B15" s="2" t="s">
        <v>19</v>
      </c>
      <c r="C15" s="10">
        <v>44217</v>
      </c>
      <c r="D15" s="11">
        <f t="shared" si="0"/>
        <v>44217</v>
      </c>
      <c r="E15" s="12">
        <f>E14+3*900000+595800</f>
        <v>6971200</v>
      </c>
      <c r="F15" s="13">
        <f t="shared" si="2"/>
        <v>1.9444444444444446E-4</v>
      </c>
      <c r="G15" s="12">
        <f t="shared" si="1"/>
        <v>1355.5111111111112</v>
      </c>
      <c r="H15" s="14">
        <f>(D15-C15+1)</f>
        <v>1</v>
      </c>
    </row>
    <row r="16" spans="1:8" ht="13.35" customHeight="1" x14ac:dyDescent="0.25">
      <c r="A16" s="38"/>
      <c r="B16" s="2" t="s">
        <v>19</v>
      </c>
      <c r="C16" s="10">
        <v>44218</v>
      </c>
      <c r="D16" s="11">
        <f t="shared" si="0"/>
        <v>44224</v>
      </c>
      <c r="E16" s="12">
        <f>E15-81000</f>
        <v>6890200</v>
      </c>
      <c r="F16" s="13">
        <f t="shared" si="2"/>
        <v>1.3611111111111111E-3</v>
      </c>
      <c r="G16" s="12">
        <f t="shared" si="1"/>
        <v>9378.3277777777785</v>
      </c>
      <c r="H16" s="14">
        <f>(D16-C16+1)</f>
        <v>7</v>
      </c>
    </row>
    <row r="17" spans="1:8" ht="13.35" customHeight="1" x14ac:dyDescent="0.25">
      <c r="A17" s="38"/>
      <c r="B17" s="2" t="s">
        <v>19</v>
      </c>
      <c r="C17" s="10">
        <v>44225</v>
      </c>
      <c r="D17" s="11">
        <f t="shared" si="0"/>
        <v>44226</v>
      </c>
      <c r="E17" s="12">
        <f>E16+5000</f>
        <v>6895200</v>
      </c>
      <c r="F17" s="13">
        <f t="shared" si="2"/>
        <v>3.8888888888888892E-4</v>
      </c>
      <c r="G17" s="12">
        <f t="shared" si="1"/>
        <v>2681.4666666666667</v>
      </c>
      <c r="H17" s="14">
        <f>(D17-C17+1)</f>
        <v>2</v>
      </c>
    </row>
    <row r="18" spans="1:8" ht="13.35" customHeight="1" x14ac:dyDescent="0.25">
      <c r="A18" s="39"/>
      <c r="B18" s="2" t="s">
        <v>19</v>
      </c>
      <c r="C18" s="10">
        <v>44227</v>
      </c>
      <c r="D18" s="11">
        <f t="shared" si="0"/>
        <v>44234</v>
      </c>
      <c r="E18" s="12">
        <f>E17-3738538.08</f>
        <v>3156661.92</v>
      </c>
      <c r="F18" s="13">
        <f t="shared" si="2"/>
        <v>1.3611111111111111E-3</v>
      </c>
      <c r="G18" s="12">
        <f t="shared" si="1"/>
        <v>4296.5676133333336</v>
      </c>
      <c r="H18" s="14">
        <f>(D18-C18)</f>
        <v>7</v>
      </c>
    </row>
    <row r="19" spans="1:8" ht="13.35" customHeight="1" x14ac:dyDescent="0.25">
      <c r="A19" s="37">
        <v>2</v>
      </c>
      <c r="B19" s="2" t="s">
        <v>19</v>
      </c>
      <c r="C19" s="11">
        <v>44235</v>
      </c>
      <c r="D19" s="11">
        <f t="shared" si="0"/>
        <v>44235</v>
      </c>
      <c r="E19" s="12">
        <f>E18-200000</f>
        <v>2956661.92</v>
      </c>
      <c r="F19" s="13">
        <f t="shared" si="2"/>
        <v>1.9444444444444446E-4</v>
      </c>
      <c r="G19" s="12">
        <f t="shared" si="1"/>
        <v>574.90648444444446</v>
      </c>
      <c r="H19" s="14">
        <f>(D19-C19+1)</f>
        <v>1</v>
      </c>
    </row>
    <row r="20" spans="1:8" ht="13.35" customHeight="1" x14ac:dyDescent="0.25">
      <c r="A20" s="38"/>
      <c r="B20" s="2" t="s">
        <v>19</v>
      </c>
      <c r="C20" s="11">
        <v>44236</v>
      </c>
      <c r="D20" s="11">
        <f t="shared" si="0"/>
        <v>44237</v>
      </c>
      <c r="E20" s="12">
        <f>E19-700000-200000-90000-19000</f>
        <v>1947661.92</v>
      </c>
      <c r="F20" s="13">
        <f t="shared" si="2"/>
        <v>1.9444444444444446E-4</v>
      </c>
      <c r="G20" s="12">
        <f t="shared" si="1"/>
        <v>378.71204</v>
      </c>
      <c r="H20" s="14">
        <f>(D20-C20)</f>
        <v>1</v>
      </c>
    </row>
    <row r="21" spans="1:8" ht="13.35" customHeight="1" x14ac:dyDescent="0.25">
      <c r="A21" s="38"/>
      <c r="B21" s="2" t="s">
        <v>19</v>
      </c>
      <c r="C21" s="11">
        <v>44238</v>
      </c>
      <c r="D21" s="11">
        <f>C22-1</f>
        <v>44238</v>
      </c>
      <c r="E21" s="12">
        <f>E20+465000</f>
        <v>2412661.92</v>
      </c>
      <c r="F21" s="13">
        <f t="shared" si="2"/>
        <v>1.9444444444444446E-4</v>
      </c>
      <c r="G21" s="12">
        <f t="shared" si="1"/>
        <v>469.12870666666669</v>
      </c>
      <c r="H21" s="14">
        <f>(D21-C21+1)</f>
        <v>1</v>
      </c>
    </row>
    <row r="22" spans="1:8" ht="13.35" customHeight="1" x14ac:dyDescent="0.25">
      <c r="A22" s="38"/>
      <c r="B22" s="2" t="s">
        <v>19</v>
      </c>
      <c r="C22" s="11">
        <v>44239</v>
      </c>
      <c r="D22" s="11">
        <f t="shared" si="0"/>
        <v>44241</v>
      </c>
      <c r="E22" s="12">
        <f>E21+355000</f>
        <v>2767661.92</v>
      </c>
      <c r="F22" s="13">
        <f t="shared" si="2"/>
        <v>3.8888888888888892E-4</v>
      </c>
      <c r="G22" s="12">
        <f t="shared" si="1"/>
        <v>1076.3129688888889</v>
      </c>
      <c r="H22" s="14">
        <f>(D22-C22+1)-1</f>
        <v>2</v>
      </c>
    </row>
    <row r="23" spans="1:8" ht="13.35" customHeight="1" x14ac:dyDescent="0.25">
      <c r="A23" s="38"/>
      <c r="B23" s="2" t="s">
        <v>19</v>
      </c>
      <c r="C23" s="11">
        <v>44242</v>
      </c>
      <c r="D23" s="11">
        <f t="shared" si="0"/>
        <v>44242</v>
      </c>
      <c r="E23" s="12">
        <f>E22+768000</f>
        <v>3535661.92</v>
      </c>
      <c r="F23" s="13">
        <f t="shared" si="2"/>
        <v>1.9444444444444446E-4</v>
      </c>
      <c r="G23" s="12">
        <f t="shared" si="1"/>
        <v>687.48981777777783</v>
      </c>
      <c r="H23" s="14">
        <f>(D23-C23+1)</f>
        <v>1</v>
      </c>
    </row>
    <row r="24" spans="1:8" ht="13.35" customHeight="1" x14ac:dyDescent="0.25">
      <c r="A24" s="38"/>
      <c r="B24" s="2" t="s">
        <v>19</v>
      </c>
      <c r="C24" s="11">
        <v>44243</v>
      </c>
      <c r="D24" s="11">
        <f t="shared" si="0"/>
        <v>44244</v>
      </c>
      <c r="E24" s="12">
        <f>E23+630000</f>
        <v>4165661.92</v>
      </c>
      <c r="F24" s="13">
        <f t="shared" si="2"/>
        <v>1.9444444444444446E-4</v>
      </c>
      <c r="G24" s="12">
        <f t="shared" si="1"/>
        <v>809.98981777777783</v>
      </c>
      <c r="H24" s="14">
        <f>(D24-C24+1)-1</f>
        <v>1</v>
      </c>
    </row>
    <row r="25" spans="1:8" ht="13.35" customHeight="1" x14ac:dyDescent="0.25">
      <c r="A25" s="38"/>
      <c r="B25" s="2" t="s">
        <v>19</v>
      </c>
      <c r="C25" s="11">
        <v>44245</v>
      </c>
      <c r="D25" s="11">
        <f t="shared" si="0"/>
        <v>44245</v>
      </c>
      <c r="E25" s="12">
        <f>E24+340000</f>
        <v>4505661.92</v>
      </c>
      <c r="F25" s="13">
        <f t="shared" si="2"/>
        <v>1.9444444444444446E-4</v>
      </c>
      <c r="G25" s="12">
        <f t="shared" si="1"/>
        <v>876.10092888888892</v>
      </c>
      <c r="H25" s="14">
        <f>(D25-C25+1)</f>
        <v>1</v>
      </c>
    </row>
    <row r="26" spans="1:8" ht="13.35" customHeight="1" x14ac:dyDescent="0.25">
      <c r="A26" s="38"/>
      <c r="B26" s="2" t="s">
        <v>19</v>
      </c>
      <c r="C26" s="11">
        <v>44246</v>
      </c>
      <c r="D26" s="11">
        <f t="shared" si="0"/>
        <v>44250</v>
      </c>
      <c r="E26" s="12">
        <f>E25+294000+2000000</f>
        <v>6799661.9199999999</v>
      </c>
      <c r="F26" s="13">
        <f t="shared" si="2"/>
        <v>7.7777777777777784E-4</v>
      </c>
      <c r="G26" s="12">
        <f t="shared" si="1"/>
        <v>5288.6259377777778</v>
      </c>
      <c r="H26" s="14">
        <f>(D26-C26+1)-1</f>
        <v>4</v>
      </c>
    </row>
    <row r="27" spans="1:8" ht="13.35" customHeight="1" x14ac:dyDescent="0.25">
      <c r="A27" s="38"/>
      <c r="B27" s="2" t="s">
        <v>19</v>
      </c>
      <c r="C27" s="11">
        <v>44251</v>
      </c>
      <c r="D27" s="11">
        <f>C28-1</f>
        <v>44251</v>
      </c>
      <c r="E27" s="12">
        <f>E26-65000+83000+260000</f>
        <v>7077661.9199999999</v>
      </c>
      <c r="F27" s="13">
        <f t="shared" si="2"/>
        <v>1.9444444444444446E-4</v>
      </c>
      <c r="G27" s="12">
        <f t="shared" si="1"/>
        <v>1376.2120400000001</v>
      </c>
      <c r="H27" s="14">
        <f>(D27-C27+1)</f>
        <v>1</v>
      </c>
    </row>
    <row r="28" spans="1:8" ht="13.35" customHeight="1" x14ac:dyDescent="0.25">
      <c r="A28" s="38"/>
      <c r="B28" s="2" t="s">
        <v>19</v>
      </c>
      <c r="C28" s="11">
        <v>44252</v>
      </c>
      <c r="D28" s="11">
        <f t="shared" si="0"/>
        <v>44252</v>
      </c>
      <c r="E28" s="12">
        <f>E27+172000</f>
        <v>7249661.9199999999</v>
      </c>
      <c r="F28" s="13">
        <f t="shared" si="2"/>
        <v>1.9444444444444446E-4</v>
      </c>
      <c r="G28" s="12">
        <f t="shared" si="1"/>
        <v>1409.6564844444445</v>
      </c>
      <c r="H28" s="14">
        <f>(D28-C28+1)</f>
        <v>1</v>
      </c>
    </row>
    <row r="29" spans="1:8" ht="13.35" customHeight="1" x14ac:dyDescent="0.25">
      <c r="A29" s="39"/>
      <c r="B29" s="2" t="s">
        <v>19</v>
      </c>
      <c r="C29" s="11">
        <v>44253</v>
      </c>
      <c r="D29" s="11">
        <f t="shared" si="0"/>
        <v>44255</v>
      </c>
      <c r="E29" s="12">
        <f>E28+106000-600000</f>
        <v>6755661.9199999999</v>
      </c>
      <c r="F29" s="13">
        <f t="shared" si="2"/>
        <v>3.8888888888888892E-4</v>
      </c>
      <c r="G29" s="12">
        <f t="shared" si="1"/>
        <v>2627.2018577777781</v>
      </c>
      <c r="H29" s="14">
        <f>(D29-C29+1)-1</f>
        <v>2</v>
      </c>
    </row>
    <row r="30" spans="1:8" ht="13.35" customHeight="1" x14ac:dyDescent="0.25">
      <c r="A30" s="37">
        <v>3</v>
      </c>
      <c r="B30" s="2" t="s">
        <v>19</v>
      </c>
      <c r="C30" s="11">
        <v>44256</v>
      </c>
      <c r="D30" s="11">
        <f t="shared" si="0"/>
        <v>44263</v>
      </c>
      <c r="E30" s="12">
        <f>E29</f>
        <v>6755661.9199999999</v>
      </c>
      <c r="F30" s="13">
        <f t="shared" si="2"/>
        <v>1.3611111111111111E-3</v>
      </c>
      <c r="G30" s="12">
        <f t="shared" si="1"/>
        <v>9195.2065022222214</v>
      </c>
      <c r="H30" s="14">
        <f>(D30-C30+1)-1</f>
        <v>7</v>
      </c>
    </row>
    <row r="31" spans="1:8" ht="13.35" customHeight="1" x14ac:dyDescent="0.25">
      <c r="A31" s="38"/>
      <c r="B31" s="2" t="s">
        <v>19</v>
      </c>
      <c r="C31" s="11">
        <v>44264</v>
      </c>
      <c r="D31" s="11">
        <f t="shared" si="0"/>
        <v>44264</v>
      </c>
      <c r="E31" s="36">
        <f>E30+470000</f>
        <v>7225661.9199999999</v>
      </c>
      <c r="F31" s="13">
        <f t="shared" si="2"/>
        <v>1.9444444444444446E-4</v>
      </c>
      <c r="G31" s="12">
        <f t="shared" si="1"/>
        <v>1404.9898177777779</v>
      </c>
      <c r="H31" s="14">
        <f>(D31-C31+1)</f>
        <v>1</v>
      </c>
    </row>
    <row r="32" spans="1:8" ht="13.35" customHeight="1" x14ac:dyDescent="0.25">
      <c r="A32" s="38"/>
      <c r="B32" s="2" t="s">
        <v>19</v>
      </c>
      <c r="C32" s="11">
        <v>44265</v>
      </c>
      <c r="D32" s="11">
        <f t="shared" si="0"/>
        <v>44269</v>
      </c>
      <c r="E32" s="12">
        <f>E31+20000</f>
        <v>7245661.9199999999</v>
      </c>
      <c r="F32" s="13">
        <f t="shared" si="2"/>
        <v>7.7777777777777784E-4</v>
      </c>
      <c r="G32" s="12">
        <f t="shared" si="1"/>
        <v>5635.5148266666674</v>
      </c>
      <c r="H32" s="14">
        <f>(D32-C32+1)-1</f>
        <v>4</v>
      </c>
    </row>
    <row r="33" spans="1:8" ht="13.35" customHeight="1" x14ac:dyDescent="0.25">
      <c r="A33" s="38"/>
      <c r="B33" s="2" t="s">
        <v>19</v>
      </c>
      <c r="C33" s="11">
        <v>44270</v>
      </c>
      <c r="D33" s="11">
        <f t="shared" si="0"/>
        <v>44271</v>
      </c>
      <c r="E33" s="12">
        <f>E32+440000-800000</f>
        <v>6885661.9199999999</v>
      </c>
      <c r="F33" s="13">
        <f t="shared" si="2"/>
        <v>1.9444444444444446E-4</v>
      </c>
      <c r="G33" s="12">
        <f t="shared" si="1"/>
        <v>1338.8787066666669</v>
      </c>
      <c r="H33" s="14">
        <f>(D33-C33+1)-1</f>
        <v>1</v>
      </c>
    </row>
    <row r="34" spans="1:8" ht="13.35" customHeight="1" x14ac:dyDescent="0.25">
      <c r="A34" s="38"/>
      <c r="B34" s="2" t="s">
        <v>19</v>
      </c>
      <c r="C34" s="11">
        <v>44272</v>
      </c>
      <c r="D34" s="11">
        <f t="shared" si="0"/>
        <v>44272</v>
      </c>
      <c r="E34" s="12">
        <f>E33-161000</f>
        <v>6724661.9199999999</v>
      </c>
      <c r="F34" s="13">
        <f t="shared" si="2"/>
        <v>1.9444444444444446E-4</v>
      </c>
      <c r="G34" s="12">
        <f t="shared" si="1"/>
        <v>1307.5731511111112</v>
      </c>
      <c r="H34" s="14">
        <f>(D34-C34+1)</f>
        <v>1</v>
      </c>
    </row>
    <row r="35" spans="1:8" ht="13.35" customHeight="1" x14ac:dyDescent="0.25">
      <c r="A35" s="38"/>
      <c r="B35" s="2" t="s">
        <v>19</v>
      </c>
      <c r="C35" s="11">
        <v>44273</v>
      </c>
      <c r="D35" s="11">
        <f t="shared" si="0"/>
        <v>44273</v>
      </c>
      <c r="E35" s="12">
        <f>E34-1980000</f>
        <v>4744661.92</v>
      </c>
      <c r="F35" s="13">
        <f t="shared" si="2"/>
        <v>1.9444444444444446E-4</v>
      </c>
      <c r="G35" s="12">
        <f t="shared" si="1"/>
        <v>922.5731511111112</v>
      </c>
      <c r="H35" s="14">
        <f>(D35-C35+1)</f>
        <v>1</v>
      </c>
    </row>
    <row r="36" spans="1:8" ht="13.35" customHeight="1" x14ac:dyDescent="0.25">
      <c r="A36" s="38"/>
      <c r="B36" s="2" t="s">
        <v>19</v>
      </c>
      <c r="C36" s="11">
        <v>44274</v>
      </c>
      <c r="D36" s="11">
        <f t="shared" si="0"/>
        <v>44277</v>
      </c>
      <c r="E36" s="12">
        <f>E35-2600000</f>
        <v>2144661.92</v>
      </c>
      <c r="F36" s="13">
        <f t="shared" si="2"/>
        <v>5.8333333333333338E-4</v>
      </c>
      <c r="G36" s="12">
        <f t="shared" si="1"/>
        <v>1251.0527866666666</v>
      </c>
      <c r="H36" s="14">
        <f>(D36-C36+1)-1</f>
        <v>3</v>
      </c>
    </row>
    <row r="37" spans="1:8" ht="13.35" customHeight="1" x14ac:dyDescent="0.25">
      <c r="A37" s="38"/>
      <c r="B37" s="2" t="s">
        <v>19</v>
      </c>
      <c r="C37" s="11">
        <v>44278</v>
      </c>
      <c r="D37" s="11">
        <f t="shared" si="0"/>
        <v>44278</v>
      </c>
      <c r="E37" s="12">
        <f>E36+71000+345000+268000</f>
        <v>2828661.92</v>
      </c>
      <c r="F37" s="13">
        <f t="shared" si="2"/>
        <v>1.9444444444444446E-4</v>
      </c>
      <c r="G37" s="12">
        <f t="shared" si="1"/>
        <v>550.01759555555554</v>
      </c>
      <c r="H37" s="14">
        <f>(D37-C37+1)</f>
        <v>1</v>
      </c>
    </row>
    <row r="38" spans="1:8" ht="13.35" customHeight="1" x14ac:dyDescent="0.25">
      <c r="A38" s="38"/>
      <c r="B38" s="2" t="s">
        <v>19</v>
      </c>
      <c r="C38" s="11">
        <v>44279</v>
      </c>
      <c r="D38" s="11">
        <f t="shared" si="0"/>
        <v>44283</v>
      </c>
      <c r="E38" s="12">
        <f>E37+160000</f>
        <v>2988661.92</v>
      </c>
      <c r="F38" s="13">
        <f t="shared" si="2"/>
        <v>7.7777777777777784E-4</v>
      </c>
      <c r="G38" s="12">
        <f t="shared" si="1"/>
        <v>2324.514826666667</v>
      </c>
      <c r="H38" s="14">
        <f>(D38-C38+1)-1</f>
        <v>4</v>
      </c>
    </row>
    <row r="39" spans="1:8" ht="13.35" customHeight="1" x14ac:dyDescent="0.25">
      <c r="A39" s="38"/>
      <c r="B39" s="2" t="s">
        <v>19</v>
      </c>
      <c r="C39" s="11">
        <v>44284</v>
      </c>
      <c r="D39" s="11">
        <f t="shared" si="0"/>
        <v>44284</v>
      </c>
      <c r="E39" s="12">
        <f>E38-350000</f>
        <v>2638661.92</v>
      </c>
      <c r="F39" s="13">
        <f t="shared" si="2"/>
        <v>1.9444444444444446E-4</v>
      </c>
      <c r="G39" s="12">
        <f t="shared" si="1"/>
        <v>513.07315111111109</v>
      </c>
      <c r="H39" s="14">
        <f>(D39-C39+1)</f>
        <v>1</v>
      </c>
    </row>
    <row r="40" spans="1:8" ht="13.35" customHeight="1" x14ac:dyDescent="0.25">
      <c r="A40" s="38"/>
      <c r="B40" s="2" t="s">
        <v>19</v>
      </c>
      <c r="C40" s="11">
        <v>44285</v>
      </c>
      <c r="D40" s="11">
        <f t="shared" si="0"/>
        <v>44285</v>
      </c>
      <c r="E40" s="12">
        <f>E39-460000</f>
        <v>2178661.92</v>
      </c>
      <c r="F40" s="13">
        <f t="shared" si="2"/>
        <v>1.9444444444444446E-4</v>
      </c>
      <c r="G40" s="12">
        <f t="shared" si="1"/>
        <v>423.62870666666669</v>
      </c>
      <c r="H40" s="14">
        <f>(D40-C40+1)</f>
        <v>1</v>
      </c>
    </row>
    <row r="41" spans="1:8" ht="13.35" customHeight="1" x14ac:dyDescent="0.25">
      <c r="A41" s="39"/>
      <c r="B41" s="2" t="s">
        <v>19</v>
      </c>
      <c r="C41" s="11">
        <v>44286</v>
      </c>
      <c r="D41" s="11">
        <f t="shared" si="0"/>
        <v>44287</v>
      </c>
      <c r="E41" s="12">
        <f>E40+375000</f>
        <v>2553661.92</v>
      </c>
      <c r="F41" s="13">
        <f t="shared" si="2"/>
        <v>1.9444444444444446E-4</v>
      </c>
      <c r="G41" s="12">
        <f t="shared" si="1"/>
        <v>496.54537333333337</v>
      </c>
      <c r="H41" s="14">
        <f>(D41-C41+1)-1</f>
        <v>1</v>
      </c>
    </row>
    <row r="42" spans="1:8" ht="13.35" customHeight="1" x14ac:dyDescent="0.25">
      <c r="A42" s="37">
        <v>4</v>
      </c>
      <c r="B42" s="2" t="s">
        <v>19</v>
      </c>
      <c r="C42" s="11">
        <v>44288</v>
      </c>
      <c r="D42" s="11">
        <f t="shared" si="0"/>
        <v>44290</v>
      </c>
      <c r="E42" s="12">
        <f>E41-340000</f>
        <v>2213661.92</v>
      </c>
      <c r="F42" s="13">
        <f t="shared" si="2"/>
        <v>3.8888888888888892E-4</v>
      </c>
      <c r="G42" s="12">
        <f t="shared" si="1"/>
        <v>860.86852444444446</v>
      </c>
      <c r="H42" s="14">
        <f>(D42-C42+1)-1</f>
        <v>2</v>
      </c>
    </row>
    <row r="43" spans="1:8" ht="13.35" customHeight="1" x14ac:dyDescent="0.25">
      <c r="A43" s="38"/>
      <c r="B43" s="2" t="s">
        <v>19</v>
      </c>
      <c r="C43" s="11">
        <v>44291</v>
      </c>
      <c r="D43" s="11">
        <f t="shared" si="0"/>
        <v>44291</v>
      </c>
      <c r="E43" s="12">
        <f>E42-100000-360000-200000</f>
        <v>1553661.92</v>
      </c>
      <c r="F43" s="13">
        <f t="shared" si="2"/>
        <v>1.9444444444444446E-4</v>
      </c>
      <c r="G43" s="12">
        <f t="shared" si="1"/>
        <v>302.10092888888892</v>
      </c>
      <c r="H43" s="14">
        <f>(D43-C43+1)</f>
        <v>1</v>
      </c>
    </row>
    <row r="44" spans="1:8" ht="13.35" customHeight="1" x14ac:dyDescent="0.25">
      <c r="A44" s="38"/>
      <c r="B44" s="2" t="s">
        <v>19</v>
      </c>
      <c r="C44" s="11">
        <v>44292</v>
      </c>
      <c r="D44" s="11">
        <f t="shared" si="0"/>
        <v>44292</v>
      </c>
      <c r="E44" s="12">
        <f>E43-1000000</f>
        <v>553661.91999999993</v>
      </c>
      <c r="F44" s="13">
        <f t="shared" si="2"/>
        <v>1.9444444444444446E-4</v>
      </c>
      <c r="G44" s="12">
        <f t="shared" si="1"/>
        <v>107.65648444444444</v>
      </c>
      <c r="H44" s="14">
        <f>(D44-C44+1)</f>
        <v>1</v>
      </c>
    </row>
    <row r="45" spans="1:8" ht="13.35" customHeight="1" x14ac:dyDescent="0.25">
      <c r="A45" s="38"/>
      <c r="B45" s="2" t="s">
        <v>19</v>
      </c>
      <c r="C45" s="11">
        <v>44293</v>
      </c>
      <c r="D45" s="11">
        <f t="shared" si="0"/>
        <v>44293</v>
      </c>
      <c r="E45" s="12">
        <f>E44+677860+900000+10000+175000</f>
        <v>2316521.92</v>
      </c>
      <c r="F45" s="13">
        <f t="shared" si="2"/>
        <v>1.9444444444444446E-4</v>
      </c>
      <c r="G45" s="12">
        <f t="shared" si="1"/>
        <v>450.43481777777782</v>
      </c>
      <c r="H45" s="14">
        <f>(D45-C45+1)</f>
        <v>1</v>
      </c>
    </row>
    <row r="46" spans="1:8" ht="13.35" customHeight="1" x14ac:dyDescent="0.25">
      <c r="A46" s="38"/>
      <c r="B46" s="2" t="s">
        <v>19</v>
      </c>
      <c r="C46" s="11">
        <v>44294</v>
      </c>
      <c r="D46" s="11">
        <f t="shared" si="0"/>
        <v>44294</v>
      </c>
      <c r="E46" s="12">
        <f>E45-321800+380000+360000</f>
        <v>2734721.92</v>
      </c>
      <c r="F46" s="13">
        <f t="shared" si="2"/>
        <v>1.9444444444444446E-4</v>
      </c>
      <c r="G46" s="12">
        <f t="shared" si="1"/>
        <v>531.75148444444449</v>
      </c>
      <c r="H46" s="14">
        <f>(D46-C46+1)</f>
        <v>1</v>
      </c>
    </row>
    <row r="47" spans="1:8" ht="13.35" customHeight="1" x14ac:dyDescent="0.25">
      <c r="A47" s="38"/>
      <c r="B47" s="2" t="s">
        <v>19</v>
      </c>
      <c r="C47" s="11">
        <v>44295</v>
      </c>
      <c r="D47" s="11">
        <f t="shared" si="0"/>
        <v>44300</v>
      </c>
      <c r="E47" s="12">
        <f>E46+700800+623000-1000000</f>
        <v>3058521.92</v>
      </c>
      <c r="F47" s="13">
        <f t="shared" si="2"/>
        <v>9.722222222222223E-4</v>
      </c>
      <c r="G47" s="12">
        <f t="shared" si="1"/>
        <v>2973.5629777777781</v>
      </c>
      <c r="H47" s="14">
        <f>(D47-C47+1)-1</f>
        <v>5</v>
      </c>
    </row>
    <row r="48" spans="1:8" ht="13.35" customHeight="1" x14ac:dyDescent="0.25">
      <c r="A48" s="38"/>
      <c r="B48" s="2" t="s">
        <v>19</v>
      </c>
      <c r="C48" s="11">
        <v>44301</v>
      </c>
      <c r="D48" s="11">
        <f t="shared" si="0"/>
        <v>44301</v>
      </c>
      <c r="E48" s="12">
        <f>E47+300000+70000</f>
        <v>3428521.92</v>
      </c>
      <c r="F48" s="13">
        <f t="shared" si="2"/>
        <v>1.9444444444444446E-4</v>
      </c>
      <c r="G48" s="12">
        <f t="shared" si="1"/>
        <v>666.65704000000005</v>
      </c>
      <c r="H48" s="14">
        <f>(D48-C48+1)</f>
        <v>1</v>
      </c>
    </row>
    <row r="49" spans="1:8" ht="13.35" customHeight="1" x14ac:dyDescent="0.25">
      <c r="A49" s="38"/>
      <c r="B49" s="2" t="s">
        <v>19</v>
      </c>
      <c r="C49" s="11">
        <v>44302</v>
      </c>
      <c r="D49" s="11">
        <f t="shared" si="0"/>
        <v>44304</v>
      </c>
      <c r="E49" s="12">
        <f>E48+43600+72000+320000</f>
        <v>3864121.92</v>
      </c>
      <c r="F49" s="13">
        <f t="shared" si="2"/>
        <v>3.8888888888888892E-4</v>
      </c>
      <c r="G49" s="12">
        <f t="shared" si="1"/>
        <v>1502.7140800000002</v>
      </c>
      <c r="H49" s="14">
        <f>(D49-C49+1)-1</f>
        <v>2</v>
      </c>
    </row>
    <row r="50" spans="1:8" ht="13.35" customHeight="1" x14ac:dyDescent="0.25">
      <c r="A50" s="38"/>
      <c r="B50" s="2" t="s">
        <v>19</v>
      </c>
      <c r="C50" s="11">
        <v>44305</v>
      </c>
      <c r="D50" s="11">
        <f t="shared" si="0"/>
        <v>44305</v>
      </c>
      <c r="E50" s="12">
        <f>E49-2471000</f>
        <v>1393121.92</v>
      </c>
      <c r="F50" s="13">
        <f t="shared" si="2"/>
        <v>1.9444444444444446E-4</v>
      </c>
      <c r="G50" s="12">
        <f t="shared" si="1"/>
        <v>270.88481777777781</v>
      </c>
      <c r="H50" s="14">
        <f>(D50-C50+1)</f>
        <v>1</v>
      </c>
    </row>
    <row r="51" spans="1:8" ht="13.35" customHeight="1" x14ac:dyDescent="0.25">
      <c r="A51" s="38"/>
      <c r="B51" s="2" t="s">
        <v>19</v>
      </c>
      <c r="C51" s="11">
        <v>44306</v>
      </c>
      <c r="D51" s="11">
        <f t="shared" si="0"/>
        <v>44306</v>
      </c>
      <c r="E51" s="12">
        <f>E50+198000</f>
        <v>1591121.9199999999</v>
      </c>
      <c r="F51" s="13">
        <f t="shared" si="2"/>
        <v>1.9444444444444446E-4</v>
      </c>
      <c r="G51" s="12">
        <f t="shared" si="1"/>
        <v>309.38481777777781</v>
      </c>
      <c r="H51" s="14">
        <f>(D51-C51+1)</f>
        <v>1</v>
      </c>
    </row>
    <row r="52" spans="1:8" ht="13.35" customHeight="1" x14ac:dyDescent="0.25">
      <c r="A52" s="38"/>
      <c r="B52" s="2" t="s">
        <v>19</v>
      </c>
      <c r="C52" s="11">
        <v>44307</v>
      </c>
      <c r="D52" s="11">
        <f t="shared" si="0"/>
        <v>44308</v>
      </c>
      <c r="E52" s="12">
        <f>E51-300000</f>
        <v>1291121.92</v>
      </c>
      <c r="F52" s="13">
        <f t="shared" si="2"/>
        <v>1.9444444444444446E-4</v>
      </c>
      <c r="G52" s="12">
        <f t="shared" si="1"/>
        <v>251.05148444444444</v>
      </c>
      <c r="H52" s="14">
        <f>(D52-C52+1)-1</f>
        <v>1</v>
      </c>
    </row>
    <row r="53" spans="1:8" ht="13.35" customHeight="1" x14ac:dyDescent="0.25">
      <c r="A53" s="38"/>
      <c r="B53" s="2" t="s">
        <v>19</v>
      </c>
      <c r="C53" s="11">
        <v>44309</v>
      </c>
      <c r="D53" s="11">
        <f t="shared" si="0"/>
        <v>44311</v>
      </c>
      <c r="E53" s="12">
        <f>E52-230000-200000</f>
        <v>861121.91999999993</v>
      </c>
      <c r="F53" s="13">
        <f t="shared" si="2"/>
        <v>3.8888888888888892E-4</v>
      </c>
      <c r="G53" s="12">
        <f t="shared" si="1"/>
        <v>334.88074666666665</v>
      </c>
      <c r="H53" s="14">
        <f>(D53-C53+1)-1</f>
        <v>2</v>
      </c>
    </row>
    <row r="54" spans="1:8" ht="13.35" customHeight="1" x14ac:dyDescent="0.25">
      <c r="A54" s="38"/>
      <c r="B54" s="2" t="s">
        <v>19</v>
      </c>
      <c r="C54" s="11">
        <v>44312</v>
      </c>
      <c r="D54" s="11">
        <f t="shared" si="0"/>
        <v>44313</v>
      </c>
      <c r="E54" s="12">
        <f>E53-20000</f>
        <v>841121.91999999993</v>
      </c>
      <c r="F54" s="13">
        <f t="shared" si="2"/>
        <v>1.9444444444444446E-4</v>
      </c>
      <c r="G54" s="12">
        <f t="shared" si="1"/>
        <v>163.55148444444444</v>
      </c>
      <c r="H54" s="14">
        <f>(D54-C54+1)-1</f>
        <v>1</v>
      </c>
    </row>
    <row r="55" spans="1:8" ht="13.35" customHeight="1" x14ac:dyDescent="0.25">
      <c r="A55" s="38"/>
      <c r="B55" s="2" t="s">
        <v>19</v>
      </c>
      <c r="C55" s="11">
        <v>44314</v>
      </c>
      <c r="D55" s="11">
        <f t="shared" si="0"/>
        <v>44314</v>
      </c>
      <c r="E55" s="12">
        <f>E54+126000+194000</f>
        <v>1161121.92</v>
      </c>
      <c r="F55" s="13">
        <f t="shared" si="2"/>
        <v>1.9444444444444446E-4</v>
      </c>
      <c r="G55" s="12">
        <f t="shared" si="1"/>
        <v>225.77370666666667</v>
      </c>
      <c r="H55" s="14">
        <f>(D55-C55+1)</f>
        <v>1</v>
      </c>
    </row>
    <row r="56" spans="1:8" ht="13.35" customHeight="1" x14ac:dyDescent="0.25">
      <c r="A56" s="39"/>
      <c r="B56" s="2" t="s">
        <v>19</v>
      </c>
      <c r="C56" s="11">
        <v>44315</v>
      </c>
      <c r="D56" s="11">
        <f t="shared" si="0"/>
        <v>44320</v>
      </c>
      <c r="E56" s="12">
        <f>E55+250000</f>
        <v>1411121.92</v>
      </c>
      <c r="F56" s="13">
        <f t="shared" si="2"/>
        <v>9.722222222222223E-4</v>
      </c>
      <c r="G56" s="12">
        <f t="shared" si="1"/>
        <v>1371.9240888888889</v>
      </c>
      <c r="H56" s="14">
        <f>(D56-C56+1)-1</f>
        <v>5</v>
      </c>
    </row>
    <row r="57" spans="1:8" ht="13.35" customHeight="1" x14ac:dyDescent="0.25">
      <c r="A57" s="37">
        <v>5</v>
      </c>
      <c r="B57" s="2" t="s">
        <v>19</v>
      </c>
      <c r="C57" s="11">
        <v>44321</v>
      </c>
      <c r="D57" s="11">
        <f t="shared" si="0"/>
        <v>44322</v>
      </c>
      <c r="E57" s="12">
        <f>E56+60000+200000</f>
        <v>1671121.9199999999</v>
      </c>
      <c r="F57" s="13">
        <f t="shared" si="2"/>
        <v>1.9444444444444446E-4</v>
      </c>
      <c r="G57" s="12">
        <f t="shared" si="1"/>
        <v>324.94037333333335</v>
      </c>
      <c r="H57" s="14">
        <f>(D57-C57+1)-1</f>
        <v>1</v>
      </c>
    </row>
    <row r="58" spans="1:8" ht="13.35" customHeight="1" x14ac:dyDescent="0.25">
      <c r="A58" s="38"/>
      <c r="B58" s="2" t="s">
        <v>19</v>
      </c>
      <c r="C58" s="11">
        <v>44323</v>
      </c>
      <c r="D58" s="11">
        <f t="shared" si="0"/>
        <v>44334</v>
      </c>
      <c r="E58" s="12">
        <f>E57+300000+584000</f>
        <v>2555121.92</v>
      </c>
      <c r="F58" s="13">
        <f t="shared" si="2"/>
        <v>2.138888888888889E-3</v>
      </c>
      <c r="G58" s="12">
        <f>E58*F58-128.91</f>
        <v>5336.2118844444449</v>
      </c>
      <c r="H58" s="14">
        <f>(D58-C58+1)-1</f>
        <v>11</v>
      </c>
    </row>
    <row r="59" spans="1:8" ht="13.35" customHeight="1" x14ac:dyDescent="0.25">
      <c r="A59" s="38"/>
      <c r="B59" s="2" t="s">
        <v>19</v>
      </c>
      <c r="C59" s="11">
        <v>44335</v>
      </c>
      <c r="D59" s="11">
        <f t="shared" si="0"/>
        <v>44340</v>
      </c>
      <c r="E59" s="12">
        <f>E58-1000000-1000000</f>
        <v>555121.91999999993</v>
      </c>
      <c r="F59" s="13">
        <f t="shared" si="2"/>
        <v>9.722222222222223E-4</v>
      </c>
      <c r="G59" s="12">
        <f t="shared" si="1"/>
        <v>539.70186666666666</v>
      </c>
      <c r="H59" s="14">
        <f>(D59-C59+1)-1</f>
        <v>5</v>
      </c>
    </row>
    <row r="60" spans="1:8" ht="13.35" customHeight="1" x14ac:dyDescent="0.25">
      <c r="A60" s="38"/>
      <c r="B60" s="2" t="s">
        <v>19</v>
      </c>
      <c r="C60" s="11">
        <v>44341</v>
      </c>
      <c r="D60" s="11">
        <f t="shared" si="0"/>
        <v>44342</v>
      </c>
      <c r="E60" s="12">
        <f>E59+100000+40000</f>
        <v>695121.91999999993</v>
      </c>
      <c r="F60" s="13">
        <f t="shared" si="2"/>
        <v>1.9444444444444446E-4</v>
      </c>
      <c r="G60" s="12">
        <f t="shared" si="1"/>
        <v>135.16259555555555</v>
      </c>
      <c r="H60" s="14">
        <f>(D60-C60+1)-1</f>
        <v>1</v>
      </c>
    </row>
    <row r="61" spans="1:8" ht="13.35" customHeight="1" x14ac:dyDescent="0.25">
      <c r="A61" s="38"/>
      <c r="B61" s="2" t="s">
        <v>19</v>
      </c>
      <c r="C61" s="11">
        <v>44343</v>
      </c>
      <c r="D61" s="11">
        <f t="shared" si="0"/>
        <v>44343</v>
      </c>
      <c r="E61" s="12">
        <f>E60+60000</f>
        <v>755121.91999999993</v>
      </c>
      <c r="F61" s="13">
        <f t="shared" si="2"/>
        <v>1.9444444444444446E-4</v>
      </c>
      <c r="G61" s="12">
        <f t="shared" si="1"/>
        <v>146.82926222222221</v>
      </c>
      <c r="H61" s="14">
        <f>(D61-C61+1)</f>
        <v>1</v>
      </c>
    </row>
    <row r="62" spans="1:8" ht="13.35" customHeight="1" x14ac:dyDescent="0.25">
      <c r="A62" s="38"/>
      <c r="B62" s="2" t="s">
        <v>19</v>
      </c>
      <c r="C62" s="11">
        <v>44344</v>
      </c>
      <c r="D62" s="11">
        <f t="shared" si="0"/>
        <v>44346</v>
      </c>
      <c r="E62" s="12">
        <f>E61+20000+120000+92000</f>
        <v>987121.91999999993</v>
      </c>
      <c r="F62" s="13">
        <f t="shared" si="2"/>
        <v>5.8333333333333338E-4</v>
      </c>
      <c r="G62" s="12">
        <f t="shared" si="1"/>
        <v>575.82111999999995</v>
      </c>
      <c r="H62" s="14">
        <f>(D62-C62+1)</f>
        <v>3</v>
      </c>
    </row>
    <row r="63" spans="1:8" ht="13.35" customHeight="1" x14ac:dyDescent="0.25">
      <c r="A63" s="39"/>
      <c r="B63" s="2" t="s">
        <v>19</v>
      </c>
      <c r="C63" s="11">
        <v>44347</v>
      </c>
      <c r="D63" s="11">
        <f t="shared" si="0"/>
        <v>44350</v>
      </c>
      <c r="E63" s="12">
        <f>E62+455000+32000</f>
        <v>1474121.92</v>
      </c>
      <c r="F63" s="13">
        <f t="shared" si="2"/>
        <v>7.7777777777777784E-4</v>
      </c>
      <c r="G63" s="12">
        <f t="shared" si="1"/>
        <v>1146.5392711111112</v>
      </c>
      <c r="H63" s="14">
        <f>(D63-C63+1)</f>
        <v>4</v>
      </c>
    </row>
    <row r="64" spans="1:8" ht="13.35" customHeight="1" x14ac:dyDescent="0.25">
      <c r="A64" s="37">
        <v>6</v>
      </c>
      <c r="B64" s="2" t="s">
        <v>19</v>
      </c>
      <c r="C64" s="11">
        <v>44351</v>
      </c>
      <c r="D64" s="11">
        <f t="shared" si="0"/>
        <v>44353</v>
      </c>
      <c r="E64" s="12">
        <f>E63+-70000</f>
        <v>1404121.92</v>
      </c>
      <c r="F64" s="13">
        <f t="shared" si="2"/>
        <v>5.8333333333333338E-4</v>
      </c>
      <c r="G64" s="12">
        <f t="shared" si="1"/>
        <v>819.07112000000006</v>
      </c>
      <c r="H64" s="14">
        <f>(D64-C64+1)</f>
        <v>3</v>
      </c>
    </row>
    <row r="65" spans="1:8" ht="13.35" customHeight="1" x14ac:dyDescent="0.25">
      <c r="A65" s="38"/>
      <c r="B65" s="2" t="s">
        <v>19</v>
      </c>
      <c r="C65" s="11">
        <v>44354</v>
      </c>
      <c r="D65" s="11">
        <f t="shared" si="0"/>
        <v>44354</v>
      </c>
      <c r="E65" s="12">
        <f>E64-960000</f>
        <v>444121.91999999993</v>
      </c>
      <c r="F65" s="13">
        <f t="shared" si="2"/>
        <v>1.9444444444444446E-4</v>
      </c>
      <c r="G65" s="12">
        <f t="shared" si="1"/>
        <v>86.357039999999998</v>
      </c>
      <c r="H65" s="14">
        <f>(D65-C65+1)</f>
        <v>1</v>
      </c>
    </row>
    <row r="66" spans="1:8" ht="13.35" customHeight="1" x14ac:dyDescent="0.25">
      <c r="A66" s="38"/>
      <c r="B66" s="2" t="s">
        <v>19</v>
      </c>
      <c r="C66" s="11">
        <v>44355</v>
      </c>
      <c r="D66" s="11">
        <f t="shared" si="0"/>
        <v>44367</v>
      </c>
      <c r="E66" s="12">
        <f>E65</f>
        <v>444121.91999999993</v>
      </c>
      <c r="F66" s="13">
        <f t="shared" si="2"/>
        <v>2.5277777777777781E-3</v>
      </c>
      <c r="G66" s="12">
        <f t="shared" si="1"/>
        <v>1122.6415199999999</v>
      </c>
      <c r="H66" s="14">
        <f>(D66-C66+1)</f>
        <v>13</v>
      </c>
    </row>
    <row r="67" spans="1:8" ht="13.35" customHeight="1" x14ac:dyDescent="0.25">
      <c r="A67" s="38"/>
      <c r="B67" s="2" t="s">
        <v>19</v>
      </c>
      <c r="C67" s="11">
        <v>44368</v>
      </c>
      <c r="D67" s="11">
        <f t="shared" si="0"/>
        <v>44368</v>
      </c>
      <c r="E67" s="12">
        <f>E66-5685.25+115000+120000+70000-280000-60000-240000</f>
        <v>163436.66999999993</v>
      </c>
      <c r="F67" s="13">
        <f t="shared" si="2"/>
        <v>1.9444444444444446E-4</v>
      </c>
      <c r="G67" s="12">
        <f t="shared" si="1"/>
        <v>31.779352499999987</v>
      </c>
      <c r="H67" s="14">
        <f>(D67-C67+1)</f>
        <v>1</v>
      </c>
    </row>
    <row r="68" spans="1:8" ht="13.35" customHeight="1" x14ac:dyDescent="0.25">
      <c r="A68" s="38"/>
      <c r="B68" s="2" t="s">
        <v>19</v>
      </c>
      <c r="C68" s="11">
        <v>44369</v>
      </c>
      <c r="D68" s="11">
        <f t="shared" si="0"/>
        <v>44369</v>
      </c>
      <c r="E68" s="12">
        <f>E67-90000</f>
        <v>73436.669999999925</v>
      </c>
      <c r="F68" s="13">
        <f t="shared" si="2"/>
        <v>1.9444444444444446E-4</v>
      </c>
      <c r="G68" s="12">
        <f t="shared" si="1"/>
        <v>14.279352499999987</v>
      </c>
      <c r="H68" s="14">
        <f>(D68-C68+1)</f>
        <v>1</v>
      </c>
    </row>
    <row r="69" spans="1:8" ht="13.35" customHeight="1" x14ac:dyDescent="0.25">
      <c r="A69" s="38"/>
      <c r="B69" s="2" t="s">
        <v>19</v>
      </c>
      <c r="C69" s="11">
        <v>44370</v>
      </c>
      <c r="D69" s="11">
        <f t="shared" si="0"/>
        <v>44374</v>
      </c>
      <c r="E69" s="12">
        <f>E68</f>
        <v>73436.669999999925</v>
      </c>
      <c r="F69" s="13">
        <f t="shared" si="2"/>
        <v>7.7777777777777784E-4</v>
      </c>
      <c r="G69" s="12">
        <f t="shared" si="1"/>
        <v>57.11740999999995</v>
      </c>
      <c r="H69" s="14">
        <f>(D69-C69+1)-1</f>
        <v>4</v>
      </c>
    </row>
    <row r="70" spans="1:8" ht="13.35" customHeight="1" x14ac:dyDescent="0.25">
      <c r="A70" s="38"/>
      <c r="B70" s="2" t="s">
        <v>19</v>
      </c>
      <c r="C70" s="11">
        <v>44375</v>
      </c>
      <c r="D70" s="11">
        <f t="shared" si="0"/>
        <v>44376</v>
      </c>
      <c r="E70" s="12">
        <f>E69</f>
        <v>73436.669999999925</v>
      </c>
      <c r="F70" s="13">
        <f t="shared" si="2"/>
        <v>1.9444444444444446E-4</v>
      </c>
      <c r="G70" s="12">
        <f t="shared" si="1"/>
        <v>14.279352499999987</v>
      </c>
      <c r="H70" s="14">
        <f>(D70-C70+1)-1</f>
        <v>1</v>
      </c>
    </row>
    <row r="71" spans="1:8" ht="13.35" customHeight="1" x14ac:dyDescent="0.25">
      <c r="A71" s="39"/>
      <c r="B71" s="2" t="s">
        <v>19</v>
      </c>
      <c r="C71" s="11">
        <v>44377</v>
      </c>
      <c r="D71" s="11">
        <f t="shared" ref="D71:D87" si="3">C72-1</f>
        <v>44377</v>
      </c>
      <c r="E71" s="12">
        <f>E70+30000+20000-140000+16563.53</f>
        <v>0.19999999992433004</v>
      </c>
      <c r="F71" s="13">
        <f t="shared" si="2"/>
        <v>1.9444444444444446E-4</v>
      </c>
      <c r="G71" s="12">
        <f t="shared" ref="G71:G88" si="4">E71*F71</f>
        <v>3.8888888874175291E-5</v>
      </c>
      <c r="H71" s="14">
        <f>(D71-C71+1)</f>
        <v>1</v>
      </c>
    </row>
    <row r="72" spans="1:8" ht="13.35" customHeight="1" x14ac:dyDescent="0.25">
      <c r="A72" s="37">
        <v>7</v>
      </c>
      <c r="B72" s="2" t="s">
        <v>19</v>
      </c>
      <c r="C72" s="11">
        <v>44378</v>
      </c>
      <c r="D72" s="11">
        <f t="shared" si="3"/>
        <v>44378</v>
      </c>
      <c r="E72" s="12">
        <f>+E71+169000-41000</f>
        <v>128000.19999999992</v>
      </c>
      <c r="F72" s="13">
        <f t="shared" si="2"/>
        <v>1.9444444444444446E-4</v>
      </c>
      <c r="G72" s="12">
        <f t="shared" si="4"/>
        <v>24.888927777777766</v>
      </c>
      <c r="H72" s="14">
        <f>(D72-C72+1)</f>
        <v>1</v>
      </c>
    </row>
    <row r="73" spans="1:8" ht="13.35" customHeight="1" x14ac:dyDescent="0.25">
      <c r="A73" s="38"/>
      <c r="B73" s="2" t="s">
        <v>19</v>
      </c>
      <c r="C73" s="11">
        <v>44379</v>
      </c>
      <c r="D73" s="11">
        <f t="shared" si="3"/>
        <v>44381</v>
      </c>
      <c r="E73" s="12">
        <f>+E72+2890716.74</f>
        <v>3018716.94</v>
      </c>
      <c r="F73" s="13">
        <f t="shared" ref="F73:F87" si="5">7%/360*H73</f>
        <v>5.8333333333333338E-4</v>
      </c>
      <c r="G73" s="12">
        <f t="shared" si="4"/>
        <v>1760.9182150000001</v>
      </c>
      <c r="H73" s="14">
        <f>(D73-C73+1)</f>
        <v>3</v>
      </c>
    </row>
    <row r="74" spans="1:8" ht="13.35" customHeight="1" x14ac:dyDescent="0.25">
      <c r="A74" s="38"/>
      <c r="B74" s="2" t="s">
        <v>19</v>
      </c>
      <c r="C74" s="11">
        <v>44382</v>
      </c>
      <c r="D74" s="11">
        <f t="shared" si="3"/>
        <v>44382</v>
      </c>
      <c r="E74" s="12">
        <f>+E73-8000</f>
        <v>3010716.94</v>
      </c>
      <c r="F74" s="13">
        <f t="shared" si="5"/>
        <v>1.9444444444444446E-4</v>
      </c>
      <c r="G74" s="12">
        <f t="shared" si="4"/>
        <v>585.41718277777784</v>
      </c>
      <c r="H74" s="14">
        <f>(D74-C74+1)</f>
        <v>1</v>
      </c>
    </row>
    <row r="75" spans="1:8" ht="13.35" customHeight="1" x14ac:dyDescent="0.25">
      <c r="A75" s="38"/>
      <c r="B75" s="2" t="s">
        <v>19</v>
      </c>
      <c r="C75" s="11">
        <v>44383</v>
      </c>
      <c r="D75" s="11">
        <f t="shared" si="3"/>
        <v>44383</v>
      </c>
      <c r="E75" s="12">
        <f>+E74+175000</f>
        <v>3185716.94</v>
      </c>
      <c r="F75" s="13">
        <f t="shared" si="5"/>
        <v>1.9444444444444446E-4</v>
      </c>
      <c r="G75" s="12">
        <f t="shared" si="4"/>
        <v>619.44496055555555</v>
      </c>
      <c r="H75" s="14">
        <f>(D75-C75+1)</f>
        <v>1</v>
      </c>
    </row>
    <row r="76" spans="1:8" ht="13.35" customHeight="1" x14ac:dyDescent="0.25">
      <c r="A76" s="38"/>
      <c r="B76" s="2" t="s">
        <v>19</v>
      </c>
      <c r="C76" s="11">
        <v>44384</v>
      </c>
      <c r="D76" s="11">
        <f t="shared" si="3"/>
        <v>44384</v>
      </c>
      <c r="E76" s="12">
        <f>+E75+76000+400000+55000</f>
        <v>3716716.94</v>
      </c>
      <c r="F76" s="13">
        <f t="shared" si="5"/>
        <v>1.9444444444444446E-4</v>
      </c>
      <c r="G76" s="12">
        <f t="shared" si="4"/>
        <v>722.69496055555555</v>
      </c>
      <c r="H76" s="14">
        <f>(D76-C76+1)</f>
        <v>1</v>
      </c>
    </row>
    <row r="77" spans="1:8" ht="13.35" customHeight="1" x14ac:dyDescent="0.25">
      <c r="A77" s="38"/>
      <c r="B77" s="2" t="s">
        <v>19</v>
      </c>
      <c r="C77" s="11">
        <v>44385</v>
      </c>
      <c r="D77" s="11">
        <f t="shared" si="3"/>
        <v>44389</v>
      </c>
      <c r="E77" s="12">
        <f>+E76+75000+87000</f>
        <v>3878716.94</v>
      </c>
      <c r="F77" s="13">
        <f t="shared" si="5"/>
        <v>9.722222222222223E-4</v>
      </c>
      <c r="G77" s="12">
        <f t="shared" si="4"/>
        <v>3770.9748027777782</v>
      </c>
      <c r="H77" s="14">
        <f>(D77-C77+1)</f>
        <v>5</v>
      </c>
    </row>
    <row r="78" spans="1:8" ht="13.35" customHeight="1" x14ac:dyDescent="0.25">
      <c r="A78" s="38"/>
      <c r="B78" s="2" t="s">
        <v>19</v>
      </c>
      <c r="C78" s="11">
        <v>44390</v>
      </c>
      <c r="D78" s="11">
        <f t="shared" si="3"/>
        <v>44390</v>
      </c>
      <c r="E78" s="12">
        <f>+E77+50000-1000000</f>
        <v>2928716.94</v>
      </c>
      <c r="F78" s="13">
        <f t="shared" si="5"/>
        <v>1.9444444444444446E-4</v>
      </c>
      <c r="G78" s="12">
        <f t="shared" si="4"/>
        <v>569.47273833333338</v>
      </c>
      <c r="H78" s="14">
        <f>(D78-C78+1)</f>
        <v>1</v>
      </c>
    </row>
    <row r="79" spans="1:8" ht="13.35" customHeight="1" x14ac:dyDescent="0.25">
      <c r="A79" s="38"/>
      <c r="B79" s="2" t="s">
        <v>19</v>
      </c>
      <c r="C79" s="11">
        <v>44391</v>
      </c>
      <c r="D79" s="11">
        <f t="shared" si="3"/>
        <v>44391</v>
      </c>
      <c r="E79" s="12">
        <f>+E78+9000+95000-54000</f>
        <v>2978716.94</v>
      </c>
      <c r="F79" s="13">
        <f t="shared" si="5"/>
        <v>1.9444444444444446E-4</v>
      </c>
      <c r="G79" s="12">
        <f t="shared" si="4"/>
        <v>579.19496055555555</v>
      </c>
      <c r="H79" s="14">
        <f>(D79-C79+1)</f>
        <v>1</v>
      </c>
    </row>
    <row r="80" spans="1:8" ht="13.35" customHeight="1" x14ac:dyDescent="0.25">
      <c r="A80" s="38"/>
      <c r="B80" s="2" t="s">
        <v>19</v>
      </c>
      <c r="C80" s="11">
        <v>44392</v>
      </c>
      <c r="D80" s="11">
        <f t="shared" si="3"/>
        <v>44392</v>
      </c>
      <c r="E80" s="12">
        <f>+E79+115000</f>
        <v>3093716.94</v>
      </c>
      <c r="F80" s="13">
        <f t="shared" si="5"/>
        <v>1.9444444444444446E-4</v>
      </c>
      <c r="G80" s="12">
        <f t="shared" si="4"/>
        <v>601.55607166666675</v>
      </c>
      <c r="H80" s="14">
        <f>(D80-C80+1)</f>
        <v>1</v>
      </c>
    </row>
    <row r="81" spans="1:10" ht="13.35" customHeight="1" x14ac:dyDescent="0.25">
      <c r="A81" s="38"/>
      <c r="B81" s="2" t="s">
        <v>19</v>
      </c>
      <c r="C81" s="11">
        <v>44393</v>
      </c>
      <c r="D81" s="11">
        <f t="shared" si="3"/>
        <v>44395</v>
      </c>
      <c r="E81" s="12">
        <f>+E80+488957.5</f>
        <v>3582674.44</v>
      </c>
      <c r="F81" s="13">
        <f t="shared" si="5"/>
        <v>5.8333333333333338E-4</v>
      </c>
      <c r="G81" s="12">
        <f t="shared" si="4"/>
        <v>2089.8934233333334</v>
      </c>
      <c r="H81" s="14">
        <f>(D81-C81+1)</f>
        <v>3</v>
      </c>
    </row>
    <row r="82" spans="1:10" ht="13.5" customHeight="1" x14ac:dyDescent="0.25">
      <c r="A82" s="38"/>
      <c r="B82" s="2" t="s">
        <v>19</v>
      </c>
      <c r="C82" s="11">
        <v>44396</v>
      </c>
      <c r="D82" s="11">
        <f t="shared" si="3"/>
        <v>44396</v>
      </c>
      <c r="E82" s="12">
        <f>+E81+30000</f>
        <v>3612674.44</v>
      </c>
      <c r="F82" s="13">
        <f t="shared" si="5"/>
        <v>1.9444444444444446E-4</v>
      </c>
      <c r="G82" s="12">
        <f t="shared" si="4"/>
        <v>702.46447444444448</v>
      </c>
      <c r="H82" s="14">
        <f>(D82-C82+1)</f>
        <v>1</v>
      </c>
    </row>
    <row r="83" spans="1:10" ht="13.35" customHeight="1" x14ac:dyDescent="0.25">
      <c r="A83" s="38"/>
      <c r="B83" s="2" t="s">
        <v>19</v>
      </c>
      <c r="C83" s="11">
        <v>44397</v>
      </c>
      <c r="D83" s="11">
        <f t="shared" si="3"/>
        <v>44397</v>
      </c>
      <c r="E83" s="12">
        <f>+E82+17000+25000</f>
        <v>3654674.44</v>
      </c>
      <c r="F83" s="13">
        <f t="shared" si="5"/>
        <v>1.9444444444444446E-4</v>
      </c>
      <c r="G83" s="12">
        <f t="shared" si="4"/>
        <v>710.63114111111111</v>
      </c>
      <c r="H83" s="14">
        <f>(D83-C83+1)</f>
        <v>1</v>
      </c>
    </row>
    <row r="84" spans="1:10" ht="13.35" customHeight="1" x14ac:dyDescent="0.25">
      <c r="A84" s="38"/>
      <c r="B84" s="2" t="s">
        <v>19</v>
      </c>
      <c r="C84" s="11">
        <v>44398</v>
      </c>
      <c r="D84" s="11">
        <f t="shared" si="3"/>
        <v>44404</v>
      </c>
      <c r="E84" s="12">
        <f>+E83+226876.28+50000</f>
        <v>3931550.7199999997</v>
      </c>
      <c r="F84" s="13">
        <f t="shared" si="5"/>
        <v>1.1666666666666668E-3</v>
      </c>
      <c r="G84" s="12">
        <f t="shared" si="4"/>
        <v>4586.8091733333331</v>
      </c>
      <c r="H84" s="14">
        <f>(D84-C84+1)-1</f>
        <v>6</v>
      </c>
    </row>
    <row r="85" spans="1:10" ht="13.35" customHeight="1" x14ac:dyDescent="0.25">
      <c r="A85" s="38"/>
      <c r="B85" s="2" t="s">
        <v>19</v>
      </c>
      <c r="C85" s="11">
        <v>44405</v>
      </c>
      <c r="D85" s="11">
        <f t="shared" si="3"/>
        <v>44406</v>
      </c>
      <c r="E85" s="12">
        <f>+E84-60000</f>
        <v>3871550.7199999997</v>
      </c>
      <c r="F85" s="13">
        <f t="shared" si="5"/>
        <v>1.9444444444444446E-4</v>
      </c>
      <c r="G85" s="12">
        <f t="shared" si="4"/>
        <v>752.80152888888892</v>
      </c>
      <c r="H85" s="14">
        <f>(D85-C85+1)-1</f>
        <v>1</v>
      </c>
    </row>
    <row r="86" spans="1:10" ht="13.35" customHeight="1" x14ac:dyDescent="0.25">
      <c r="A86" s="39"/>
      <c r="B86" s="2" t="s">
        <v>19</v>
      </c>
      <c r="C86" s="11">
        <v>44407</v>
      </c>
      <c r="D86" s="11">
        <f t="shared" si="3"/>
        <v>44438</v>
      </c>
      <c r="E86" s="12">
        <f>+E85-72000</f>
        <v>3799550.7199999997</v>
      </c>
      <c r="F86" s="13">
        <f t="shared" si="5"/>
        <v>6.0277777777777786E-3</v>
      </c>
      <c r="G86" s="12">
        <f t="shared" si="4"/>
        <v>22902.847395555556</v>
      </c>
      <c r="H86" s="14">
        <f>(D86-C86+1)-1</f>
        <v>31</v>
      </c>
    </row>
    <row r="87" spans="1:10" ht="13.35" customHeight="1" x14ac:dyDescent="0.25">
      <c r="A87" s="9"/>
      <c r="B87" s="2" t="s">
        <v>19</v>
      </c>
      <c r="C87" s="11">
        <v>44439</v>
      </c>
      <c r="D87" s="11">
        <v>44439</v>
      </c>
      <c r="E87" s="12">
        <f>+E86-3300953.18-498597.54</f>
        <v>0</v>
      </c>
      <c r="F87" s="13">
        <f t="shared" si="5"/>
        <v>0</v>
      </c>
      <c r="G87" s="12">
        <f t="shared" si="4"/>
        <v>0</v>
      </c>
      <c r="H87" s="14">
        <f>(D87-C87+1)-1</f>
        <v>0</v>
      </c>
    </row>
    <row r="88" spans="1:10" ht="13.35" customHeight="1" x14ac:dyDescent="0.25">
      <c r="A88" s="9"/>
      <c r="B88" s="2"/>
      <c r="C88" s="11"/>
      <c r="D88" s="11"/>
      <c r="E88" s="12"/>
      <c r="F88" s="13"/>
      <c r="G88" s="12"/>
      <c r="H88" s="14"/>
    </row>
    <row r="89" spans="1:10" ht="9.9499999999999993" customHeight="1" x14ac:dyDescent="0.25">
      <c r="B89" s="16"/>
      <c r="C89" s="17"/>
      <c r="D89" s="17"/>
      <c r="E89" s="18"/>
      <c r="F89" s="19"/>
      <c r="G89" s="18"/>
      <c r="H89" s="20"/>
    </row>
    <row r="90" spans="1:10" ht="13.35" customHeight="1" x14ac:dyDescent="0.25">
      <c r="C90" s="21"/>
      <c r="D90" s="21"/>
      <c r="F90" s="22" t="s">
        <v>20</v>
      </c>
      <c r="G90" s="23">
        <f>SUM(G8:G88)</f>
        <v>128816.18451638886</v>
      </c>
      <c r="H90" t="s">
        <v>21</v>
      </c>
      <c r="J90" s="24"/>
    </row>
    <row r="91" spans="1:10" ht="9.9499999999999993" customHeight="1" x14ac:dyDescent="0.25">
      <c r="C91" s="21"/>
      <c r="D91" s="21"/>
      <c r="F91" s="25"/>
      <c r="G91" s="26"/>
      <c r="J91" s="24"/>
    </row>
    <row r="92" spans="1:10" ht="13.35" customHeight="1" x14ac:dyDescent="0.25">
      <c r="B92" s="27" t="s">
        <v>26</v>
      </c>
      <c r="E92" s="28">
        <v>721590.99</v>
      </c>
    </row>
    <row r="93" spans="1:10" ht="13.35" customHeight="1" x14ac:dyDescent="0.25">
      <c r="B93" s="27" t="s">
        <v>27</v>
      </c>
      <c r="E93" s="28">
        <f>+G90</f>
        <v>128816.18451638886</v>
      </c>
    </row>
    <row r="94" spans="1:10" ht="13.35" customHeight="1" x14ac:dyDescent="0.25">
      <c r="B94" s="27" t="s">
        <v>28</v>
      </c>
      <c r="E94" s="28">
        <f>E92+G90+E93</f>
        <v>979223.35903277784</v>
      </c>
    </row>
    <row r="95" spans="1:10" ht="13.35" customHeight="1" x14ac:dyDescent="0.25">
      <c r="E95" s="29"/>
    </row>
    <row r="96" spans="1:10" ht="13.35" customHeight="1" x14ac:dyDescent="0.25">
      <c r="C96" s="30" t="s">
        <v>22</v>
      </c>
    </row>
    <row r="97" spans="3:6" ht="13.35" customHeight="1" x14ac:dyDescent="0.25">
      <c r="C97" s="30"/>
      <c r="D97" t="s">
        <v>29</v>
      </c>
    </row>
    <row r="98" spans="3:6" ht="13.35" customHeight="1" x14ac:dyDescent="0.25">
      <c r="C98" s="30"/>
      <c r="D98" t="s">
        <v>23</v>
      </c>
    </row>
    <row r="99" spans="3:6" ht="13.35" customHeight="1" x14ac:dyDescent="0.25">
      <c r="C99" s="30"/>
    </row>
    <row r="100" spans="3:6" ht="13.35" customHeight="1" x14ac:dyDescent="0.25">
      <c r="C100" s="30" t="s">
        <v>24</v>
      </c>
      <c r="F100" t="s">
        <v>25</v>
      </c>
    </row>
    <row r="101" spans="3:6" ht="13.35" customHeight="1" x14ac:dyDescent="0.25">
      <c r="C101" s="30"/>
    </row>
    <row r="102" spans="3:6" ht="13.35" customHeight="1" x14ac:dyDescent="0.25"/>
  </sheetData>
  <mergeCells count="15">
    <mergeCell ref="A64:A71"/>
    <mergeCell ref="A72:A86"/>
    <mergeCell ref="A8:A18"/>
    <mergeCell ref="A19:A29"/>
    <mergeCell ref="A30:A41"/>
    <mergeCell ref="A42:A56"/>
    <mergeCell ref="A57:A63"/>
    <mergeCell ref="B5:D5"/>
    <mergeCell ref="F5:G5"/>
    <mergeCell ref="A1:D1"/>
    <mergeCell ref="A2:D2"/>
    <mergeCell ref="F2:H2"/>
    <mergeCell ref="B3:D3"/>
    <mergeCell ref="F3:G3"/>
    <mergeCell ref="B4:D4"/>
  </mergeCells>
  <pageMargins left="0.26" right="0.3" top="0.75" bottom="0.46" header="0.3" footer="0.3"/>
  <pageSetup paperSize="9" scale="93" fitToHeight="0" orientation="portrait" verticalDpi="0" r:id="rId1"/>
  <ignoredErrors>
    <ignoredError sqref="G5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SCHET</dc:creator>
  <cp:lastModifiedBy>SCHET</cp:lastModifiedBy>
  <cp:lastPrinted>2021-10-21T14:05:23Z</cp:lastPrinted>
  <dcterms:created xsi:type="dcterms:W3CDTF">2021-09-10T13:23:47Z</dcterms:created>
  <dcterms:modified xsi:type="dcterms:W3CDTF">2021-10-21T14:06:20Z</dcterms:modified>
</cp:coreProperties>
</file>